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j\Downloads\"/>
    </mc:Choice>
  </mc:AlternateContent>
  <xr:revisionPtr revIDLastSave="0" documentId="8_{7637B75D-BDB4-4C22-B1EE-76F8A100104E}" xr6:coauthVersionLast="45" xr6:coauthVersionMax="45" xr10:uidLastSave="{00000000-0000-0000-0000-000000000000}"/>
  <bookViews>
    <workbookView xWindow="6045" yWindow="-16320" windowWidth="29040" windowHeight="15840" xr2:uid="{00000000-000D-0000-FFFF-FFFF00000000}"/>
  </bookViews>
  <sheets>
    <sheet name="Balance Sheet - Standardized" sheetId="2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9" i="2" l="1"/>
  <c r="E10" i="2"/>
  <c r="K57" i="2"/>
  <c r="G51" i="2"/>
  <c r="I13" i="2"/>
  <c r="E64" i="2"/>
  <c r="I70" i="2"/>
  <c r="K16" i="2"/>
  <c r="G10" i="2"/>
  <c r="G26" i="2"/>
  <c r="C77" i="2"/>
  <c r="E7" i="2"/>
  <c r="C20" i="2"/>
  <c r="I32" i="2"/>
  <c r="E23" i="2"/>
  <c r="K32" i="2"/>
  <c r="I29" i="2"/>
  <c r="C36" i="2"/>
  <c r="G71" i="2"/>
  <c r="E41" i="2"/>
  <c r="E52" i="2"/>
  <c r="C65" i="2"/>
  <c r="K45" i="2"/>
  <c r="I58" i="2"/>
  <c r="K77" i="2"/>
  <c r="C7" i="2"/>
  <c r="E27" i="2"/>
  <c r="K65" i="2"/>
  <c r="E30" i="2"/>
  <c r="I66" i="2"/>
  <c r="G30" i="2"/>
  <c r="K36" i="2"/>
  <c r="I33" i="2"/>
  <c r="K53" i="2"/>
  <c r="G47" i="2"/>
  <c r="E60" i="2"/>
  <c r="C42" i="2"/>
  <c r="G79" i="2"/>
  <c r="C73" i="2"/>
  <c r="E26" i="2"/>
  <c r="G13" i="2"/>
  <c r="C24" i="2"/>
  <c r="K7" i="2"/>
  <c r="C31" i="2"/>
  <c r="G21" i="2"/>
  <c r="I20" i="2"/>
  <c r="I36" i="2"/>
  <c r="I78" i="2"/>
  <c r="C15" i="2"/>
  <c r="K27" i="2"/>
  <c r="I24" i="2"/>
  <c r="I42" i="2"/>
  <c r="E34" i="2"/>
  <c r="G37" i="2"/>
  <c r="G67" i="2"/>
  <c r="E48" i="2"/>
  <c r="I54" i="2"/>
  <c r="C61" i="2"/>
  <c r="C23" i="2"/>
  <c r="E80" i="2"/>
  <c r="I46" i="2"/>
  <c r="C27" i="2"/>
  <c r="K73" i="2"/>
  <c r="E14" i="2"/>
  <c r="K8" i="2"/>
  <c r="C41" i="2"/>
  <c r="E11" i="2"/>
  <c r="E15" i="2"/>
  <c r="G59" i="2"/>
  <c r="C12" i="2"/>
  <c r="I17" i="2"/>
  <c r="E18" i="2"/>
  <c r="E31" i="2"/>
  <c r="G18" i="2"/>
  <c r="K24" i="2"/>
  <c r="G34" i="2"/>
  <c r="I21" i="2"/>
  <c r="C28" i="2"/>
  <c r="I37" i="2"/>
  <c r="I74" i="2"/>
  <c r="K42" i="2"/>
  <c r="C49" i="2"/>
  <c r="G55" i="2"/>
  <c r="K61" i="2"/>
  <c r="E68" i="2"/>
  <c r="C81" i="2"/>
  <c r="C19" i="2"/>
  <c r="I16" i="2"/>
  <c r="G17" i="2"/>
  <c r="K35" i="2"/>
  <c r="G33" i="2"/>
  <c r="I8" i="2"/>
  <c r="G14" i="2"/>
  <c r="E72" i="2"/>
  <c r="K15" i="2"/>
  <c r="I12" i="2"/>
  <c r="K49" i="2"/>
  <c r="C35" i="2"/>
  <c r="E22" i="2"/>
  <c r="I28" i="2"/>
  <c r="E56" i="2"/>
  <c r="G25" i="2"/>
  <c r="K19" i="2"/>
  <c r="K31" i="2"/>
  <c r="G43" i="2"/>
  <c r="C11" i="2"/>
  <c r="E40" i="2"/>
  <c r="I62" i="2"/>
  <c r="C69" i="2"/>
  <c r="K81" i="2"/>
  <c r="K41" i="2"/>
  <c r="K23" i="2"/>
  <c r="G75" i="2"/>
  <c r="C45" i="2"/>
  <c r="K12" i="2"/>
  <c r="C8" i="2"/>
  <c r="I25" i="2"/>
  <c r="K20" i="2"/>
  <c r="K11" i="2"/>
  <c r="C53" i="2"/>
  <c r="I9" i="2"/>
  <c r="G22" i="2"/>
  <c r="E19" i="2"/>
  <c r="C16" i="2"/>
  <c r="G9" i="2"/>
  <c r="K28" i="2"/>
  <c r="E35" i="2"/>
  <c r="G40" i="2"/>
  <c r="C32" i="2"/>
  <c r="E44" i="2"/>
  <c r="G83" i="2"/>
  <c r="C57" i="2"/>
  <c r="I50" i="2"/>
  <c r="G63" i="2"/>
  <c r="I82" i="2"/>
  <c r="K69" i="2"/>
  <c r="E76" i="2"/>
  <c r="C88" i="2"/>
  <c r="E87" i="2"/>
  <c r="E91" i="2"/>
  <c r="G90" i="2"/>
  <c r="K88" i="2"/>
  <c r="I89" i="2"/>
  <c r="I93" i="2"/>
  <c r="K96" i="2"/>
  <c r="E95" i="2"/>
  <c r="C92" i="2"/>
  <c r="K92" i="2"/>
  <c r="F10" i="2"/>
  <c r="H9" i="2"/>
  <c r="D7" i="2"/>
  <c r="G94" i="2"/>
  <c r="E99" i="2"/>
  <c r="I97" i="2"/>
  <c r="C96" i="2"/>
  <c r="L11" i="2"/>
  <c r="G98" i="2"/>
  <c r="F14" i="2"/>
  <c r="J8" i="2"/>
  <c r="L7" i="2"/>
  <c r="D15" i="2"/>
  <c r="D11" i="2"/>
  <c r="J12" i="2"/>
  <c r="H13" i="2"/>
  <c r="J16" i="2"/>
  <c r="L15" i="2"/>
  <c r="F18" i="2"/>
  <c r="D19" i="2"/>
  <c r="H17" i="2"/>
  <c r="D23" i="2"/>
  <c r="H21" i="2"/>
  <c r="F22" i="2"/>
  <c r="L19" i="2"/>
  <c r="J20" i="2"/>
  <c r="H25" i="2"/>
  <c r="F26" i="2"/>
  <c r="L23" i="2"/>
  <c r="D35" i="2"/>
  <c r="J24" i="2"/>
  <c r="L27" i="2"/>
  <c r="H43" i="2"/>
  <c r="F30" i="2"/>
  <c r="D27" i="2"/>
  <c r="J28" i="2"/>
  <c r="J32" i="2"/>
  <c r="H33" i="2"/>
  <c r="L31" i="2"/>
  <c r="H29" i="2"/>
  <c r="D31" i="2"/>
  <c r="L35" i="2"/>
  <c r="J36" i="2"/>
  <c r="F34" i="2"/>
  <c r="H37" i="2"/>
  <c r="F40" i="2"/>
  <c r="F44" i="2"/>
  <c r="D41" i="2"/>
  <c r="L41" i="2"/>
  <c r="H51" i="2"/>
  <c r="J42" i="2"/>
  <c r="H47" i="2"/>
  <c r="D49" i="2"/>
  <c r="D45" i="2"/>
  <c r="L45" i="2"/>
  <c r="J54" i="2"/>
  <c r="J46" i="2"/>
  <c r="F48" i="2"/>
  <c r="J50" i="2"/>
  <c r="L49" i="2"/>
  <c r="F52" i="2"/>
  <c r="D53" i="2"/>
  <c r="L53" i="2"/>
  <c r="F56" i="2"/>
  <c r="H55" i="2"/>
  <c r="L61" i="2"/>
  <c r="D57" i="2"/>
  <c r="L57" i="2"/>
  <c r="H59" i="2"/>
  <c r="F60" i="2"/>
  <c r="J58" i="2"/>
  <c r="D61" i="2"/>
  <c r="H63" i="2"/>
  <c r="J62" i="2"/>
  <c r="D65" i="2"/>
  <c r="D69" i="2"/>
  <c r="F64" i="2"/>
  <c r="L65" i="2"/>
  <c r="J66" i="2"/>
  <c r="H67" i="2"/>
  <c r="H75" i="2"/>
  <c r="L69" i="2"/>
  <c r="F72" i="2"/>
  <c r="F68" i="2"/>
  <c r="J70" i="2"/>
  <c r="J74" i="2"/>
  <c r="H71" i="2"/>
  <c r="L73" i="2"/>
  <c r="D73" i="2"/>
  <c r="F76" i="2"/>
  <c r="L77" i="2"/>
  <c r="D81" i="2"/>
  <c r="F80" i="2"/>
  <c r="D77" i="2"/>
  <c r="J78" i="2"/>
  <c r="H79" i="2"/>
  <c r="H90" i="2"/>
  <c r="F87" i="2"/>
  <c r="H83" i="2"/>
  <c r="L81" i="2"/>
  <c r="J82" i="2"/>
  <c r="L88" i="2"/>
  <c r="D88" i="2"/>
  <c r="J89" i="2"/>
  <c r="D92" i="2"/>
  <c r="L92" i="2"/>
  <c r="J93" i="2"/>
  <c r="F91" i="2"/>
  <c r="H94" i="2"/>
  <c r="F95" i="2"/>
  <c r="J97" i="2"/>
  <c r="H98" i="2"/>
  <c r="L96" i="2"/>
  <c r="D96" i="2"/>
  <c r="K58" i="2"/>
  <c r="K46" i="2"/>
  <c r="F99" i="2"/>
  <c r="C70" i="2"/>
  <c r="K54" i="2"/>
  <c r="K50" i="2"/>
  <c r="C62" i="2"/>
  <c r="C66" i="2"/>
  <c r="C74" i="2"/>
  <c r="J9" i="2"/>
  <c r="K82" i="2"/>
  <c r="I98" i="2"/>
  <c r="K89" i="2"/>
  <c r="L8" i="2"/>
  <c r="K78" i="2"/>
  <c r="C93" i="2"/>
  <c r="L16" i="2"/>
  <c r="H10" i="2"/>
  <c r="H14" i="2"/>
  <c r="D12" i="2"/>
  <c r="F11" i="2"/>
  <c r="L12" i="2"/>
  <c r="D16" i="2"/>
  <c r="F15" i="2"/>
  <c r="J13" i="2"/>
  <c r="J17" i="2"/>
  <c r="D28" i="2"/>
  <c r="H18" i="2"/>
  <c r="D20" i="2"/>
  <c r="F19" i="2"/>
  <c r="F23" i="2"/>
  <c r="L20" i="2"/>
  <c r="J21" i="2"/>
  <c r="H22" i="2"/>
  <c r="L24" i="2"/>
  <c r="D24" i="2"/>
  <c r="H26" i="2"/>
  <c r="J25" i="2"/>
  <c r="F27" i="2"/>
  <c r="J29" i="2"/>
  <c r="H30" i="2"/>
  <c r="L32" i="2"/>
  <c r="L28" i="2"/>
  <c r="D32" i="2"/>
  <c r="L36" i="2"/>
  <c r="H34" i="2"/>
  <c r="J33" i="2"/>
  <c r="F31" i="2"/>
  <c r="D36" i="2"/>
  <c r="F35" i="2"/>
  <c r="J43" i="2"/>
  <c r="F41" i="2"/>
  <c r="H40" i="2"/>
  <c r="D42" i="2"/>
  <c r="F45" i="2"/>
  <c r="L42" i="2"/>
  <c r="H44" i="2"/>
  <c r="D46" i="2"/>
  <c r="L46" i="2"/>
  <c r="J47" i="2"/>
  <c r="F53" i="2"/>
  <c r="F49" i="2"/>
  <c r="D50" i="2"/>
  <c r="L50" i="2"/>
  <c r="H48" i="2"/>
  <c r="L54" i="2"/>
  <c r="H52" i="2"/>
  <c r="J51" i="2"/>
  <c r="D54" i="2"/>
  <c r="L58" i="2"/>
  <c r="J55" i="2"/>
  <c r="D58" i="2"/>
  <c r="H60" i="2"/>
  <c r="J59" i="2"/>
  <c r="F61" i="2"/>
  <c r="H56" i="2"/>
  <c r="J63" i="2"/>
  <c r="J37" i="2"/>
  <c r="F57" i="2"/>
  <c r="J67" i="2"/>
  <c r="L62" i="2"/>
  <c r="D62" i="2"/>
  <c r="L66" i="2"/>
  <c r="F65" i="2"/>
  <c r="H64" i="2"/>
  <c r="D66" i="2"/>
  <c r="L70" i="2"/>
  <c r="H68" i="2"/>
  <c r="D70" i="2"/>
  <c r="F69" i="2"/>
  <c r="F73" i="2"/>
  <c r="J71" i="2"/>
  <c r="F77" i="2"/>
  <c r="J75" i="2"/>
  <c r="H76" i="2"/>
  <c r="H72" i="2"/>
  <c r="L74" i="2"/>
  <c r="D74" i="2"/>
  <c r="J79" i="2"/>
  <c r="L78" i="2"/>
  <c r="D82" i="2"/>
  <c r="D78" i="2"/>
  <c r="J83" i="2"/>
  <c r="L82" i="2"/>
  <c r="H80" i="2"/>
  <c r="F88" i="2"/>
  <c r="H87" i="2"/>
  <c r="D89" i="2"/>
  <c r="F81" i="2"/>
  <c r="L89" i="2"/>
  <c r="J90" i="2"/>
  <c r="H91" i="2"/>
  <c r="L93" i="2"/>
  <c r="F92" i="2"/>
  <c r="C46" i="2"/>
  <c r="D93" i="2"/>
  <c r="H95" i="2"/>
  <c r="D97" i="2"/>
  <c r="F96" i="2"/>
  <c r="J94" i="2"/>
  <c r="K74" i="2"/>
  <c r="J98" i="2"/>
  <c r="H99" i="2"/>
  <c r="G52" i="2"/>
  <c r="I59" i="2"/>
  <c r="L97" i="2"/>
  <c r="G48" i="2"/>
  <c r="I63" i="2"/>
  <c r="I67" i="2"/>
  <c r="E92" i="2"/>
  <c r="I55" i="2"/>
  <c r="C82" i="2"/>
  <c r="F7" i="2"/>
  <c r="K70" i="2"/>
  <c r="C78" i="2"/>
  <c r="E20" i="2"/>
  <c r="K97" i="2"/>
  <c r="C89" i="2"/>
  <c r="G95" i="2"/>
  <c r="E12" i="2"/>
  <c r="G7" i="2"/>
  <c r="E8" i="2"/>
  <c r="I10" i="2"/>
  <c r="G11" i="2"/>
  <c r="C9" i="2"/>
  <c r="K9" i="2"/>
  <c r="I18" i="2"/>
  <c r="K17" i="2"/>
  <c r="C13" i="2"/>
  <c r="E16" i="2"/>
  <c r="G15" i="2"/>
  <c r="I14" i="2"/>
  <c r="K13" i="2"/>
  <c r="C17" i="2"/>
  <c r="G19" i="2"/>
  <c r="C21" i="2"/>
  <c r="G23" i="2"/>
  <c r="G27" i="2"/>
  <c r="E24" i="2"/>
  <c r="K21" i="2"/>
  <c r="I26" i="2"/>
  <c r="C25" i="2"/>
  <c r="I22" i="2"/>
  <c r="I30" i="2"/>
  <c r="K25" i="2"/>
  <c r="C29" i="2"/>
  <c r="C33" i="2"/>
  <c r="K29" i="2"/>
  <c r="E28" i="2"/>
  <c r="G31" i="2"/>
  <c r="E32" i="2"/>
  <c r="K33" i="2"/>
  <c r="E36" i="2"/>
  <c r="K37" i="2"/>
  <c r="I34" i="2"/>
  <c r="G35" i="2"/>
  <c r="C37" i="2"/>
  <c r="G41" i="2"/>
  <c r="I40" i="2"/>
  <c r="E42" i="2"/>
  <c r="I44" i="2"/>
  <c r="E46" i="2"/>
  <c r="C43" i="2"/>
  <c r="K43" i="2"/>
  <c r="G45" i="2"/>
  <c r="G49" i="2"/>
  <c r="K47" i="2"/>
  <c r="I48" i="2"/>
  <c r="C47" i="2"/>
  <c r="E50" i="2"/>
  <c r="C51" i="2"/>
  <c r="I60" i="2"/>
  <c r="G53" i="2"/>
  <c r="C55" i="2"/>
  <c r="E54" i="2"/>
  <c r="G57" i="2"/>
  <c r="I56" i="2"/>
  <c r="I52" i="2"/>
  <c r="C59" i="2"/>
  <c r="K55" i="2"/>
  <c r="K59" i="2"/>
  <c r="K51" i="2"/>
  <c r="E58" i="2"/>
  <c r="E62" i="2"/>
  <c r="C63" i="2"/>
  <c r="G61" i="2"/>
  <c r="G65" i="2"/>
  <c r="K63" i="2"/>
  <c r="I64" i="2"/>
  <c r="E66" i="2"/>
  <c r="K75" i="2"/>
  <c r="C67" i="2"/>
  <c r="I68" i="2"/>
  <c r="G69" i="2"/>
  <c r="E70" i="2"/>
  <c r="K67" i="2"/>
  <c r="C75" i="2"/>
  <c r="C71" i="2"/>
  <c r="G77" i="2"/>
  <c r="G73" i="2"/>
  <c r="K71" i="2"/>
  <c r="K79" i="2"/>
  <c r="E74" i="2"/>
  <c r="C79" i="2"/>
  <c r="I72" i="2"/>
  <c r="E78" i="2"/>
  <c r="I76" i="2"/>
  <c r="I80" i="2"/>
  <c r="G81" i="2"/>
  <c r="C94" i="2"/>
  <c r="E82" i="2"/>
  <c r="C83" i="2"/>
  <c r="K83" i="2"/>
  <c r="I87" i="2"/>
  <c r="G88" i="2"/>
  <c r="K98" i="2"/>
  <c r="E89" i="2"/>
  <c r="K90" i="2"/>
  <c r="E93" i="2"/>
  <c r="C90" i="2"/>
  <c r="I91" i="2"/>
  <c r="K94" i="2"/>
  <c r="G92" i="2"/>
  <c r="I95" i="2"/>
  <c r="G96" i="2"/>
  <c r="E97" i="2"/>
  <c r="G44" i="2"/>
  <c r="E57" i="2"/>
  <c r="C98" i="2"/>
  <c r="C50" i="2"/>
  <c r="I99" i="2"/>
  <c r="E61" i="2"/>
  <c r="E53" i="2"/>
  <c r="E65" i="2"/>
  <c r="E73" i="2"/>
  <c r="E69" i="2"/>
  <c r="I90" i="2"/>
  <c r="I83" i="2"/>
  <c r="E81" i="2"/>
  <c r="I94" i="2"/>
  <c r="G99" i="2"/>
  <c r="G76" i="2"/>
  <c r="D8" i="2"/>
  <c r="D9" i="2"/>
  <c r="H7" i="2"/>
  <c r="J10" i="2"/>
  <c r="F8" i="2"/>
  <c r="D13" i="2"/>
  <c r="L9" i="2"/>
  <c r="H11" i="2"/>
  <c r="J14" i="2"/>
  <c r="L13" i="2"/>
  <c r="F12" i="2"/>
  <c r="D17" i="2"/>
  <c r="H15" i="2"/>
  <c r="L17" i="2"/>
  <c r="D21" i="2"/>
  <c r="H19" i="2"/>
  <c r="J18" i="2"/>
  <c r="F16" i="2"/>
  <c r="L21" i="2"/>
  <c r="F24" i="2"/>
  <c r="F20" i="2"/>
  <c r="J26" i="2"/>
  <c r="J22" i="2"/>
  <c r="L25" i="2"/>
  <c r="D25" i="2"/>
  <c r="H27" i="2"/>
  <c r="D29" i="2"/>
  <c r="F32" i="2"/>
  <c r="L29" i="2"/>
  <c r="F28" i="2"/>
  <c r="H31" i="2"/>
  <c r="D33" i="2"/>
  <c r="J30" i="2"/>
  <c r="D37" i="2"/>
  <c r="L37" i="2"/>
  <c r="J34" i="2"/>
  <c r="F36" i="2"/>
  <c r="L33" i="2"/>
  <c r="H23" i="2"/>
  <c r="H35" i="2"/>
  <c r="H41" i="2"/>
  <c r="F42" i="2"/>
  <c r="J48" i="2"/>
  <c r="J40" i="2"/>
  <c r="D43" i="2"/>
  <c r="J44" i="2"/>
  <c r="H45" i="2"/>
  <c r="L43" i="2"/>
  <c r="H49" i="2"/>
  <c r="L47" i="2"/>
  <c r="F46" i="2"/>
  <c r="D47" i="2"/>
  <c r="J52" i="2"/>
  <c r="F50" i="2"/>
  <c r="L55" i="2"/>
  <c r="H53" i="2"/>
  <c r="L51" i="2"/>
  <c r="D51" i="2"/>
  <c r="F54" i="2"/>
  <c r="J56" i="2"/>
  <c r="D55" i="2"/>
  <c r="L59" i="2"/>
  <c r="H57" i="2"/>
  <c r="F58" i="2"/>
  <c r="D63" i="2"/>
  <c r="D59" i="2"/>
  <c r="J60" i="2"/>
  <c r="F62" i="2"/>
  <c r="L63" i="2"/>
  <c r="H61" i="2"/>
  <c r="J64" i="2"/>
  <c r="H65" i="2"/>
  <c r="F66" i="2"/>
  <c r="L67" i="2"/>
  <c r="D67" i="2"/>
  <c r="F70" i="2"/>
  <c r="H69" i="2"/>
  <c r="J68" i="2"/>
  <c r="L71" i="2"/>
  <c r="D71" i="2"/>
  <c r="J72" i="2"/>
  <c r="H73" i="2"/>
  <c r="F74" i="2"/>
  <c r="F78" i="2"/>
  <c r="J80" i="2"/>
  <c r="D75" i="2"/>
  <c r="J76" i="2"/>
  <c r="H77" i="2"/>
  <c r="L75" i="2"/>
  <c r="D79" i="2"/>
  <c r="L83" i="2"/>
  <c r="L79" i="2"/>
  <c r="H81" i="2"/>
  <c r="H92" i="2"/>
  <c r="D90" i="2"/>
  <c r="D83" i="2"/>
  <c r="F82" i="2"/>
  <c r="H88" i="2"/>
  <c r="J87" i="2"/>
  <c r="L90" i="2"/>
  <c r="F89" i="2"/>
  <c r="J91" i="2"/>
  <c r="L94" i="2"/>
  <c r="F93" i="2"/>
  <c r="J95" i="2"/>
  <c r="D94" i="2"/>
  <c r="F97" i="2"/>
  <c r="D98" i="2"/>
  <c r="H96" i="2"/>
  <c r="I47" i="2"/>
  <c r="J99" i="2"/>
  <c r="L98" i="2"/>
  <c r="I43" i="2"/>
  <c r="I51" i="2"/>
  <c r="E88" i="2"/>
  <c r="G56" i="2"/>
  <c r="K62" i="2"/>
  <c r="I7" i="2"/>
  <c r="I71" i="2"/>
  <c r="I75" i="2"/>
  <c r="E13" i="2"/>
  <c r="K66" i="2"/>
  <c r="I79" i="2"/>
  <c r="K10" i="2"/>
  <c r="C10" i="2"/>
  <c r="E96" i="2"/>
  <c r="I11" i="2"/>
  <c r="G12" i="2"/>
  <c r="C14" i="2"/>
  <c r="G16" i="2"/>
  <c r="E17" i="2"/>
  <c r="K14" i="2"/>
  <c r="E21" i="2"/>
  <c r="I15" i="2"/>
  <c r="K18" i="2"/>
  <c r="C18" i="2"/>
  <c r="I23" i="2"/>
  <c r="I19" i="2"/>
  <c r="C22" i="2"/>
  <c r="G20" i="2"/>
  <c r="K22" i="2"/>
  <c r="G24" i="2"/>
  <c r="E29" i="2"/>
  <c r="E25" i="2"/>
  <c r="K26" i="2"/>
  <c r="C26" i="2"/>
  <c r="C30" i="2"/>
  <c r="G28" i="2"/>
  <c r="I27" i="2"/>
  <c r="K30" i="2"/>
  <c r="I31" i="2"/>
  <c r="G32" i="2"/>
  <c r="E37" i="2"/>
  <c r="E33" i="2"/>
  <c r="I35" i="2"/>
  <c r="C44" i="2"/>
  <c r="C34" i="2"/>
  <c r="K34" i="2"/>
  <c r="C40" i="2"/>
  <c r="K40" i="2"/>
  <c r="G36" i="2"/>
  <c r="G42" i="2"/>
  <c r="I41" i="2"/>
  <c r="G46" i="2"/>
  <c r="E43" i="2"/>
  <c r="I45" i="2"/>
  <c r="K48" i="2"/>
  <c r="K44" i="2"/>
  <c r="E47" i="2"/>
  <c r="C48" i="2"/>
  <c r="G50" i="2"/>
  <c r="I49" i="2"/>
  <c r="E51" i="2"/>
  <c r="K52" i="2"/>
  <c r="C52" i="2"/>
  <c r="I53" i="2"/>
  <c r="C56" i="2"/>
  <c r="G54" i="2"/>
  <c r="C60" i="2"/>
  <c r="E55" i="2"/>
  <c r="K56" i="2"/>
  <c r="K64" i="2"/>
  <c r="G58" i="2"/>
  <c r="E59" i="2"/>
  <c r="I57" i="2"/>
  <c r="K60" i="2"/>
  <c r="I61" i="2"/>
  <c r="E63" i="2"/>
  <c r="G62" i="2"/>
  <c r="I65" i="2"/>
  <c r="C64" i="2"/>
  <c r="E67" i="2"/>
  <c r="I69" i="2"/>
  <c r="G66" i="2"/>
  <c r="C68" i="2"/>
  <c r="K68" i="2"/>
  <c r="C72" i="2"/>
  <c r="E71" i="2"/>
  <c r="I73" i="2"/>
  <c r="G70" i="2"/>
  <c r="K72" i="2"/>
  <c r="E75" i="2"/>
  <c r="G74" i="2"/>
  <c r="K76" i="2"/>
  <c r="I77" i="2"/>
  <c r="K80" i="2"/>
  <c r="I81" i="2"/>
  <c r="G82" i="2"/>
  <c r="G78" i="2"/>
  <c r="E79" i="2"/>
  <c r="C80" i="2"/>
  <c r="E83" i="2"/>
  <c r="I92" i="2"/>
  <c r="C87" i="2"/>
  <c r="I88" i="2"/>
  <c r="C76" i="2"/>
  <c r="K87" i="2"/>
  <c r="E90" i="2"/>
  <c r="E94" i="2"/>
  <c r="K91" i="2"/>
  <c r="C91" i="2"/>
  <c r="G89" i="2"/>
  <c r="C54" i="2"/>
  <c r="E45" i="2"/>
  <c r="C95" i="2"/>
  <c r="K95" i="2"/>
  <c r="G93" i="2"/>
  <c r="I96" i="2"/>
  <c r="G97" i="2"/>
  <c r="G64" i="2"/>
  <c r="E98" i="2"/>
  <c r="E49" i="2"/>
  <c r="K99" i="2"/>
  <c r="G60" i="2"/>
  <c r="G68" i="2"/>
  <c r="C99" i="2"/>
  <c r="C58" i="2"/>
  <c r="G72" i="2"/>
  <c r="K93" i="2"/>
  <c r="E77" i="2"/>
  <c r="G80" i="2"/>
  <c r="G87" i="2"/>
  <c r="C97" i="2"/>
  <c r="G8" i="2"/>
  <c r="G91" i="2"/>
  <c r="H8" i="2"/>
  <c r="J11" i="2"/>
  <c r="E9" i="2"/>
  <c r="H12" i="2"/>
  <c r="J7" i="2"/>
  <c r="J19" i="2"/>
  <c r="F13" i="2"/>
  <c r="J15" i="2"/>
  <c r="F9" i="2"/>
  <c r="H16" i="2"/>
  <c r="L10" i="2"/>
  <c r="D10" i="2"/>
  <c r="D14" i="2"/>
  <c r="L22" i="2"/>
  <c r="L14" i="2"/>
  <c r="H20" i="2"/>
  <c r="F17" i="2"/>
  <c r="L18" i="2"/>
  <c r="D18" i="2"/>
  <c r="J23" i="2"/>
  <c r="F21" i="2"/>
  <c r="D22" i="2"/>
  <c r="F25" i="2"/>
  <c r="H24" i="2"/>
  <c r="D26" i="2"/>
  <c r="L26" i="2"/>
  <c r="J27" i="2"/>
  <c r="L30" i="2"/>
  <c r="D30" i="2"/>
  <c r="J31" i="2"/>
  <c r="F29" i="2"/>
  <c r="H36" i="2"/>
  <c r="H32" i="2"/>
  <c r="H28" i="2"/>
  <c r="D34" i="2"/>
  <c r="D40" i="2"/>
  <c r="F33" i="2"/>
  <c r="J35" i="2"/>
  <c r="L34" i="2"/>
  <c r="F37" i="2"/>
  <c r="J41" i="2"/>
  <c r="F43" i="2"/>
  <c r="D44" i="2"/>
  <c r="H42" i="2"/>
  <c r="L44" i="2"/>
  <c r="J45" i="2"/>
  <c r="H46" i="2"/>
  <c r="F47" i="2"/>
  <c r="L48" i="2"/>
  <c r="J49" i="2"/>
  <c r="D48" i="2"/>
  <c r="F51" i="2"/>
  <c r="J53" i="2"/>
  <c r="L40" i="2"/>
  <c r="D52" i="2"/>
  <c r="L52" i="2"/>
  <c r="H54" i="2"/>
  <c r="D56" i="2"/>
  <c r="L56" i="2"/>
  <c r="H50" i="2"/>
  <c r="J57" i="2"/>
  <c r="F55" i="2"/>
  <c r="J61" i="2"/>
  <c r="F67" i="2"/>
  <c r="H58" i="2"/>
  <c r="L60" i="2"/>
  <c r="D60" i="2"/>
  <c r="F59" i="2"/>
  <c r="D64" i="2"/>
  <c r="H62" i="2"/>
  <c r="F63" i="2"/>
  <c r="D68" i="2"/>
  <c r="J65" i="2"/>
  <c r="H66" i="2"/>
  <c r="L68" i="2"/>
  <c r="H74" i="2"/>
  <c r="L64" i="2"/>
  <c r="F71" i="2"/>
  <c r="H70" i="2"/>
  <c r="J69" i="2"/>
  <c r="L72" i="2"/>
  <c r="H78" i="2"/>
  <c r="D72" i="2"/>
  <c r="J73" i="2"/>
  <c r="L76" i="2"/>
  <c r="F75" i="2"/>
  <c r="D76" i="2"/>
  <c r="F83" i="2"/>
  <c r="L80" i="2"/>
  <c r="L95" i="2"/>
  <c r="J81" i="2"/>
  <c r="F79" i="2"/>
  <c r="J88" i="2"/>
  <c r="J77" i="2"/>
  <c r="D80" i="2"/>
  <c r="H82" i="2"/>
  <c r="D87" i="2"/>
  <c r="L99" i="2"/>
  <c r="F90" i="2"/>
  <c r="D91" i="2"/>
  <c r="H89" i="2"/>
  <c r="L87" i="2"/>
  <c r="H93" i="2"/>
  <c r="L91" i="2"/>
  <c r="H97" i="2"/>
  <c r="J96" i="2"/>
  <c r="D95" i="2"/>
  <c r="D99" i="2"/>
  <c r="F94" i="2"/>
  <c r="F98" i="2"/>
  <c r="J92" i="2"/>
</calcChain>
</file>

<file path=xl/sharedStrings.xml><?xml version="1.0" encoding="utf-8"?>
<sst xmlns="http://schemas.openxmlformats.org/spreadsheetml/2006/main" count="216" uniqueCount="201">
  <si>
    <t>Reference Items</t>
  </si>
  <si>
    <t>Right click to show data transparency (not supported for all values)</t>
  </si>
  <si>
    <t>Fidelity National Information Services Inc (FIS US) - Standardized</t>
  </si>
  <si>
    <t>In Millions of USD except Per Share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</si>
  <si>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</si>
  <si>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</si>
  <si>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</si>
  <si>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</si>
  <si>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</si>
  <si>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</si>
  <si>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</si>
  <si>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</si>
  <si>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</si>
  <si>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</si>
  <si>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12 Months Ending</t>
  </si>
  <si>
    <t>12/31/2010</t>
  </si>
  <si>
    <t>12/31/2011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</si>
  <si>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</si>
  <si>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</si>
  <si>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</si>
  <si>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</si>
  <si>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</si>
  <si>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</si>
  <si>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</si>
  <si>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</si>
  <si>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Total Assets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</si>
  <si>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</si>
  <si>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</si>
  <si>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</si>
  <si>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</si>
  <si>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</si>
  <si>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</si>
  <si>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</si>
  <si>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</si>
  <si>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</si>
  <si>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</si>
  <si>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</si>
  <si>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</si>
  <si>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</si>
  <si>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</si>
  <si>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</si>
  <si>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</si>
  <si>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</si>
  <si>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</si>
  <si>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</si>
  <si>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</si>
  <si>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</si>
  <si>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</si>
  <si>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</si>
  <si>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</si>
  <si>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</si>
  <si>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</si>
  <si>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Derivative &amp; Hedging Assets</t>
  </si>
  <si>
    <t>BS_DERIV_&amp;_HEDGING_ASSETS_ST</t>
  </si>
  <si>
    <t xml:space="preserve">    + Assets Held-for-Sale</t>
  </si>
  <si>
    <t>BS_ASSETS_HELD_FOR_SALE_ST</t>
  </si>
  <si>
    <t xml:space="preserve">    + Deferred Tax Assets</t>
  </si>
  <si>
    <t>BS_DEFERRED_TAX_ASSETS_ST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</si>
  <si>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</si>
  <si>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</si>
  <si>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</si>
  <si>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</si>
  <si>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</si>
  <si>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</si>
  <si>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</si>
  <si>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</si>
  <si>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</si>
  <si>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</si>
  <si>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</si>
  <si>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</si>
  <si>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</si>
  <si>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</si>
  <si>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</si>
  <si>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</si>
  <si>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</si>
  <si>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</si>
  <si>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</si>
  <si>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</si>
  <si>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>BS_DEFERRED_TAX_ASSETS_LT</t>
  </si>
  <si>
    <t>BS_DERIV_&amp;_HEDGING_ASSETS_LT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</si>
  <si>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</si>
  <si>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</si>
  <si>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</si>
  <si>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</si>
  <si>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</si>
  <si>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</si>
  <si>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</si>
  <si>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</si>
  <si>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</si>
  <si>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</si>
  <si>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</si>
  <si>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</si>
  <si>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Interest &amp; Dividends Payable</t>
  </si>
  <si>
    <t>BS_INTEREST_&amp;_DIVIDENDS_PAYABLE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</si>
  <si>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</si>
  <si>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</si>
  <si>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</si>
  <si>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</si>
  <si>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</si>
  <si>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</si>
  <si>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</si>
  <si>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</si>
  <si>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</si>
  <si>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</si>
  <si>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    + ST Operating Leases</t>
  </si>
  <si>
    <t>BS_ST_OPERATING_LEASE_LIABS</t>
  </si>
  <si>
    <t xml:space="preserve">    + Current Portion of LT Debt</t>
  </si>
  <si>
    <t>BS_CURR_PORTION_LT_DEBT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</si>
  <si>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</si>
  <si>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</si>
  <si>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</si>
  <si>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</si>
  <si>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</si>
  <si>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</si>
  <si>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Deferred Tax Liabilities</t>
  </si>
  <si>
    <t>BS_DEFERRED_TAX_LIABS_ST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</si>
  <si>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</si>
  <si>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</si>
  <si>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</si>
  <si>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</si>
  <si>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</si>
  <si>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</si>
  <si>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</si>
  <si>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</si>
  <si>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</si>
  <si>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</si>
  <si>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</si>
  <si>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</si>
  <si>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  + LT Operating Leases</t>
  </si>
  <si>
    <t>BS_LT_OPERATING_LEASE_LIABS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</si>
  <si>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</si>
  <si>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</si>
  <si>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</si>
  <si>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</si>
  <si>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</si>
  <si>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</si>
  <si>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</si>
  <si>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</si>
  <si>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</si>
  <si>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</si>
  <si>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>LT_DEFERRED_REVENUE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</si>
  <si>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</si>
  <si>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</si>
  <si>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</si>
  <si>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</si>
  <si>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</si>
  <si>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</si>
  <si>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</si>
  <si>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</si>
  <si>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</si>
  <si>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</si>
  <si>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</si>
  <si>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</si>
  <si>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</si>
  <si>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</si>
  <si>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  + Additional Paid in Capital</t>
  </si>
  <si>
    <t>BS_ADD_PAID_IN_CAP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</si>
  <si>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</si>
  <si>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</si>
  <si>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</si>
  <si>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</si>
  <si>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</si>
  <si>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</si>
  <si>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</si>
  <si>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</si>
  <si>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</si>
  <si>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</si>
  <si>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</si>
  <si>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</si>
  <si>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</si>
  <si>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</si>
  <si>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Accounting Standard</t>
  </si>
  <si>
    <t>ACCOUNTING_STANDARD</t>
  </si>
  <si>
    <t>US GAAP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</si>
  <si>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</si>
  <si>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</si>
  <si>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</si>
  <si>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</si>
  <si>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</si>
  <si>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</si>
  <si>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</si>
  <si>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</si>
  <si>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</si>
  <si>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</si>
  <si>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</si>
  <si>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</si>
  <si>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</si>
  <si>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</si>
  <si>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</si>
  <si>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</si>
  <si>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</si>
  <si>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</si>
  <si>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</si>
  <si>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</si>
  <si>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Current Ratio</t>
  </si>
  <si>
    <t>CUR_RATIO</t>
  </si>
  <si>
    <t>Cash Held Overseas</t>
  </si>
  <si>
    <t>BS_CASH_HELD_OVERSEAS</t>
  </si>
  <si>
    <t>Number of Employees</t>
  </si>
  <si>
    <t>NUM_OF_EMPLOYEES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</si>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</sst>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9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5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64" fontId="1" fillId="34" borderId="2">
      <alignment horizontal="right"/>
    </xf>
    <xf numFmtId="4" fontId="1" fillId="34" borderId="2">
      <alignment horizontal="right"/>
    </xf>
    <xf numFmtId="3" fontId="8" fillId="34" borderId="2">
      <alignment horizontal="right"/>
    </xf>
    <xf numFmtId="164" fontId="8" fillId="34" borderId="2">
      <alignment horizontal="right"/>
    </xf>
    <xf numFmtId="164" fontId="11" fillId="34" borderId="2">
      <alignment horizontal="right"/>
    </xf>
  </cellStyleXfs>
  <cellXfs count="18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5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64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8" fillId="34" borderId="2" xfId="56" applyNumberFormat="1" applyFont="1" applyFill="1" applyBorder="1" applyAlignment="1" applyProtection="1">
      <alignment horizontal="right"/>
    </xf>
    <xf numFmtId="164" fontId="8" fillId="34" borderId="2" xfId="57" applyNumberFormat="1" applyFont="1" applyFill="1" applyBorder="1" applyAlignment="1" applyProtection="1">
      <alignment horizontal="right"/>
    </xf>
    <xf numFmtId="164" fontId="11" fillId="34" borderId="2" xfId="58" applyNumberFormat="1" applyFont="1" applyFill="1" applyBorder="1" applyAlignment="1" applyProtection="1">
      <alignment horizontal="right"/>
    </xf>
  </cellXfs>
  <cellStyles count="5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1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52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bold_0_grouped" xfId="56" xr:uid="{00000000-0005-0000-0000-000023000000}"/>
    <cellStyle name="fa_data_bold_1_grouped" xfId="57" xr:uid="{00000000-0005-0000-0000-000024000000}"/>
    <cellStyle name="fa_data_italic_1_grouped" xfId="58" xr:uid="{00000000-0005-0000-0000-000025000000}"/>
    <cellStyle name="fa_data_standard_0_grouped" xfId="53" xr:uid="{00000000-0005-0000-0000-000026000000}"/>
    <cellStyle name="fa_data_standard_1_grouped" xfId="54" xr:uid="{00000000-0005-0000-0000-000027000000}"/>
    <cellStyle name="fa_data_standard_2_grouped" xfId="55" xr:uid="{00000000-0005-0000-0000-000028000000}"/>
    <cellStyle name="fa_footer_italic" xfId="34" xr:uid="{00000000-0005-0000-0000-000029000000}"/>
    <cellStyle name="fa_row_header_bold" xfId="35" xr:uid="{00000000-0005-0000-0000-00002A000000}"/>
    <cellStyle name="fa_row_header_italic" xfId="36" xr:uid="{00000000-0005-0000-0000-00002B000000}"/>
    <cellStyle name="fa_row_header_standard" xfId="37" xr:uid="{00000000-0005-0000-0000-00002C000000}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BDH|16796358796307375167</stp>
        <tr r="D78" s="2"/>
      </tp>
      <tp t="e">
        <v>#N/A</v>
        <stp/>
        <stp>BDH|15349356303179476569</stp>
        <tr r="J66" s="2"/>
      </tp>
      <tp t="e">
        <v>#N/A</v>
        <stp/>
        <stp>BDH|15419455370299233549</stp>
        <tr r="I26" s="2"/>
      </tp>
      <tp t="e">
        <v>#N/A</v>
        <stp/>
        <stp>BDH|16158082625158941623</stp>
        <tr r="G76" s="2"/>
      </tp>
      <tp t="e">
        <v>#N/A</v>
        <stp/>
        <stp>BDH|12661648843353001997</stp>
        <tr r="E47" s="2"/>
      </tp>
      <tp t="e">
        <v>#N/A</v>
        <stp/>
        <stp>BDH|17319922378437739463</stp>
        <tr r="E64" s="2"/>
      </tp>
      <tp t="e">
        <v>#N/A</v>
        <stp/>
        <stp>BDH|16412215520609437594</stp>
        <tr r="K28" s="2"/>
      </tp>
      <tp t="e">
        <v>#N/A</v>
        <stp/>
        <stp>BDH|12348795311966610860</stp>
        <tr r="D52" s="2"/>
      </tp>
      <tp t="e">
        <v>#N/A</v>
        <stp/>
        <stp>BDH|12890781469051303801</stp>
        <tr r="C76" s="2"/>
      </tp>
      <tp t="e">
        <v>#N/A</v>
        <stp/>
        <stp>BDH|12332985070414664276</stp>
        <tr r="L73" s="2"/>
      </tp>
      <tp t="e">
        <v>#N/A</v>
        <stp/>
        <stp>BDH|11468252881822888325</stp>
        <tr r="J79" s="2"/>
      </tp>
      <tp t="e">
        <v>#N/A</v>
        <stp/>
        <stp>BDH|11946926410373199074</stp>
        <tr r="G25" s="2"/>
      </tp>
      <tp t="e">
        <v>#N/A</v>
        <stp/>
        <stp>BDH|10449607692224877129</stp>
        <tr r="D43" s="2"/>
      </tp>
      <tp t="e">
        <v>#N/A</v>
        <stp/>
        <stp>BDH|14851644604018179056</stp>
        <tr r="C81" s="2"/>
      </tp>
      <tp t="e">
        <v>#N/A</v>
        <stp/>
        <stp>BDH|13994135949788462484</stp>
        <tr r="G28" s="2"/>
      </tp>
      <tp t="e">
        <v>#N/A</v>
        <stp/>
        <stp>BDH|18052419797207157894</stp>
        <tr r="G7" s="2"/>
      </tp>
      <tp t="e">
        <v>#N/A</v>
        <stp/>
        <stp>BDH|14112191087947168001</stp>
        <tr r="H21" s="2"/>
      </tp>
      <tp t="e">
        <v>#N/A</v>
        <stp/>
        <stp>BDH|17475253048439340247</stp>
        <tr r="D87" s="2"/>
      </tp>
      <tp t="e">
        <v>#N/A</v>
        <stp/>
        <stp>BDH|11195457882351609705</stp>
        <tr r="L68" s="2"/>
      </tp>
      <tp t="e">
        <v>#N/A</v>
        <stp/>
        <stp>BDH|11197311709909325092</stp>
        <tr r="K81" s="2"/>
      </tp>
      <tp t="e">
        <v>#N/A</v>
        <stp/>
        <stp>BDH|13926434218515862891</stp>
        <tr r="J15" s="2"/>
      </tp>
      <tp t="e">
        <v>#N/A</v>
        <stp/>
        <stp>BDH|17577846603372382636</stp>
        <tr r="J30" s="2"/>
      </tp>
      <tp t="e">
        <v>#N/A</v>
        <stp/>
        <stp>BDH|17744613819139975240</stp>
        <tr r="G18" s="2"/>
      </tp>
      <tp t="e">
        <v>#N/A</v>
        <stp/>
        <stp>BDH|14928202579082182839</stp>
        <tr r="I23" s="2"/>
      </tp>
      <tp t="e">
        <v>#N/A</v>
        <stp/>
        <stp>BDH|16681018014744031810</stp>
        <tr r="K32" s="2"/>
      </tp>
      <tp t="e">
        <v>#N/A</v>
        <stp/>
        <stp>BDH|10016496732904724897</stp>
        <tr r="F58" s="2"/>
      </tp>
      <tp t="e">
        <v>#N/A</v>
        <stp/>
        <stp>BDH|16316426542834117975</stp>
        <tr r="L44" s="2"/>
      </tp>
      <tp t="e">
        <v>#N/A</v>
        <stp/>
        <stp>BDH|11288898732984909559</stp>
        <tr r="I94" s="2"/>
      </tp>
      <tp t="e">
        <v>#N/A</v>
        <stp/>
        <stp>BDH|17114833040424424432</stp>
        <tr r="H52" s="2"/>
      </tp>
      <tp t="e">
        <v>#N/A</v>
        <stp/>
        <stp>BDH|13197074945354487831</stp>
        <tr r="H47" s="2"/>
      </tp>
      <tp t="e">
        <v>#N/A</v>
        <stp/>
        <stp>BDH|13737211392135488666</stp>
        <tr r="D7" s="2"/>
      </tp>
      <tp t="e">
        <v>#N/A</v>
        <stp/>
        <stp>BDH|10357542274921362897</stp>
        <tr r="L78" s="2"/>
      </tp>
      <tp t="e">
        <v>#N/A</v>
        <stp/>
        <stp>BDH|10870314912428165130</stp>
        <tr r="G64" s="2"/>
      </tp>
      <tp t="e">
        <v>#N/A</v>
        <stp/>
        <stp>BDH|14482349892501808435</stp>
        <tr r="G57" s="2"/>
      </tp>
      <tp t="e">
        <v>#N/A</v>
        <stp/>
        <stp>BDH|13636963943473843620</stp>
        <tr r="G75" s="2"/>
      </tp>
      <tp t="e">
        <v>#N/A</v>
        <stp/>
        <stp>BDH|11318717588570007504</stp>
        <tr r="E40" s="2"/>
      </tp>
      <tp t="e">
        <v>#N/A</v>
        <stp/>
        <stp>BDH|14144952634210927551</stp>
        <tr r="K37" s="2"/>
      </tp>
      <tp t="e">
        <v>#N/A</v>
        <stp/>
        <stp>BDH|10773356125192879806</stp>
        <tr r="I46" s="2"/>
      </tp>
      <tp t="e">
        <v>#N/A</v>
        <stp/>
        <stp>BDH|18090849886716703640</stp>
        <tr r="E53" s="2"/>
      </tp>
      <tp t="e">
        <v>#N/A</v>
        <stp/>
        <stp>BDH|16404327993121741537</stp>
        <tr r="H60" s="2"/>
      </tp>
      <tp t="e">
        <v>#N/A</v>
        <stp/>
        <stp>BDH|13313986871644386191</stp>
        <tr r="C34" s="2"/>
      </tp>
      <tp t="e">
        <v>#N/A</v>
        <stp/>
        <stp>BDH|10281978588220821969</stp>
        <tr r="C68" s="2"/>
      </tp>
      <tp t="e">
        <v>#N/A</v>
        <stp/>
        <stp>BDH|18387715152530056230</stp>
        <tr r="I61" s="2"/>
      </tp>
      <tp t="e">
        <v>#N/A</v>
        <stp/>
        <stp>BDH|17539096529754434922</stp>
        <tr r="F31" s="2"/>
      </tp>
      <tp t="e">
        <v>#N/A</v>
        <stp/>
        <stp>BDH|14819675288065707734</stp>
        <tr r="F28" s="2"/>
      </tp>
      <tp t="e">
        <v>#N/A</v>
        <stp/>
        <stp>BDH|15421678382565409673</stp>
        <tr r="J88" s="2"/>
      </tp>
      <tp t="e">
        <v>#N/A</v>
        <stp/>
        <stp>BDH|13789372132042843988</stp>
        <tr r="E41" s="2"/>
      </tp>
      <tp t="e">
        <v>#N/A</v>
        <stp/>
        <stp>BDH|16909788927612302905</stp>
        <tr r="K20" s="2"/>
      </tp>
      <tp t="e">
        <v>#N/A</v>
        <stp/>
        <stp>BDH|11501866707926868796</stp>
        <tr r="E26" s="2"/>
      </tp>
      <tp t="e">
        <v>#N/A</v>
        <stp/>
        <stp>BDH|12397956261343228602</stp>
        <tr r="K19" s="2"/>
      </tp>
      <tp t="e">
        <v>#N/A</v>
        <stp/>
        <stp>BDH|16837594933939471120</stp>
        <tr r="H9" s="2"/>
      </tp>
      <tp t="e">
        <v>#N/A</v>
        <stp/>
        <stp>BDH|10057032713881101858</stp>
        <tr r="I90" s="2"/>
      </tp>
      <tp t="e">
        <v>#N/A</v>
        <stp/>
        <stp>BDH|16080803913607226059</stp>
        <tr r="J37" s="2"/>
      </tp>
      <tp t="e">
        <v>#N/A</v>
        <stp/>
        <stp>BDH|17191498758427058978</stp>
        <tr r="L35" s="2"/>
      </tp>
      <tp t="e">
        <v>#N/A</v>
        <stp/>
        <stp>BDH|17925068008797068803</stp>
        <tr r="E82" s="2"/>
      </tp>
      <tp t="e">
        <v>#N/A</v>
        <stp/>
        <stp>BDH|12117812344863561560</stp>
        <tr r="K30" s="2"/>
      </tp>
      <tp t="e">
        <v>#N/A</v>
        <stp/>
        <stp>BDH|17167273181421152412</stp>
        <tr r="K33" s="2"/>
      </tp>
      <tp t="e">
        <v>#N/A</v>
        <stp/>
        <stp>BDH|15342001176903018934</stp>
        <tr r="H41" s="2"/>
      </tp>
      <tp t="e">
        <v>#N/A</v>
        <stp/>
        <stp>BDH|13963106680565487743</stp>
        <tr r="C79" s="2"/>
      </tp>
      <tp t="e">
        <v>#N/A</v>
        <stp/>
        <stp>BDH|13141066207352132980</stp>
        <tr r="K93" s="2"/>
      </tp>
      <tp t="e">
        <v>#N/A</v>
        <stp/>
        <stp>BDH|17093934261158932830</stp>
        <tr r="F20" s="2"/>
      </tp>
      <tp t="e">
        <v>#N/A</v>
        <stp/>
        <stp>BDH|12183096110252531951</stp>
        <tr r="H73" s="2"/>
      </tp>
      <tp t="e">
        <v>#N/A</v>
        <stp/>
        <stp>BDH|17720809612957448195</stp>
        <tr r="G17" s="2"/>
      </tp>
      <tp t="e">
        <v>#N/A</v>
        <stp/>
        <stp>BDH|15678958731582252589</stp>
        <tr r="J87" s="2"/>
      </tp>
      <tp t="e">
        <v>#N/A</v>
        <stp/>
        <stp>BDH|18443525905327016281</stp>
        <tr r="I9" s="2"/>
      </tp>
      <tp t="e">
        <v>#N/A</v>
        <stp/>
        <stp>BDH|17855380439757165835</stp>
        <tr r="J52" s="2"/>
      </tp>
      <tp t="e">
        <v>#N/A</v>
        <stp/>
        <stp>BDH|15298784152156325960</stp>
        <tr r="K27" s="2"/>
      </tp>
      <tp t="e">
        <v>#N/A</v>
        <stp/>
        <stp>BDH|11241275719832236824</stp>
        <tr r="K21" s="2"/>
      </tp>
      <tp t="e">
        <v>#N/A</v>
        <stp/>
        <stp>BDH|16932464170844427971</stp>
        <tr r="J53" s="2"/>
      </tp>
      <tp t="e">
        <v>#N/A</v>
        <stp/>
        <stp>BDH|17361321757951800814</stp>
        <tr r="H49" s="2"/>
      </tp>
      <tp t="e">
        <v>#N/A</v>
        <stp/>
        <stp>BDH|10487012270687249885</stp>
        <tr r="F50" s="2"/>
      </tp>
      <tp t="e">
        <v>#N/A</v>
        <stp/>
        <stp>BDH|15665763901563885973</stp>
        <tr r="C44" s="2"/>
      </tp>
      <tp t="e">
        <v>#N/A</v>
        <stp/>
        <stp>BDH|13523373555218108479</stp>
        <tr r="L60" s="2"/>
      </tp>
      <tp t="e">
        <v>#N/A</v>
        <stp/>
        <stp>BDH|12132469713229703727</stp>
        <tr r="E9" s="2"/>
      </tp>
      <tp t="e">
        <v>#N/A</v>
        <stp/>
        <stp>BDH|10356466493652697606</stp>
        <tr r="G10" s="2"/>
      </tp>
      <tp t="e">
        <v>#N/A</v>
        <stp/>
        <stp>BDH|12157518653948994391</stp>
        <tr r="J26" s="2"/>
      </tp>
      <tp t="e">
        <v>#N/A</v>
        <stp/>
        <stp>BDH|17543413268334960866</stp>
        <tr r="I62" s="2"/>
      </tp>
      <tp t="e">
        <v>#N/A</v>
        <stp/>
        <stp>BDH|16958804829535293000</stp>
        <tr r="F98" s="2"/>
      </tp>
      <tp t="e">
        <v>#N/A</v>
        <stp/>
        <stp>BDH|16058916367397085749</stp>
        <tr r="L74" s="2"/>
      </tp>
      <tp t="e">
        <v>#N/A</v>
        <stp/>
        <stp>BDH|18084137700107464724</stp>
        <tr r="J16" s="2"/>
      </tp>
      <tp t="e">
        <v>#N/A</v>
        <stp/>
        <stp>BDH|14447656941199054654</stp>
        <tr r="K11" s="2"/>
      </tp>
      <tp t="e">
        <v>#N/A</v>
        <stp/>
        <stp>BDH|13641168496051259319</stp>
        <tr r="D73" s="2"/>
      </tp>
      <tp t="e">
        <v>#N/A</v>
        <stp/>
        <stp>BDH|10306321438731449884</stp>
        <tr r="D83" s="2"/>
      </tp>
      <tp t="e">
        <v>#N/A</v>
        <stp/>
        <stp>BDH|12079864592038758260</stp>
        <tr r="L63" s="2"/>
      </tp>
      <tp t="e">
        <v>#N/A</v>
        <stp/>
        <stp>BDH|14509535123519021319</stp>
        <tr r="D13" s="2"/>
      </tp>
      <tp t="e">
        <v>#N/A</v>
        <stp/>
        <stp>BDH|12812958645341951755</stp>
        <tr r="C21" s="2"/>
      </tp>
      <tp t="e">
        <v>#N/A</v>
        <stp/>
        <stp>BDH|12626072699963667192</stp>
        <tr r="L50" s="2"/>
      </tp>
      <tp t="e">
        <v>#N/A</v>
        <stp/>
        <stp>BDH|11993863101902124283</stp>
        <tr r="G45" s="2"/>
      </tp>
      <tp t="e">
        <v>#N/A</v>
        <stp/>
        <stp>BDH|14526389380130339698</stp>
        <tr r="C53" s="2"/>
      </tp>
      <tp t="e">
        <v>#N/A</v>
        <stp/>
        <stp>BDH|13422345095481395101</stp>
        <tr r="C56" s="2"/>
      </tp>
      <tp t="e">
        <v>#N/A</v>
        <stp/>
        <stp>BDH|12852680914979877550</stp>
        <tr r="G58" s="2"/>
      </tp>
      <tp t="e">
        <v>#N/A</v>
        <stp/>
        <stp>BDH|18241173018577097641</stp>
        <tr r="I65" s="2"/>
      </tp>
      <tp t="e">
        <v>#N/A</v>
        <stp/>
        <stp>BDH|13452898172381530438</stp>
        <tr r="C48" s="2"/>
      </tp>
      <tp t="e">
        <v>#N/A</v>
        <stp/>
        <stp>BDH|18325980001819969181</stp>
        <tr r="D81" s="2"/>
      </tp>
      <tp t="e">
        <v>#N/A</v>
        <stp/>
        <stp>BDH|14777098660358732330</stp>
        <tr r="F99" s="2"/>
      </tp>
      <tp t="e">
        <v>#N/A</v>
        <stp/>
        <stp>BDH|10398298864588509519</stp>
        <tr r="K65" s="2"/>
      </tp>
      <tp t="e">
        <v>#N/A</v>
        <stp/>
        <stp>BDH|16570730544984755890</stp>
        <tr r="E46" s="2"/>
      </tp>
      <tp t="e">
        <v>#N/A</v>
        <stp/>
        <stp>BDH|12388652988963667677</stp>
        <tr r="F18" s="2"/>
      </tp>
      <tp t="e">
        <v>#N/A</v>
        <stp/>
        <stp>BDH|12969957177373401605</stp>
        <tr r="G94" s="2"/>
      </tp>
      <tp t="e">
        <v>#N/A</v>
        <stp/>
        <stp>BDH|10090612852633462999</stp>
        <tr r="F81" s="2"/>
      </tp>
      <tp t="e">
        <v>#N/A</v>
        <stp/>
        <stp>BDH|13897999546975515530</stp>
        <tr r="G52" s="2"/>
      </tp>
      <tp t="e">
        <v>#N/A</v>
        <stp/>
        <stp>BDH|16060500497384729018</stp>
        <tr r="I63" s="2"/>
      </tp>
      <tp t="e">
        <v>#N/A</v>
        <stp/>
        <stp>BDH|10213948706686542149</stp>
        <tr r="E89" s="2"/>
      </tp>
      <tp t="e">
        <v>#N/A</v>
        <stp/>
        <stp>BDH|13400791297357996432</stp>
        <tr r="F66" s="2"/>
      </tp>
      <tp t="e">
        <v>#N/A</v>
        <stp/>
        <stp>BDH|15706625760588419319</stp>
        <tr r="C30" s="2"/>
      </tp>
      <tp t="e">
        <v>#N/A</v>
        <stp/>
        <stp>BDH|18217340451240097076</stp>
        <tr r="D99" s="2"/>
      </tp>
      <tp t="e">
        <v>#N/A</v>
        <stp/>
        <stp>BDH|12525929774810338203</stp>
        <tr r="K26" s="2"/>
      </tp>
      <tp t="e">
        <v>#N/A</v>
        <stp/>
        <stp>BDH|16416738381877762017</stp>
        <tr r="D46" s="2"/>
      </tp>
      <tp t="e">
        <v>#N/A</v>
        <stp/>
        <stp>BDH|15647838746763029403</stp>
        <tr r="K59" s="2"/>
      </tp>
      <tp t="e">
        <v>#N/A</v>
        <stp/>
        <stp>BDH|11216771612369628022</stp>
        <tr r="K46" s="2"/>
      </tp>
      <tp t="e">
        <v>#N/A</v>
        <stp/>
        <stp>BDH|14427510422859238468</stp>
        <tr r="F21" s="2"/>
      </tp>
      <tp t="e">
        <v>#N/A</v>
        <stp/>
        <stp>BDH|13625887231346519096</stp>
        <tr r="D70" s="2"/>
      </tp>
      <tp t="e">
        <v>#N/A</v>
        <stp/>
        <stp>BDH|10637021989272827466</stp>
        <tr r="H97" s="2"/>
      </tp>
      <tp t="e">
        <v>#N/A</v>
        <stp/>
        <stp>BDH|13893565094750068186</stp>
        <tr r="E8" s="2"/>
      </tp>
      <tp t="e">
        <v>#N/A</v>
        <stp/>
        <stp>BDH|11606059584154634337</stp>
        <tr r="F14" s="2"/>
      </tp>
      <tp t="e">
        <v>#N/A</v>
        <stp/>
        <stp>BDH|18065647277827867098</stp>
        <tr r="C71" s="2"/>
      </tp>
      <tp t="e">
        <v>#N/A</v>
        <stp/>
        <stp>BDH|12829615127888359088</stp>
        <tr r="E78" s="2"/>
      </tp>
      <tp t="e">
        <v>#N/A</v>
        <stp/>
        <stp>BDH|15349201868766664983</stp>
        <tr r="L33" s="2"/>
      </tp>
      <tp t="e">
        <v>#N/A</v>
        <stp/>
        <stp>BDH|17466774036894541942</stp>
        <tr r="I82" s="2"/>
      </tp>
      <tp t="e">
        <v>#N/A</v>
        <stp/>
        <stp>BDH|16245010261226027855</stp>
        <tr r="H93" s="2"/>
      </tp>
      <tp t="e">
        <v>#N/A</v>
        <stp/>
        <stp>BDH|14494934001306803579</stp>
        <tr r="I93" s="2"/>
      </tp>
      <tp t="e">
        <v>#N/A</v>
        <stp/>
        <stp>BDH|14840435429858351489</stp>
        <tr r="F70" s="2"/>
      </tp>
      <tp t="e">
        <v>#N/A</v>
        <stp/>
        <stp>BDH|18183385745048597900</stp>
        <tr r="G56" s="2"/>
      </tp>
      <tp t="e">
        <v>#N/A</v>
        <stp/>
        <stp>BDH|10566863439887784254</stp>
        <tr r="I81" s="2"/>
      </tp>
      <tp t="e">
        <v>#N/A</v>
        <stp/>
        <stp>BDH|15970922841000218603</stp>
        <tr r="H31" s="2"/>
      </tp>
      <tp t="e">
        <v>#N/A</v>
        <stp/>
        <stp>BDH|17574334339941731836</stp>
        <tr r="K69" s="2"/>
      </tp>
      <tp t="e">
        <v>#N/A</v>
        <stp/>
        <stp>BDH|17172633886856934174</stp>
        <tr r="L65" s="2"/>
      </tp>
      <tp t="e">
        <v>#N/A</v>
        <stp/>
        <stp>BDH|11015772599674558561</stp>
        <tr r="H22" s="2"/>
      </tp>
      <tp t="e">
        <v>#N/A</v>
        <stp/>
        <stp>BDH|16213728937024372885</stp>
        <tr r="D49" s="2"/>
      </tp>
      <tp t="e">
        <v>#N/A</v>
        <stp/>
        <stp>BDH|10061913508230003751</stp>
        <tr r="G71" s="2"/>
      </tp>
      <tp t="e">
        <v>#N/A</v>
        <stp/>
        <stp>BDH|12345551909649920098</stp>
        <tr r="H19" s="2"/>
      </tp>
      <tp t="e">
        <v>#N/A</v>
        <stp/>
        <stp>BDH|15816489398052429429</stp>
        <tr r="I31" s="2"/>
      </tp>
      <tp t="e">
        <v>#N/A</v>
        <stp/>
        <stp>BDH|13834515369526570947</stp>
        <tr r="J14" s="2"/>
      </tp>
      <tp t="e">
        <v>#N/A</v>
        <stp/>
        <stp>BDH|10134362687890833498</stp>
        <tr r="C45" s="2"/>
      </tp>
      <tp t="e">
        <v>#N/A</v>
        <stp/>
        <stp>BDH|10778051480770135725</stp>
        <tr r="H89" s="2"/>
      </tp>
      <tp t="e">
        <v>#N/A</v>
        <stp/>
        <stp>BDH|16441264181333570056</stp>
        <tr r="G9" s="2"/>
      </tp>
      <tp t="e">
        <v>#N/A</v>
        <stp/>
        <stp>BDH|16903648316497851910</stp>
        <tr r="C63" s="2"/>
      </tp>
      <tp t="e">
        <v>#N/A</v>
        <stp/>
        <stp>BDH|10036330500924087813</stp>
        <tr r="D62" s="2"/>
      </tp>
      <tp t="e">
        <v>#N/A</v>
        <stp/>
        <stp>BDH|10683349512199085451</stp>
        <tr r="J44" s="2"/>
      </tp>
      <tp t="e">
        <v>#N/A</v>
        <stp/>
        <stp>BDH|11265472014518452301</stp>
        <tr r="H61" s="2"/>
      </tp>
      <tp t="e">
        <v>#N/A</v>
        <stp/>
        <stp>BDH|14684441382716334142</stp>
        <tr r="K91" s="2"/>
      </tp>
      <tp t="e">
        <v>#N/A</v>
        <stp/>
        <stp>BDH|11556753898428900861</stp>
        <tr r="E52" s="2"/>
      </tp>
      <tp t="e">
        <v>#N/A</v>
        <stp/>
        <stp>BDH|16013420214229359521</stp>
        <tr r="H29" s="2"/>
      </tp>
      <tp t="e">
        <v>#N/A</v>
        <stp/>
        <stp>BDH|15185709776403190905</stp>
        <tr r="I51" s="2"/>
      </tp>
      <tp t="e">
        <v>#N/A</v>
        <stp/>
        <stp>BDH|17758869420760396240</stp>
        <tr r="J17" s="2"/>
      </tp>
      <tp t="e">
        <v>#N/A</v>
        <stp/>
        <stp>BDH|17143428136356237919</stp>
        <tr r="C75" s="2"/>
      </tp>
      <tp t="e">
        <v>#N/A</v>
        <stp/>
        <stp>BDH|15846137395822406037</stp>
        <tr r="J10" s="2"/>
      </tp>
      <tp t="e">
        <v>#N/A</v>
        <stp/>
        <stp>BDH|11238795604369729016</stp>
        <tr r="I42" s="2"/>
      </tp>
      <tp t="e">
        <v>#N/A</v>
        <stp/>
        <stp>BDH|14943922305381356352</stp>
        <tr r="K48" s="2"/>
      </tp>
      <tp t="e">
        <v>#N/A</v>
        <stp/>
        <stp>BDH|12945851505476382306</stp>
        <tr r="D63" s="2"/>
      </tp>
      <tp t="e">
        <v>#N/A</v>
        <stp/>
        <stp>BDH|11369652659824323960</stp>
        <tr r="G61" s="2"/>
      </tp>
      <tp t="e">
        <v>#N/A</v>
        <stp/>
        <stp>BDH|12652295838789894527</stp>
        <tr r="C33" s="2"/>
      </tp>
      <tp t="e">
        <v>#N/A</v>
        <stp/>
        <stp>BDH|17673902265557923074</stp>
        <tr r="E93" s="2"/>
      </tp>
      <tp t="e">
        <v>#N/A</v>
        <stp/>
        <stp>BDH|17580976239756053475</stp>
        <tr r="G33" s="2"/>
      </tp>
      <tp t="e">
        <v>#N/A</v>
        <stp/>
        <stp>BDH|12458992531542272529</stp>
        <tr r="L75" s="2"/>
      </tp>
      <tp t="e">
        <v>#N/A</v>
        <stp/>
        <stp>BDH|18437543520206551555</stp>
        <tr r="H27" s="2"/>
      </tp>
      <tp t="e">
        <v>#N/A</v>
        <stp/>
        <stp>BDH|11818847722397755095</stp>
        <tr r="K90" s="2"/>
      </tp>
      <tp t="e">
        <v>#N/A</v>
        <stp/>
        <stp>BDH|11245971044904025426</stp>
        <tr r="L30" s="2"/>
      </tp>
      <tp t="e">
        <v>#N/A</v>
        <stp/>
        <stp>BDH|11210844335940626662</stp>
        <tr r="E80" s="2"/>
      </tp>
      <tp t="e">
        <v>#N/A</v>
        <stp/>
        <stp>BDH|11164726119319976219</stp>
        <tr r="L49" s="2"/>
      </tp>
      <tp t="e">
        <v>#N/A</v>
        <stp/>
        <stp>BDH|17035926003720605256</stp>
        <tr r="L46" s="2"/>
      </tp>
      <tp t="e">
        <v>#N/A</v>
        <stp/>
        <stp>BDH|11152518896177621656</stp>
        <tr r="L64" s="2"/>
      </tp>
      <tp t="e">
        <v>#N/A</v>
        <stp/>
        <stp>BDH|17535443833218221451</stp>
        <tr r="C46" s="2"/>
      </tp>
      <tp t="e">
        <v>#N/A</v>
        <stp/>
        <stp>BDH|17498002295914156678</stp>
        <tr r="J48" s="2"/>
      </tp>
      <tp t="e">
        <v>#N/A</v>
        <stp/>
        <stp>BDH|12754320419879876539</stp>
        <tr r="C80" s="2"/>
      </tp>
      <tp t="e">
        <v>#N/A</v>
        <stp/>
        <stp>BDH|11047885994605487910</stp>
        <tr r="D41" s="2"/>
      </tp>
      <tp t="e">
        <v>#N/A</v>
        <stp/>
        <stp>BDH|14624897760916387053</stp>
        <tr r="G23" s="2"/>
      </tp>
      <tp t="e">
        <v>#N/A</v>
        <stp/>
        <stp>BDH|17859201053388644454</stp>
        <tr r="C23" s="2"/>
      </tp>
      <tp t="e">
        <v>#N/A</v>
        <stp/>
        <stp>BDH|13806534910379065201</stp>
        <tr r="I73" s="2"/>
      </tp>
      <tp t="e">
        <v>#N/A</v>
        <stp/>
        <stp>BDH|16852105721908237115</stp>
        <tr r="G87" s="2"/>
      </tp>
      <tp t="e">
        <v>#N/A</v>
        <stp/>
        <stp>BDH|12595402980581956318</stp>
        <tr r="G35" s="2"/>
      </tp>
      <tp t="e">
        <v>#N/A</v>
        <stp/>
        <stp>BDH|12987460046138535608</stp>
        <tr r="I78" s="2"/>
      </tp>
      <tp t="e">
        <v>#N/A</v>
        <stp/>
        <stp>BDH|17077015228439442015</stp>
        <tr r="J92" s="2"/>
      </tp>
      <tp t="e">
        <v>#N/A</v>
        <stp/>
        <stp>BDH|17209922032707504689</stp>
        <tr r="E65" s="2"/>
      </tp>
      <tp t="e">
        <v>#N/A</v>
        <stp/>
        <stp>BDH|15242687864229726063</stp>
        <tr r="J40" s="2"/>
      </tp>
      <tp t="e">
        <v>#N/A</v>
        <stp/>
        <stp>BDH|12900601174867836941</stp>
        <tr r="L22" s="2"/>
      </tp>
      <tp t="e">
        <v>#N/A</v>
        <stp/>
        <stp>BDH|17725965305823098055</stp>
        <tr r="D29" s="2"/>
      </tp>
      <tp t="e">
        <v>#N/A</v>
        <stp/>
        <stp>BDH|17140870995672102936</stp>
        <tr r="H53" s="2"/>
      </tp>
      <tp t="e">
        <v>#N/A</v>
        <stp/>
        <stp>BDH|10432899539913081541</stp>
        <tr r="C96" s="2"/>
      </tp>
      <tp t="e">
        <v>#N/A</v>
        <stp/>
        <stp>BDH|10031566143048782425</stp>
        <tr r="K80" s="2"/>
      </tp>
      <tp t="e">
        <v>#N/A</v>
        <stp/>
        <stp>BDH|13705840595038266775</stp>
        <tr r="I47" s="2"/>
      </tp>
      <tp t="e">
        <v>#N/A</v>
        <stp/>
        <stp>BDH|18204528827531501303</stp>
        <tr r="L11" s="2"/>
      </tp>
      <tp t="e">
        <v>#N/A</v>
        <stp/>
        <stp>BDH|18137539258621981444</stp>
        <tr r="D71" s="2"/>
      </tp>
      <tp t="e">
        <v>#N/A</v>
        <stp/>
        <stp>BDH|12048186881684218227</stp>
        <tr r="C37" s="2"/>
      </tp>
      <tp t="e">
        <v>#N/A</v>
        <stp/>
        <stp>BDH|10850352883010055643</stp>
        <tr r="E25" s="2"/>
      </tp>
      <tp t="e">
        <v>#N/A</v>
        <stp/>
        <stp>BDH|10593441303829817001</stp>
        <tr r="J77" s="2"/>
      </tp>
      <tp t="e">
        <v>#N/A</v>
        <stp/>
        <stp>BDH|12457673857769067591</stp>
        <tr r="C50" s="2"/>
      </tp>
      <tp t="e">
        <v>#N/A</v>
        <stp/>
        <stp>BDH|12955117266249716152</stp>
        <tr r="H13" s="2"/>
      </tp>
      <tp t="e">
        <v>#N/A</v>
        <stp/>
        <stp>BDH|17234682707265057927</stp>
        <tr r="J27" s="2"/>
      </tp>
      <tp t="e">
        <v>#N/A</v>
        <stp/>
        <stp>BDH|11739394287292583527</stp>
        <tr r="J65" s="2"/>
      </tp>
      <tp t="e">
        <v>#N/A</v>
        <stp/>
        <stp>BDH|14720983148844896019</stp>
        <tr r="G42" s="2"/>
      </tp>
      <tp t="e">
        <v>#N/A</v>
        <stp/>
        <stp>BDH|13458651278139111669</stp>
        <tr r="E74" s="2"/>
      </tp>
      <tp t="e">
        <v>#N/A</v>
        <stp/>
        <stp>BDH|12834130725918567459</stp>
        <tr r="F95" s="2"/>
      </tp>
      <tp t="e">
        <v>#N/A</v>
        <stp/>
        <stp>BDH|11058794238441832685</stp>
        <tr r="J25" s="2"/>
      </tp>
      <tp t="e">
        <v>#N/A</v>
        <stp/>
        <stp>BDH|13892472111634913068</stp>
        <tr r="H65" s="2"/>
      </tp>
      <tp t="e">
        <v>#N/A</v>
        <stp/>
        <stp>BDH|11987378116054818506</stp>
        <tr r="E27" s="2"/>
      </tp>
      <tp t="e">
        <v>#N/A</v>
        <stp/>
        <stp>BDH|10452276806092791212</stp>
        <tr r="C41" s="2"/>
      </tp>
      <tp t="e">
        <v>#N/A</v>
        <stp/>
        <stp>BDH|17693506874183206438</stp>
        <tr r="F16" s="2"/>
      </tp>
      <tp t="e">
        <v>#N/A</v>
        <stp/>
        <stp>BDH|17629784695928918303</stp>
        <tr r="F71" s="2"/>
      </tp>
      <tp t="e">
        <v>#N/A</v>
        <stp/>
        <stp>BDH|10912234819751131077</stp>
        <tr r="E67" s="2"/>
      </tp>
      <tp t="e">
        <v>#N/A</v>
        <stp/>
        <stp>BDH|15535283746708969961</stp>
        <tr r="E33" s="2"/>
      </tp>
      <tp t="e">
        <v>#N/A</v>
        <stp/>
        <stp>BDH|10916594362528293949</stp>
        <tr r="H15" s="2"/>
      </tp>
      <tp t="e">
        <v>#N/A</v>
        <stp/>
        <stp>BDH|14990986944119910248</stp>
        <tr r="C70" s="2"/>
      </tp>
      <tp t="e">
        <v>#N/A</v>
        <stp/>
        <stp>BDH|18165223504620474884</stp>
        <tr r="H34" s="2"/>
      </tp>
      <tp t="e">
        <v>#N/A</v>
        <stp/>
        <stp>BDH|13985345621164960481</stp>
        <tr r="D14" s="2"/>
      </tp>
      <tp t="e">
        <v>#N/A</v>
        <stp/>
        <stp>BDH|15448190833666681351</stp>
        <tr r="K76" s="2"/>
      </tp>
      <tp t="e">
        <v>#N/A</v>
        <stp/>
        <stp>BDH|11593307069403553544</stp>
        <tr r="C12" s="2"/>
      </tp>
      <tp t="e">
        <v>#N/A</v>
        <stp/>
        <stp>BDH|10546731657911537195</stp>
        <tr r="D95" s="2"/>
      </tp>
      <tp t="e">
        <v>#N/A</v>
        <stp/>
        <stp>BDH|13523153855365885002</stp>
        <tr r="L8" s="2"/>
      </tp>
      <tp t="e">
        <v>#N/A</v>
        <stp/>
        <stp>BDH|15655470533774876476</stp>
        <tr r="F48" s="2"/>
      </tp>
      <tp t="e">
        <v>#N/A</v>
        <stp/>
        <stp>BDH|13219510204521330582</stp>
        <tr r="C78" s="2"/>
      </tp>
      <tp t="e">
        <v>#N/A</v>
        <stp/>
        <stp>BDH|15222430706062260190</stp>
        <tr r="L51" s="2"/>
      </tp>
      <tp t="e">
        <v>#N/A</v>
        <stp/>
        <stp>BDH|11975480161639644897</stp>
        <tr r="C64" s="2"/>
      </tp>
      <tp t="e">
        <v>#N/A</v>
        <stp/>
        <stp>BDH|10516524235252435684</stp>
        <tr r="L95" s="2"/>
      </tp>
      <tp t="e">
        <v>#N/A</v>
        <stp/>
        <stp>BDH|13614415955393877345</stp>
        <tr r="J41" s="2"/>
      </tp>
      <tp t="e">
        <v>#N/A</v>
        <stp/>
        <stp>BDH|11783868163485435963</stp>
        <tr r="G31" s="2"/>
      </tp>
      <tp t="e">
        <v>#N/A</v>
        <stp/>
        <stp>BDH|14365516300062729065</stp>
        <tr r="E10" s="2"/>
      </tp>
      <tp t="e">
        <v>#N/A</v>
        <stp/>
        <stp>BDH|12378152986258743045</stp>
        <tr r="L19" s="2"/>
      </tp>
      <tp t="e">
        <v>#N/A</v>
        <stp/>
        <stp>BDH|16266938860593543968</stp>
        <tr r="I57" s="2"/>
      </tp>
      <tp t="e">
        <v>#N/A</v>
        <stp/>
        <stp>BDH|11925225439371294255</stp>
        <tr r="H77" s="2"/>
      </tp>
      <tp t="e">
        <v>#N/A</v>
        <stp/>
        <stp>BDH|18383140233080566941</stp>
        <tr r="D57" s="2"/>
      </tp>
      <tp t="e">
        <v>#N/A</v>
        <stp/>
        <stp>BDH|10401452119740986649</stp>
        <tr r="F76" s="2"/>
      </tp>
      <tp t="e">
        <v>#N/A</v>
        <stp/>
        <stp>BDH|11334144373886918297</stp>
        <tr r="F53" s="2"/>
      </tp>
      <tp t="e">
        <v>#N/A</v>
        <stp/>
        <stp>BDH|14479862052908776234</stp>
        <tr r="F42" s="2"/>
      </tp>
      <tp t="e">
        <v>#N/A</v>
        <stp/>
        <stp>BDH|12152081046482368785</stp>
        <tr r="H66" s="2"/>
      </tp>
      <tp t="e">
        <v>#N/A</v>
        <stp/>
        <stp>BDH|10414170715937536448</stp>
        <tr r="F56" s="2"/>
      </tp>
      <tp t="e">
        <v>#N/A</v>
        <stp/>
        <stp>BDH|10128984194544838734</stp>
        <tr r="F32" s="2"/>
      </tp>
      <tp t="e">
        <v>#N/A</v>
        <stp/>
        <stp>BDH|14421293616331667546</stp>
        <tr r="E66" s="2"/>
      </tp>
      <tp t="e">
        <v>#N/A</v>
        <stp/>
        <stp>BDH|12873545022974450212</stp>
        <tr r="E54" s="2"/>
      </tp>
      <tp t="e">
        <v>#N/A</v>
        <stp/>
        <stp>BDH|18045594025624381853</stp>
        <tr r="L27" s="2"/>
      </tp>
      <tp t="e">
        <v>#N/A</v>
        <stp/>
        <stp>BDH|13129476901833878727</stp>
        <tr r="K23" s="2"/>
      </tp>
      <tp t="e">
        <v>#N/A</v>
        <stp/>
        <stp>BDH|15799899443748512257</stp>
        <tr r="L67" s="2"/>
      </tp>
      <tp t="e">
        <v>#N/A</v>
        <stp/>
        <stp>BDH|12511443477565833730</stp>
        <tr r="H67" s="2"/>
      </tp>
      <tp t="e">
        <v>#N/A</v>
        <stp/>
        <stp>BDH|12940505764464009619</stp>
        <tr r="H76" s="2"/>
      </tp>
      <tp t="e">
        <v>#N/A</v>
        <stp/>
        <stp>BDH|16252312236125310095</stp>
        <tr r="D79" s="2"/>
      </tp>
      <tp t="e">
        <v>#N/A</v>
        <stp/>
        <stp>BDH|16136759532445410720</stp>
        <tr r="J45" s="2"/>
      </tp>
      <tp t="e">
        <v>#N/A</v>
        <stp/>
        <stp>BDH|13292156241604096266</stp>
        <tr r="F94" s="2"/>
      </tp>
      <tp t="e">
        <v>#N/A</v>
        <stp/>
        <stp>BDH|16421295555536877700</stp>
        <tr r="E56" s="2"/>
      </tp>
      <tp t="e">
        <v>#N/A</v>
        <stp/>
        <stp>BDH|13780551430766663374</stp>
        <tr r="J29" s="2"/>
      </tp>
      <tp t="e">
        <v>#N/A</v>
        <stp/>
        <stp>BDH|15748400630530650224</stp>
        <tr r="G32" s="2"/>
      </tp>
      <tp t="e">
        <v>#N/A</v>
        <stp/>
        <stp>BDH|12525116187189905292</stp>
        <tr r="G48" s="2"/>
      </tp>
      <tp t="e">
        <v>#N/A</v>
        <stp/>
        <stp>BDH|12575177357231249758</stp>
        <tr r="H98" s="2"/>
      </tp>
      <tp t="e">
        <v>#N/A</v>
        <stp/>
        <stp>BDH|17267565248213754596</stp>
        <tr r="D10" s="2"/>
      </tp>
      <tp t="e">
        <v>#N/A</v>
        <stp/>
        <stp>BDH|17925982822218925480</stp>
        <tr r="I18" s="2"/>
      </tp>
      <tp t="e">
        <v>#N/A</v>
        <stp/>
        <stp>BDH|10540135802443205241</stp>
        <tr r="E17" s="2"/>
      </tp>
      <tp t="e">
        <v>#N/A</v>
        <stp/>
        <stp>BDH|14138231157857865485</stp>
        <tr r="C43" s="2"/>
      </tp>
      <tp t="e">
        <v>#N/A</v>
        <stp/>
        <stp>BDH|17066529716674744777</stp>
        <tr r="H40" s="2"/>
      </tp>
      <tp t="e">
        <v>#N/A</v>
        <stp/>
        <stp>BDH|17068309115497909284</stp>
        <tr r="L55" s="2"/>
      </tp>
      <tp t="e">
        <v>#N/A</v>
        <stp/>
        <stp>BDH|14673851758949930062</stp>
        <tr r="K10" s="2"/>
      </tp>
      <tp t="e">
        <v>#N/A</v>
        <stp/>
        <stp>BDH|12341200604085278511</stp>
        <tr r="J18" s="2"/>
      </tp>
      <tp t="e">
        <v>#N/A</v>
        <stp/>
        <stp>BDH|10318854493289428860</stp>
        <tr r="J47" s="2"/>
      </tp>
      <tp t="e">
        <v>#N/A</v>
        <stp/>
        <stp>BDH|18077275120621428958</stp>
        <tr r="H16" s="2"/>
      </tp>
      <tp t="e">
        <v>#N/A</v>
        <stp/>
        <stp>BDH|12553332755367361366</stp>
        <tr r="C58" s="2"/>
      </tp>
      <tp t="e">
        <v>#N/A</v>
        <stp/>
        <stp>BDH|10874034302822794277</stp>
        <tr r="F74" s="2"/>
      </tp>
      <tp t="e">
        <v>#N/A</v>
        <stp/>
        <stp>BDH|16317821089837307107</stp>
        <tr r="H70" s="2"/>
      </tp>
      <tp t="e">
        <v>#N/A</v>
        <stp/>
        <stp>BDH|16694303955547842707</stp>
        <tr r="H99" s="2"/>
      </tp>
      <tp t="e">
        <v>#N/A</v>
        <stp/>
        <stp>BDH|11566946159148148534</stp>
        <tr r="C17" s="2"/>
      </tp>
      <tp t="e">
        <v>#N/A</v>
        <stp/>
        <stp>BDH|17234446168633650657</stp>
        <tr r="K34" s="2"/>
      </tp>
      <tp t="e">
        <v>#N/A</v>
        <stp/>
        <stp>BDH|17908866887665157255</stp>
        <tr r="J12" s="2"/>
      </tp>
      <tp t="e">
        <v>#N/A</v>
        <stp/>
        <stp>BDH|13668740842855868571</stp>
        <tr r="G68" s="2"/>
      </tp>
      <tp t="e">
        <v>#N/A</v>
        <stp/>
        <stp>BDH|11238523326611854713</stp>
        <tr r="H68" s="2"/>
      </tp>
      <tp t="e">
        <v>#N/A</v>
        <stp/>
        <stp>BDH|12105253828856297416</stp>
        <tr r="L89" s="2"/>
      </tp>
      <tp t="e">
        <v>#N/A</v>
        <stp/>
        <stp>BDH|13169275851757197380</stp>
        <tr r="D32" s="2"/>
      </tp>
      <tp t="e">
        <v>#N/A</v>
        <stp/>
        <stp>BDH|16513057240932695083</stp>
        <tr r="H45" s="2"/>
      </tp>
      <tp t="e">
        <v>#N/A</v>
        <stp/>
        <stp>BDH|18013905818688843917</stp>
        <tr r="K94" s="2"/>
      </tp>
      <tp t="e">
        <v>#N/A</v>
        <stp/>
        <stp>BDH|12114862507192315924</stp>
        <tr r="H33" s="2"/>
      </tp>
      <tp t="e">
        <v>#N/A</v>
        <stp/>
        <stp>BDH|10229763252903636001</stp>
        <tr r="J19" s="2"/>
      </tp>
      <tp t="e">
        <v>#N/A</v>
        <stp/>
        <stp>BDH|14925796963011453577</stp>
        <tr r="I32" s="2"/>
      </tp>
      <tp t="e">
        <v>#N/A</v>
        <stp/>
        <stp>BDH|14763388146376334491</stp>
        <tr r="K63" s="2"/>
      </tp>
      <tp t="e">
        <v>#N/A</v>
        <stp/>
        <stp>BDH|11040948688058832971</stp>
        <tr r="H92" s="2"/>
      </tp>
      <tp t="e">
        <v>#N/A</v>
        <stp/>
        <stp>BDH|14199647461303793609</stp>
        <tr r="F51" s="2"/>
      </tp>
      <tp t="e">
        <v>#N/A</v>
        <stp/>
        <stp>BDH|17807862915708120795</stp>
        <tr r="H71" s="2"/>
      </tp>
      <tp t="e">
        <v>#N/A</v>
        <stp/>
        <stp>BDH|10904238070853156784</stp>
        <tr r="G36" s="2"/>
      </tp>
      <tp t="e">
        <v>#N/A</v>
        <stp/>
        <stp>BDH|15550158619885872126</stp>
        <tr r="H81" s="2"/>
      </tp>
      <tp t="e">
        <v>#N/A</v>
        <stp/>
        <stp>BDH|12774600263900388351</stp>
        <tr r="J69" s="2"/>
      </tp>
      <tp t="e">
        <v>#N/A</v>
        <stp/>
        <stp>BDH|13143801951659209675</stp>
        <tr r="K25" s="2"/>
      </tp>
      <tp t="e">
        <v>#N/A</v>
        <stp/>
        <stp>BDH|13136348202300130123</stp>
        <tr r="C31" s="2"/>
      </tp>
      <tp t="e">
        <v>#N/A</v>
        <stp/>
        <stp>BDH|12011159214772419110</stp>
        <tr r="C62" s="2"/>
      </tp>
      <tp t="e">
        <v>#N/A</v>
        <stp/>
        <stp>BDH|13204445556092107157</stp>
        <tr r="C7" s="2"/>
      </tp>
      <tp t="e">
        <v>#N/A</v>
        <stp/>
        <stp>BDH|15476280716234848341</stp>
        <tr r="D21" s="2"/>
      </tp>
      <tp t="e">
        <v>#N/A</v>
        <stp/>
        <stp>BDH|12035526226812798650</stp>
        <tr r="J97" s="2"/>
      </tp>
      <tp t="e">
        <v>#N/A</v>
        <stp/>
        <stp>BDH|17715162080146184999</stp>
        <tr r="G80" s="2"/>
      </tp>
      <tp t="e">
        <v>#N/A</v>
        <stp/>
        <stp>BDH|17312339251828082897</stp>
        <tr r="F69" s="2"/>
      </tp>
      <tp t="e">
        <v>#N/A</v>
        <stp/>
        <stp>BDH|16771105167632128298</stp>
        <tr r="J31" s="2"/>
      </tp>
      <tp t="e">
        <v>#N/A</v>
        <stp/>
        <stp>BDH|14960172485635414972</stp>
        <tr r="L10" s="2"/>
      </tp>
      <tp t="e">
        <v>#N/A</v>
        <stp/>
        <stp>BDH|15721118747042997333</stp>
        <tr r="E90" s="2"/>
      </tp>
      <tp t="e">
        <v>#N/A</v>
        <stp/>
        <stp>BDH|13317491571117663663</stp>
        <tr r="K16" s="2"/>
      </tp>
      <tp t="e">
        <v>#N/A</v>
        <stp/>
        <stp>BDH|10251838118239381108</stp>
        <tr r="G93" s="2"/>
      </tp>
      <tp t="e">
        <v>#N/A</v>
        <stp/>
        <stp>BDH|11645022624326273486</stp>
        <tr r="I91" s="2"/>
      </tp>
      <tp t="e">
        <v>#N/A</v>
        <stp/>
        <stp>BDH|15601311575982677295</stp>
        <tr r="J54" s="2"/>
      </tp>
      <tp t="e">
        <v>#N/A</v>
        <stp/>
        <stp>BDH|10486389231469664869</stp>
        <tr r="G37" s="2"/>
      </tp>
      <tp t="e">
        <v>#N/A</v>
        <stp/>
        <stp>BDH|11999614254127612472</stp>
        <tr r="C19" s="2"/>
      </tp>
      <tp t="e">
        <v>#N/A</v>
        <stp/>
        <stp>BDH|11036688076557640640</stp>
        <tr r="D35" s="2"/>
      </tp>
      <tp t="e">
        <v>#N/A</v>
        <stp/>
        <stp>BDH|18173020163867434885</stp>
        <tr r="E92" s="2"/>
      </tp>
      <tp t="e">
        <v>#N/A</v>
        <stp/>
        <stp>BDH|17231496513170782306</stp>
        <tr r="G46" s="2"/>
      </tp>
      <tp t="e">
        <v>#N/A</v>
        <stp/>
        <stp>BDH|16642493231095329522</stp>
        <tr r="E43" s="2"/>
      </tp>
      <tp t="e">
        <v>#N/A</v>
        <stp/>
        <stp>BDH|13221924488307093395</stp>
        <tr r="H63" s="2"/>
      </tp>
      <tp t="e">
        <v>#N/A</v>
        <stp/>
        <stp>BDH|18378258497534327137</stp>
        <tr r="L80" s="2"/>
      </tp>
      <tp t="e">
        <v>#N/A</v>
        <stp/>
        <stp>BDH|11122213137252501430</stp>
        <tr r="L9" s="2"/>
      </tp>
      <tp t="e">
        <v>#N/A</v>
        <stp/>
        <stp>BDH|15288347303405023548</stp>
        <tr r="D72" s="2"/>
      </tp>
      <tp t="e">
        <v>#N/A</v>
        <stp/>
        <stp>BDH|12516525111833334352</stp>
        <tr r="J35" s="2"/>
      </tp>
      <tp t="e">
        <v>#N/A</v>
        <stp/>
        <stp>BDH|11642359341547259735</stp>
        <tr r="K13" s="2"/>
      </tp>
      <tp t="e">
        <v>#N/A</v>
        <stp/>
        <stp>BDH|11359213297149769519</stp>
        <tr r="I60" s="2"/>
      </tp>
      <tp t="e">
        <v>#N/A</v>
        <stp/>
        <stp>BDH|13496917982412635633</stp>
        <tr r="I29" s="2"/>
      </tp>
      <tp t="e">
        <v>#N/A</v>
        <stp/>
        <stp>BDH|12589287944370316282</stp>
        <tr r="L26" s="2"/>
      </tp>
      <tp t="e">
        <v>#N/A</v>
        <stp/>
        <stp>BDH|18113021628004834812</stp>
        <tr r="E57" s="2"/>
      </tp>
      <tp t="e">
        <v>#N/A</v>
        <stp/>
        <stp>BDH|12887608330725210482</stp>
        <tr r="E98" s="2"/>
      </tp>
      <tp t="e">
        <v>#N/A</v>
        <stp/>
        <stp>BDH|17317956642818440454</stp>
        <tr r="E68" s="2"/>
      </tp>
      <tp t="e">
        <v>#N/A</v>
        <stp/>
        <stp>BDH|17112052034931507307</stp>
        <tr r="F24" s="2"/>
      </tp>
      <tp t="e">
        <v>#N/A</v>
        <stp/>
        <stp>BDH|14795431136020077579</stp>
        <tr r="C67" s="2"/>
      </tp>
      <tp t="e">
        <v>#N/A</v>
        <stp/>
        <stp>BDH|16476623377691475019</stp>
        <tr r="E23" s="2"/>
      </tp>
      <tp t="e">
        <v>#N/A</v>
        <stp/>
        <stp>BDH|14800896375164766970</stp>
        <tr r="D48" s="2"/>
      </tp>
      <tp t="e">
        <v>#N/A</v>
        <stp/>
        <stp>BDH|10791431702550388210</stp>
        <tr r="H8" s="2"/>
      </tp>
      <tp t="e">
        <v>#N/A</v>
        <stp/>
        <stp>BDH|13410380858466568562</stp>
        <tr r="C16" s="2"/>
      </tp>
      <tp t="e">
        <v>#N/A</v>
        <stp/>
        <stp>BDH|11068434650556621025</stp>
        <tr r="L32" s="2"/>
      </tp>
      <tp t="e">
        <v>#N/A</v>
        <stp/>
        <stp>BDH|17788516495518620537</stp>
        <tr r="D76" s="2"/>
      </tp>
      <tp t="e">
        <v>#N/A</v>
        <stp/>
        <stp>BDH|15101386821441675382</stp>
        <tr r="D88" s="2"/>
      </tp>
      <tp t="e">
        <v>#N/A</v>
        <stp/>
        <stp>BDH|14238952596371812303</stp>
        <tr r="I22" s="2"/>
      </tp>
      <tp t="e">
        <v>#N/A</v>
        <stp/>
        <stp>BDH|16171434135884964365</stp>
        <tr r="I69" s="2"/>
      </tp>
      <tp t="e">
        <v>#N/A</v>
        <stp/>
        <stp>BDH|17345221529684578559</stp>
        <tr r="J78" s="2"/>
      </tp>
      <tp t="e">
        <v>#N/A</v>
        <stp/>
        <stp>BDH|11383424835492858248</stp>
        <tr r="E72" s="2"/>
      </tp>
      <tp t="e">
        <v>#N/A</v>
        <stp/>
        <stp>BDH|10796720812072925242</stp>
        <tr r="F68" s="2"/>
      </tp>
      <tp t="e">
        <v>#N/A</v>
        <stp/>
        <stp>BDH|11661822185334949350</stp>
        <tr r="E76" s="2"/>
      </tp>
      <tp t="e">
        <v>#N/A</v>
        <stp/>
        <stp>BDH|14963269301737486764</stp>
        <tr r="G40" s="2"/>
      </tp>
      <tp t="e">
        <v>#N/A</v>
        <stp/>
        <stp>BDH|10091241488759369510</stp>
        <tr r="F49" s="2"/>
      </tp>
      <tp t="e">
        <v>#N/A</v>
        <stp/>
        <stp>BDH|16558773829364258080</stp>
        <tr r="I27" s="2"/>
      </tp>
      <tp t="e">
        <v>#N/A</v>
        <stp/>
        <stp>BDH|13406914862153094872</stp>
        <tr r="H79" s="2"/>
      </tp>
      <tp t="e">
        <v>#N/A</v>
        <stp/>
        <stp>BDH|10177514376310056568</stp>
        <tr r="E59" s="2"/>
      </tp>
      <tp t="e">
        <v>#N/A</v>
        <stp/>
        <stp>BDH|10204313190469432470</stp>
        <tr r="E55" s="2"/>
      </tp>
      <tp t="e">
        <v>#N/A</v>
        <stp/>
        <stp>BDH|11918746154155375199</stp>
        <tr r="L13" s="2"/>
      </tp>
      <tp t="e">
        <v>#N/A</v>
        <stp/>
        <stp>BDH|14340740021245324366</stp>
        <tr r="L88" s="2"/>
      </tp>
      <tp t="e">
        <v>#N/A</v>
        <stp/>
        <stp>BDH|11516214016337036212</stp>
        <tr r="G77" s="2"/>
      </tp>
      <tp t="e">
        <v>#N/A</v>
        <stp/>
        <stp>BDH|11330656602807173774</stp>
        <tr r="C61" s="2"/>
      </tp>
      <tp t="e">
        <v>#N/A</v>
        <stp/>
        <stp>BDH|14614708152614099513</stp>
        <tr r="G97" s="2"/>
      </tp>
      <tp t="e">
        <v>#N/A</v>
        <stp/>
        <stp>BDH|12774885725126806968</stp>
        <tr r="F83" s="2"/>
      </tp>
      <tp t="e">
        <v>#N/A</v>
        <stp/>
        <stp>BDH|16397174113850318107</stp>
        <tr r="J55" s="2"/>
      </tp>
      <tp t="e">
        <v>#N/A</v>
        <stp/>
        <stp>BDH|10408159100081497712</stp>
        <tr r="D77" s="2"/>
      </tp>
      <tp t="e">
        <v>#N/A</v>
        <stp/>
        <stp>BDH|13864350591049311786</stp>
        <tr r="F44" s="2"/>
      </tp>
      <tp t="e">
        <v>#N/A</v>
        <stp/>
        <stp>BDH|11881363560140895314</stp>
        <tr r="H48" s="2"/>
      </tp>
      <tp t="e">
        <v>#N/A</v>
        <stp/>
        <stp>BDH|11136896268460716807</stp>
        <tr r="E13" s="2"/>
      </tp>
      <tp t="e">
        <v>#N/A</v>
        <stp/>
        <stp>BDH|11650644724882788065</stp>
        <tr r="G89" s="2"/>
      </tp>
      <tp t="e">
        <v>#N/A</v>
        <stp/>
        <stp>BDH|18267959891798823787</stp>
        <tr r="I75" s="2"/>
      </tp>
      <tp t="e">
        <v>#N/A</v>
        <stp/>
        <stp>BDH|10085843652672216820</stp>
        <tr r="D27" s="2"/>
      </tp>
      <tp t="e">
        <v>#N/A</v>
        <stp/>
        <stp>BDH|17603421471176931553</stp>
        <tr r="J80" s="2"/>
      </tp>
      <tp t="e">
        <v>#N/A</v>
        <stp/>
        <stp>BDH|12235392173070926185</stp>
        <tr r="G49" s="2"/>
      </tp>
      <tp t="e">
        <v>#N/A</v>
        <stp/>
        <stp>BDH|10010772123295447791</stp>
        <tr r="L16" s="2"/>
      </tp>
      <tp t="e">
        <v>#N/A</v>
        <stp/>
        <stp>BDH|14852863998347999575</stp>
        <tr r="F55" s="2"/>
      </tp>
      <tp t="e">
        <v>#N/A</v>
        <stp/>
        <stp>BDH|16840822284869396851</stp>
        <tr r="I25" s="2"/>
      </tp>
      <tp t="e">
        <v>#N/A</v>
        <stp/>
        <stp>BDH|11438394131743161560</stp>
        <tr r="I83" s="2"/>
      </tp>
      <tp t="e">
        <v>#N/A</v>
        <stp/>
        <stp>BDH|11085048943457581582</stp>
        <tr r="F59" s="2"/>
      </tp>
      <tp t="e">
        <v>#N/A</v>
        <stp/>
        <stp>BDH|16367701164983295388</stp>
        <tr r="H20" s="2"/>
      </tp>
      <tp t="e">
        <v>#N/A</v>
        <stp/>
        <stp>BDH|13640487630257280418</stp>
        <tr r="D15" s="2"/>
      </tp>
      <tp t="e">
        <v>#N/A</v>
        <stp/>
        <stp>BDH|15453089727225208570</stp>
        <tr r="J76" s="2"/>
      </tp>
      <tp t="e">
        <v>#N/A</v>
        <stp/>
        <stp>BDH|17956135733196616413</stp>
        <tr r="J91" s="2"/>
      </tp>
      <tp t="e">
        <v>#N/A</v>
        <stp/>
        <stp>BDH|15671818391366975518</stp>
        <tr r="J46" s="2"/>
      </tp>
      <tp t="e">
        <v>#N/A</v>
        <stp/>
        <stp>BDH|14437311289211341911</stp>
        <tr r="E7" s="2"/>
      </tp>
      <tp t="e">
        <v>#N/A</v>
        <stp/>
        <stp>BDH|11455973193977633272</stp>
        <tr r="L41" s="2"/>
      </tp>
      <tp t="e">
        <v>#N/A</v>
        <stp/>
        <stp>BDH|15009076839391802368</stp>
        <tr r="L94" s="2"/>
      </tp>
      <tp t="e">
        <v>#N/A</v>
        <stp/>
        <stp>BDH|16448571491516107835</stp>
        <tr r="G62" s="2"/>
      </tp>
      <tp t="e">
        <v>#N/A</v>
        <stp/>
        <stp>BDH|13284123328211802533</stp>
        <tr r="C18" s="2"/>
      </tp>
      <tp t="e">
        <v>#N/A</v>
        <stp/>
        <stp>BDH|13738847154259198352</stp>
        <tr r="C93" s="2"/>
      </tp>
      <tp t="e">
        <v>#N/A</v>
        <stp/>
        <stp>BDH|15389499748296063719</stp>
        <tr r="J28" s="2"/>
      </tp>
      <tp t="e">
        <v>#N/A</v>
        <stp/>
        <stp>BDH|16460523631522576610</stp>
        <tr r="L92" s="2"/>
      </tp>
      <tp t="e">
        <v>#N/A</v>
        <stp/>
        <stp>BDH|16909905013113084986</stp>
        <tr r="J36" s="2"/>
      </tp>
      <tp t="e">
        <v>#N/A</v>
        <stp/>
        <stp>BDH|15001057910224343449</stp>
        <tr r="D92" s="2"/>
      </tp>
      <tp t="e">
        <v>#N/A</v>
        <stp/>
        <stp>BDH|13191958215509352670</stp>
        <tr r="L82" s="2"/>
      </tp>
      <tp t="e">
        <v>#N/A</v>
        <stp/>
        <stp>BDH|11425168580965646916</stp>
        <tr r="G92" s="2"/>
      </tp>
      <tp t="e">
        <v>#N/A</v>
        <stp/>
        <stp>BDH|14612427203765012127</stp>
        <tr r="G78" s="2"/>
      </tp>
      <tp t="e">
        <v>#N/A</v>
        <stp/>
        <stp>BDH|14104209613297370452</stp>
        <tr r="D24" s="2"/>
      </tp>
      <tp t="e">
        <v>#N/A</v>
        <stp/>
        <stp>BDH|18075185708435223861</stp>
        <tr r="L18" s="2"/>
      </tp>
      <tp t="e">
        <v>#N/A</v>
        <stp/>
        <stp>BDH|14612689767969622988</stp>
        <tr r="L7" s="2"/>
      </tp>
      <tp t="e">
        <v>#N/A</v>
        <stp/>
        <stp>BDH|14648838591496532770</stp>
        <tr r="L77" s="2"/>
      </tp>
      <tp t="e">
        <v>#N/A</v>
        <stp/>
        <stp>BDH|17220354055594390177</stp>
        <tr r="K79" s="2"/>
      </tp>
      <tp t="e">
        <v>#N/A</v>
        <stp/>
        <stp>BDH|11708676257567252137</stp>
        <tr r="H14" s="2"/>
      </tp>
      <tp t="e">
        <v>#N/A</v>
        <stp/>
        <stp>BDH|10330024160484466630</stp>
        <tr r="I13" s="2"/>
      </tp>
      <tp t="e">
        <v>#N/A</v>
        <stp/>
        <stp>BDH|14343610330714255182</stp>
        <tr r="G82" s="2"/>
      </tp>
      <tp t="e">
        <v>#N/A</v>
        <stp/>
        <stp>BDH|18069006139916251916</stp>
        <tr r="D93" s="2"/>
      </tp>
      <tp t="e">
        <v>#N/A</v>
        <stp/>
        <stp>BDH|18311812799925312826</stp>
        <tr r="E30" s="2"/>
      </tp>
      <tp t="e">
        <v>#N/A</v>
        <stp/>
        <stp>BDH|10849559530351700378</stp>
        <tr r="D12" s="2"/>
      </tp>
      <tp t="e">
        <v>#N/A</v>
        <stp/>
        <stp>BDH|11172811729547727837</stp>
        <tr r="G50" s="2"/>
      </tp>
      <tp t="e">
        <v>#N/A</v>
        <stp/>
        <stp>BDH|12118789977030308618</stp>
        <tr r="D53" s="2"/>
      </tp>
      <tp t="e">
        <v>#N/A</v>
        <stp/>
        <stp>BDH|12808654502258735840</stp>
        <tr r="G22" s="2"/>
      </tp>
      <tp t="e">
        <v>#N/A</v>
        <stp/>
        <stp>BDH|10279150254256914661</stp>
        <tr r="C83" s="2"/>
      </tp>
      <tp t="e">
        <v>#N/A</v>
        <stp/>
        <stp>BDH|16722580395728209641</stp>
        <tr r="E45" s="2"/>
      </tp>
      <tp t="e">
        <v>#N/A</v>
        <stp/>
        <stp>BDH|18373968648597667644</stp>
        <tr r="H24" s="2"/>
      </tp>
      <tp t="e">
        <v>#N/A</v>
        <stp/>
        <stp>BDH|13171472870783108787</stp>
        <tr r="J61" s="2"/>
      </tp>
      <tp t="e">
        <v>#N/A</v>
        <stp/>
        <stp>BDH|15588687324782355741</stp>
        <tr r="K50" s="2"/>
      </tp>
      <tp t="e">
        <v>#N/A</v>
        <stp/>
        <stp>BDH|10070525211349435861</stp>
        <tr r="K73" s="2"/>
      </tp>
      <tp t="e">
        <v>#N/A</v>
        <stp/>
        <stp>BDH|12754321473633045076</stp>
        <tr r="J95" s="2"/>
      </tp>
      <tp t="e">
        <v>#N/A</v>
        <stp/>
        <stp>BDH|16486907900413793930</stp>
        <tr r="G34" s="2"/>
      </tp>
      <tp t="e">
        <v>#N/A</v>
        <stp/>
        <stp>BDH|10193464533443462127</stp>
        <tr r="F80" s="2"/>
      </tp>
      <tp t="e">
        <v>#N/A</v>
        <stp/>
        <stp>BDH|17074625402342781657</stp>
        <tr r="I41" s="2"/>
      </tp>
      <tp t="e">
        <v>#N/A</v>
        <stp/>
        <stp>BDH|11810713719885071721</stp>
        <tr r="F33" s="2"/>
      </tp>
      <tp t="e">
        <v>#N/A</v>
        <stp/>
        <stp>BDH|17239905579735707994</stp>
        <tr r="I67" s="2"/>
      </tp>
      <tp t="e">
        <v>#N/A</v>
        <stp/>
        <stp>BDH|16717999314742867963</stp>
        <tr r="F11" s="2"/>
      </tp>
      <tp t="e">
        <v>#N/A</v>
        <stp/>
        <stp>BDH|17126909841027651823</stp>
        <tr r="L54" s="2"/>
      </tp>
      <tp t="e">
        <v>#N/A</v>
        <stp/>
        <stp>BDH|14708340920690369041</stp>
        <tr r="G30" s="2"/>
      </tp>
      <tp t="e">
        <v>#N/A</v>
        <stp/>
        <stp>BDH|12424389729354790259</stp>
        <tr r="F61" s="2"/>
      </tp>
      <tp t="e">
        <v>#N/A</v>
        <stp/>
        <stp>BDH|12755238788724889933</stp>
        <tr r="D82" s="2"/>
      </tp>
      <tp t="e">
        <v>#N/A</v>
        <stp/>
        <stp>BDH|12617411376765140172</stp>
        <tr r="F36" s="2"/>
      </tp>
      <tp t="e">
        <v>#N/A</v>
        <stp/>
        <stp>BDH|12283780159673557601</stp>
        <tr r="H80" s="2"/>
      </tp>
      <tp t="e">
        <v>#N/A</v>
        <stp/>
        <stp>BDH|14598502620863299513</stp>
        <tr r="J60" s="2"/>
      </tp>
      <tp t="e">
        <v>#N/A</v>
        <stp/>
        <stp>BDH|14136550620192596477</stp>
        <tr r="K97" s="2"/>
      </tp>
      <tp t="e">
        <v>#N/A</v>
        <stp/>
        <stp>BDH|16456531866993423333</stp>
        <tr r="C14" s="2"/>
      </tp>
      <tp t="e">
        <v>#N/A</v>
        <stp/>
        <stp>BDH|16311379170567781053</stp>
        <tr r="H50" s="2"/>
      </tp>
      <tp t="e">
        <v>#N/A</v>
        <stp/>
        <stp>BDH|13136259641191403180</stp>
        <tr r="K9" s="2"/>
      </tp>
      <tp t="e">
        <v>#N/A</v>
        <stp/>
        <stp>BDH|13777008635876205396</stp>
        <tr r="D18" s="2"/>
      </tp>
      <tp t="e">
        <v>#N/A</v>
        <stp/>
        <stp>BDH|14701967228032848884</stp>
        <tr r="G51" s="2"/>
      </tp>
      <tp t="e">
        <v>#N/A</v>
        <stp/>
        <stp>BDH|13244124175009842952</stp>
        <tr r="E11" s="2"/>
      </tp>
      <tp t="e">
        <v>#N/A</v>
        <stp/>
        <stp>BDH|16299497354357183555</stp>
        <tr r="G14" s="2"/>
      </tp>
      <tp t="e">
        <v>#N/A</v>
        <stp/>
        <stp>BDH|14795592551448023954</stp>
        <tr r="E18" s="2"/>
      </tp>
      <tp t="e">
        <v>#N/A</v>
        <stp/>
        <stp>BDH|16063685294165396956</stp>
        <tr r="L93" s="2"/>
      </tp>
      <tp t="e">
        <v>#N/A</v>
        <stp/>
        <stp>BDH|14110049012357868722</stp>
        <tr r="J13" s="2"/>
      </tp>
      <tp t="e">
        <v>#N/A</v>
        <stp/>
        <stp>BDH|11506789721069011819</stp>
        <tr r="H17" s="2"/>
      </tp>
      <tp t="e">
        <v>#N/A</v>
        <stp/>
        <stp>BDH|14368302548092613400</stp>
        <tr r="D56" s="2"/>
      </tp>
      <tp t="e">
        <v>#N/A</v>
        <stp/>
        <stp>BDH|15971875462959431770</stp>
        <tr r="D58" s="2"/>
      </tp>
      <tp t="e">
        <v>#N/A</v>
        <stp/>
        <stp>BDH|17920302294158541077</stp>
        <tr r="I77" s="2"/>
      </tp>
      <tp t="e">
        <v>#N/A</v>
        <stp/>
        <stp>BDH|17104780981634569924</stp>
        <tr r="K40" s="2"/>
      </tp>
      <tp t="e">
        <v>#N/A</v>
        <stp/>
        <stp>BDH|12165474928860900196</stp>
        <tr r="I95" s="2"/>
      </tp>
    </main>
    <main first="bofaddin.rtdserver">
      <tp t="e">
        <v>#N/A</v>
        <stp/>
        <stp>BDH|7242839182119984203</stp>
        <tr r="L97" s="2"/>
      </tp>
      <tp t="e">
        <v>#N/A</v>
        <stp/>
        <stp>BDH|6248447238495204861</stp>
        <tr r="K83" s="2"/>
      </tp>
      <tp t="e">
        <v>#N/A</v>
        <stp/>
        <stp>BDH|2465693212239278065</stp>
        <tr r="C91" s="2"/>
      </tp>
      <tp t="e">
        <v>#N/A</v>
        <stp/>
        <stp>BDH|2690880725400870481</stp>
        <tr r="D74" s="2"/>
      </tp>
      <tp t="e">
        <v>#N/A</v>
        <stp/>
        <stp>BDH|9765506294788937122</stp>
        <tr r="H44" s="2"/>
      </tp>
      <tp t="e">
        <v>#N/A</v>
        <stp/>
        <stp>BDH|6110397507411422823</stp>
        <tr r="K64" s="2"/>
      </tp>
      <tp t="e">
        <v>#N/A</v>
        <stp/>
        <stp>BDH|6148276462559508785</stp>
        <tr r="L58" s="2"/>
      </tp>
      <tp t="e">
        <v>#N/A</v>
        <stp/>
        <stp>BDH|7850374436072941991</stp>
        <tr r="D22" s="2"/>
      </tp>
      <tp t="e">
        <v>#N/A</v>
        <stp/>
        <stp>BDH|4914227975858521554</stp>
        <tr r="G81" s="2"/>
      </tp>
      <tp t="e">
        <v>#N/A</v>
        <stp/>
        <stp>BDH|1479591637279777226</stp>
        <tr r="I59" s="2"/>
      </tp>
      <tp t="e">
        <v>#N/A</v>
        <stp/>
        <stp>BDH|9972732872802555708</stp>
        <tr r="J43" s="2"/>
      </tp>
      <tp t="e">
        <v>#N/A</v>
        <stp/>
        <stp>BDH|7460568875090865926</stp>
        <tr r="J71" s="2"/>
      </tp>
      <tp t="e">
        <v>#N/A</v>
        <stp/>
        <stp>BDH|6654096209929465309</stp>
        <tr r="L90" s="2"/>
      </tp>
      <tp t="e">
        <v>#N/A</v>
        <stp/>
        <stp>BDH|2475815515907483067</stp>
        <tr r="H74" s="2"/>
      </tp>
      <tp t="e">
        <v>#N/A</v>
        <stp/>
        <stp>BDH|9013536109943913318</stp>
        <tr r="E87" s="2"/>
      </tp>
      <tp t="e">
        <v>#N/A</v>
        <stp/>
        <stp>BDH|6992911934935561597</stp>
        <tr r="J33" s="2"/>
      </tp>
      <tp t="e">
        <v>#N/A</v>
        <stp/>
        <stp>BDH|9184212218816122097</stp>
        <tr r="I54" s="2"/>
      </tp>
      <tp t="e">
        <v>#N/A</v>
        <stp/>
        <stp>BDH|8493021305793281707</stp>
        <tr r="L45" s="2"/>
      </tp>
      <tp t="e">
        <v>#N/A</v>
        <stp/>
        <stp>BDH|1836321287952451484</stp>
        <tr r="I44" s="2"/>
      </tp>
      <tp t="e">
        <v>#N/A</v>
        <stp/>
        <stp>BDH|9842389518590974705</stp>
        <tr r="F29" s="2"/>
      </tp>
      <tp t="e">
        <v>#N/A</v>
        <stp/>
        <stp>BDH|2012067297076820188</stp>
        <tr r="L52" s="2"/>
      </tp>
      <tp t="e">
        <v>#N/A</v>
        <stp/>
        <stp>BDH|1071682391973611194</stp>
        <tr r="K77" s="2"/>
      </tp>
      <tp t="e">
        <v>#N/A</v>
        <stp/>
        <stp>BDH|8100993858581378958</stp>
        <tr r="I64" s="2"/>
      </tp>
      <tp t="e">
        <v>#N/A</v>
        <stp/>
        <stp>BDH|7712107088035192780</stp>
        <tr r="E62" s="2"/>
      </tp>
      <tp t="e">
        <v>#N/A</v>
        <stp/>
        <stp>BDH|9962887414005075926</stp>
        <tr r="C92" s="2"/>
      </tp>
      <tp t="e">
        <v>#N/A</v>
        <stp/>
        <stp>BDH|6439287995741871068</stp>
        <tr r="D55" s="2"/>
      </tp>
      <tp t="e">
        <v>#N/A</v>
        <stp/>
        <stp>BDH|8474709837394650424</stp>
        <tr r="K8" s="2"/>
      </tp>
      <tp t="e">
        <v>#N/A</v>
        <stp/>
        <stp>BDH|8072054735406375171</stp>
        <tr r="G88" s="2"/>
      </tp>
      <tp t="e">
        <v>#N/A</v>
        <stp/>
        <stp>BDH|9846156338543926485</stp>
        <tr r="F40" s="2"/>
      </tp>
      <tp t="e">
        <v>#N/A</v>
        <stp/>
        <stp>BDH|6403720984007174271</stp>
        <tr r="I98" s="2"/>
      </tp>
      <tp t="e">
        <v>#N/A</v>
        <stp/>
        <stp>BDH|8012249602587147133</stp>
        <tr r="K36" s="2"/>
      </tp>
      <tp t="e">
        <v>#N/A</v>
        <stp/>
        <stp>BDH|2007383684404887116</stp>
        <tr r="I79" s="2"/>
      </tp>
      <tp t="e">
        <v>#N/A</v>
        <stp/>
        <stp>BDH|8941680066657097320</stp>
        <tr r="I88" s="2"/>
      </tp>
      <tp t="e">
        <v>#N/A</v>
        <stp/>
        <stp>BDH|11320148606181034</stp>
        <tr r="J94" s="2"/>
      </tp>
      <tp t="e">
        <v>#N/A</v>
        <stp/>
        <stp>BDH|9688562648521106439</stp>
        <tr r="F54" s="2"/>
      </tp>
      <tp t="e">
        <v>#N/A</v>
        <stp/>
        <stp>BDH|1325286900818757661</stp>
        <tr r="I49" s="2"/>
      </tp>
      <tp t="e">
        <v>#N/A</v>
        <stp/>
        <stp>BDH|2054636347985862879</stp>
        <tr r="K18" s="2"/>
      </tp>
      <tp t="e">
        <v>#N/A</v>
        <stp/>
        <stp>BDH|7048856429795184566</stp>
        <tr r="E60" s="2"/>
      </tp>
      <tp t="e">
        <v>#N/A</v>
        <stp/>
        <stp>BDH|2155880100793778458</stp>
        <tr r="H28" s="2"/>
      </tp>
      <tp t="e">
        <v>#N/A</v>
        <stp/>
        <stp>BDH|3866619140744537877</stp>
        <tr r="C25" s="2"/>
      </tp>
      <tp t="e">
        <v>#N/A</v>
        <stp/>
        <stp>BDH|8226515368336289020</stp>
        <tr r="C11" s="2"/>
      </tp>
      <tp t="e">
        <v>#N/A</v>
        <stp/>
        <stp>BDH|9184840432928775780</stp>
        <tr r="G55" s="2"/>
      </tp>
      <tp t="e">
        <v>#N/A</v>
        <stp/>
        <stp>BDH|9004448477645840235</stp>
        <tr r="F25" s="2"/>
      </tp>
      <tp t="e">
        <v>#N/A</v>
        <stp/>
        <stp>BDH|3703965098457547923</stp>
        <tr r="F79" s="2"/>
      </tp>
      <tp t="e">
        <v>#N/A</v>
        <stp/>
        <stp>BDH|2387557592891869227</stp>
        <tr r="D66" s="2"/>
      </tp>
      <tp t="e">
        <v>#N/A</v>
        <stp/>
        <stp>BDH|1120989993474033859</stp>
        <tr r="E95" s="2"/>
      </tp>
      <tp t="e">
        <v>#N/A</v>
        <stp/>
        <stp>BDH|7190726319908673437</stp>
        <tr r="J23" s="2"/>
      </tp>
      <tp t="e">
        <v>#N/A</v>
        <stp/>
        <stp>BDH|8240991408064740880</stp>
        <tr r="K60" s="2"/>
      </tp>
      <tp t="e">
        <v>#N/A</v>
        <stp/>
        <stp>BDH|3343888490899538627</stp>
        <tr r="H37" s="2"/>
      </tp>
      <tp t="e">
        <v>#N/A</v>
        <stp/>
        <stp>BDH|9598659122284757492</stp>
        <tr r="J50" s="2"/>
      </tp>
      <tp t="e">
        <v>#N/A</v>
        <stp/>
        <stp>BDH|1845333753608679234</stp>
        <tr r="D65" s="2"/>
      </tp>
      <tp t="e">
        <v>#N/A</v>
        <stp/>
        <stp>BDH|2161007689527792023</stp>
        <tr r="E24" s="2"/>
      </tp>
      <tp t="e">
        <v>#N/A</v>
        <stp/>
        <stp>BDH|8596914736289687663</stp>
        <tr r="I14" s="2"/>
      </tp>
      <tp t="e">
        <v>#N/A</v>
        <stp/>
        <stp>BDH|9582620426831155107</stp>
        <tr r="K58" s="2"/>
      </tp>
      <tp t="e">
        <v>#N/A</v>
        <stp/>
        <stp>BDH|2953032110778909620</stp>
        <tr r="I45" s="2"/>
      </tp>
      <tp t="e">
        <v>#N/A</v>
        <stp/>
        <stp>BDH|5714412291007297249</stp>
        <tr r="L42" s="2"/>
      </tp>
      <tp t="e">
        <v>#N/A</v>
        <stp/>
        <stp>BDH|8343552250227550256</stp>
        <tr r="I40" s="2"/>
      </tp>
      <tp t="e">
        <v>#N/A</v>
        <stp/>
        <stp>BDH|6040286321729641299</stp>
        <tr r="E77" s="2"/>
      </tp>
      <tp t="e">
        <v>#N/A</v>
        <stp/>
        <stp>BDH|2598471895155371735</stp>
        <tr r="D8" s="2"/>
      </tp>
      <tp t="e">
        <v>#N/A</v>
        <stp/>
        <stp>BDH|9133612025871235107</stp>
        <tr r="D23" s="2"/>
      </tp>
      <tp t="e">
        <v>#N/A</v>
        <stp/>
        <stp>BDH|7222974372394084038</stp>
        <tr r="K53" s="2"/>
      </tp>
      <tp t="e">
        <v>#N/A</v>
        <stp/>
        <stp>BDH|3058567678269893521</stp>
        <tr r="L79" s="2"/>
      </tp>
      <tp t="e">
        <v>#N/A</v>
        <stp/>
        <stp>BDH|4107508046668793053</stp>
        <tr r="F64" s="2"/>
      </tp>
      <tp t="e">
        <v>#N/A</v>
        <stp/>
        <stp>BDH|12150726260918352</stp>
        <tr r="C8" s="2"/>
      </tp>
      <tp t="e">
        <v>#N/A</v>
        <stp/>
        <stp>BDH|2421407101708710086</stp>
        <tr r="D20" s="2"/>
      </tp>
      <tp t="e">
        <v>#N/A</v>
        <stp/>
        <stp>BDH|8554298847280016003</stp>
        <tr r="D64" s="2"/>
      </tp>
      <tp t="e">
        <v>#N/A</v>
        <stp/>
        <stp>BDH|2317404385478949875</stp>
        <tr r="L57" s="2"/>
      </tp>
      <tp t="e">
        <v>#N/A</v>
        <stp/>
        <stp>BDH|3765735061119947541</stp>
        <tr r="G60" s="2"/>
      </tp>
      <tp t="e">
        <v>#N/A</v>
        <stp/>
        <stp>BDH|4129923677142816649</stp>
        <tr r="D68" s="2"/>
      </tp>
      <tp t="e">
        <v>#N/A</v>
        <stp/>
        <stp>BDH|5996247575919292741</stp>
        <tr r="G73" s="2"/>
      </tp>
      <tp t="e">
        <v>#N/A</v>
        <stp/>
        <stp>BDH|7343560701485379983</stp>
        <tr r="L61" s="2"/>
      </tp>
      <tp t="e">
        <v>#N/A</v>
        <stp/>
        <stp>BDH|9312628709087337642</stp>
        <tr r="G99" s="2"/>
      </tp>
      <tp t="e">
        <v>#N/A</v>
        <stp/>
        <stp>BDH|7887833319673939376</stp>
        <tr r="C40" s="2"/>
      </tp>
      <tp t="e">
        <v>#N/A</v>
        <stp/>
        <stp>BDH|5409741599965266075</stp>
        <tr r="F82" s="2"/>
      </tp>
      <tp t="e">
        <v>#N/A</v>
        <stp/>
        <stp>BDH|5536500959643575858</stp>
        <tr r="F35" s="2"/>
      </tp>
      <tp t="e">
        <v>#N/A</v>
        <stp/>
        <stp>BDH|9630699885719058089</stp>
        <tr r="F17" s="2"/>
      </tp>
      <tp t="e">
        <v>#N/A</v>
        <stp/>
        <stp>BDH|4465755434666543822</stp>
        <tr r="G43" s="2"/>
      </tp>
      <tp t="e">
        <v>#N/A</v>
        <stp/>
        <stp>BDH|1387614739612086888</stp>
        <tr r="G83" s="2"/>
      </tp>
      <tp t="e">
        <v>#N/A</v>
        <stp/>
        <stp>BDH|7105626947043209866</stp>
        <tr r="K89" s="2"/>
      </tp>
      <tp t="e">
        <v>#N/A</v>
        <stp/>
        <stp>BDH|6051419566449381349</stp>
        <tr r="L72" s="2"/>
      </tp>
      <tp t="e">
        <v>#N/A</v>
        <stp/>
        <stp>BDH|5728014983995750646</stp>
        <tr r="L14" s="2"/>
      </tp>
      <tp t="e">
        <v>#N/A</v>
        <stp/>
        <stp>BDH|2114111721359147673</stp>
        <tr r="H42" s="2"/>
      </tp>
      <tp t="e">
        <v>#N/A</v>
        <stp/>
        <stp>BDH|4670805355804757307</stp>
        <tr r="J32" s="2"/>
      </tp>
      <tp t="e">
        <v>#N/A</v>
        <stp/>
        <stp>BDH|8416045351521203279</stp>
        <tr r="K15" s="2"/>
      </tp>
      <tp t="e">
        <v>#N/A</v>
        <stp/>
        <stp>BDH|39697157587001767</stp>
        <tr r="K87" s="2"/>
      </tp>
      <tp t="e">
        <v>#N/A</v>
        <stp/>
        <stp>BDH|1053061867289296189</stp>
        <tr r="H57" s="2"/>
      </tp>
      <tp t="e">
        <v>#N/A</v>
        <stp/>
        <stp>BDH|9053388195229020567</stp>
        <tr r="D51" s="2"/>
      </tp>
      <tp t="e">
        <v>#N/A</v>
        <stp/>
        <stp>BDH|4906059051216277806</stp>
        <tr r="J89" s="2"/>
      </tp>
      <tp t="e">
        <v>#N/A</v>
        <stp/>
        <stp>BDH|1509975418593126573</stp>
        <tr r="D36" s="2"/>
      </tp>
      <tp t="e">
        <v>#N/A</v>
        <stp/>
        <stp>BDH|4921026559907631984</stp>
        <tr r="D40" s="2"/>
      </tp>
      <tp t="e">
        <v>#N/A</v>
        <stp/>
        <stp>BDH|2837336194586542171</stp>
        <tr r="F57" s="2"/>
      </tp>
      <tp t="e">
        <v>#N/A</v>
        <stp/>
        <stp>BDH|6550278695813918138</stp>
        <tr r="K54" s="2"/>
      </tp>
      <tp t="e">
        <v>#N/A</v>
        <stp/>
        <stp>BDH|5258926427445072442</stp>
        <tr r="F97" s="2"/>
      </tp>
      <tp t="e">
        <v>#N/A</v>
        <stp/>
        <stp>BDH|7777734797877479141</stp>
        <tr r="C36" s="2"/>
      </tp>
      <tp t="e">
        <v>#N/A</v>
        <stp/>
        <stp>BDH|9631357051471532162</stp>
        <tr r="D45" s="2"/>
      </tp>
      <tp t="e">
        <v>#N/A</v>
        <stp/>
        <stp>BDH|8631873090302615462</stp>
        <tr r="I52" s="2"/>
      </tp>
      <tp t="e">
        <v>#N/A</v>
        <stp/>
        <stp>BDH|5695653832849420640</stp>
        <tr r="D89" s="2"/>
      </tp>
      <tp t="e">
        <v>#N/A</v>
        <stp/>
        <stp>BDH|3708051499453225682</stp>
        <tr r="F34" s="2"/>
      </tp>
      <tp t="e">
        <v>#N/A</v>
        <stp/>
        <stp>BDH|3289617925838591027</stp>
        <tr r="C74" s="2"/>
      </tp>
      <tp t="e">
        <v>#N/A</v>
        <stp/>
        <stp>BDH|5778535999833527593</stp>
        <tr r="C95" s="2"/>
      </tp>
      <tp t="e">
        <v>#N/A</v>
        <stp/>
        <stp>BDH|6186688952283415996</stp>
        <tr r="E88" s="2"/>
      </tp>
      <tp t="e">
        <v>#N/A</v>
        <stp/>
        <stp>BDH|5671478305689083724</stp>
        <tr r="C29" s="2"/>
      </tp>
      <tp t="e">
        <v>#N/A</v>
        <stp/>
        <stp>BDH|9017610676783530465</stp>
        <tr r="I55" s="2"/>
      </tp>
      <tp t="e">
        <v>#N/A</v>
        <stp/>
        <stp>BDH|7131369662944417950</stp>
        <tr r="H26" s="2"/>
      </tp>
      <tp t="e">
        <v>#N/A</v>
        <stp/>
        <stp>BDH|2472903370960982390</stp>
        <tr r="I12" s="2"/>
      </tp>
      <tp t="e">
        <v>#N/A</v>
        <stp/>
        <stp>BDH|4661246468919869665</stp>
        <tr r="I99" s="2"/>
      </tp>
      <tp t="e">
        <v>#N/A</v>
        <stp/>
        <stp>BDH|2490860409841905394</stp>
        <tr r="K67" s="2"/>
      </tp>
      <tp t="e">
        <v>#N/A</v>
        <stp/>
        <stp>BDH|9315030478956690060</stp>
        <tr r="L71" s="2"/>
      </tp>
      <tp t="e">
        <v>#N/A</v>
        <stp/>
        <stp>BDH|4395497586908347871</stp>
        <tr r="H7" s="2"/>
      </tp>
      <tp t="e">
        <v>#N/A</v>
        <stp/>
        <stp>BDH|4818140180854782133</stp>
        <tr r="J68" s="2"/>
      </tp>
      <tp t="e">
        <v>#N/A</v>
        <stp/>
        <stp>BDH|6251419489461779358</stp>
        <tr r="G16" s="2"/>
      </tp>
      <tp t="e">
        <v>#N/A</v>
        <stp/>
        <stp>BDH|4770716473854414895</stp>
        <tr r="G67" s="2"/>
      </tp>
      <tp t="e">
        <v>#N/A</v>
        <stp/>
        <stp>BDH|8162861124698536281</stp>
        <tr r="K96" s="2"/>
      </tp>
      <tp t="e">
        <v>#N/A</v>
        <stp/>
        <stp>BDH|9747067838851524326</stp>
        <tr r="D17" s="2"/>
      </tp>
      <tp t="e">
        <v>#N/A</v>
        <stp/>
        <stp>BDH|2928548890875056326</stp>
        <tr r="E37" s="2"/>
      </tp>
      <tp t="e">
        <v>#N/A</v>
        <stp/>
        <stp>BDH|1290917969764185248</stp>
        <tr r="D67" s="2"/>
      </tp>
      <tp t="e">
        <v>#N/A</v>
        <stp/>
        <stp>BDH|7580600543824966934</stp>
        <tr r="C13" s="2"/>
      </tp>
      <tp t="e">
        <v>#N/A</v>
        <stp/>
        <stp>BDH|2797829608731148312</stp>
        <tr r="K70" s="2"/>
      </tp>
      <tp t="e">
        <v>#N/A</v>
        <stp/>
        <stp>BDH|1284401715594397896</stp>
        <tr r="F88" s="2"/>
      </tp>
      <tp t="e">
        <v>#N/A</v>
        <stp/>
        <stp>BDH|5280948456095976442</stp>
        <tr r="E61" s="2"/>
      </tp>
      <tp t="e">
        <v>#N/A</v>
        <stp/>
        <stp>BDH|7618616345834976966</stp>
        <tr r="C73" s="2"/>
      </tp>
      <tp t="e">
        <v>#N/A</v>
        <stp/>
        <stp>BDH|4216650587683362113</stp>
        <tr r="K92" s="2"/>
      </tp>
      <tp t="e">
        <v>#N/A</v>
        <stp/>
        <stp>BDH|1787935031311386241</stp>
        <tr r="C28" s="2"/>
      </tp>
      <tp t="e">
        <v>#N/A</v>
        <stp/>
        <stp>BDH|9617600279206909657</stp>
        <tr r="H32" s="2"/>
      </tp>
      <tp t="e">
        <v>#N/A</v>
        <stp/>
        <stp>BDH|6271574461519072477</stp>
        <tr r="F23" s="2"/>
      </tp>
      <tp t="e">
        <v>#N/A</v>
        <stp/>
        <stp>BDH|2158345836139922395</stp>
        <tr r="C49" s="2"/>
      </tp>
      <tp t="e">
        <v>#N/A</v>
        <stp/>
        <stp>BDH|8556415302394334055</stp>
        <tr r="I53" s="2"/>
      </tp>
      <tp t="e">
        <v>#N/A</v>
        <stp/>
        <stp>BDH|3241045233648000053</stp>
        <tr r="J90" s="2"/>
      </tp>
      <tp t="e">
        <v>#N/A</v>
        <stp/>
        <stp>BDH|9671378965021399568</stp>
        <tr r="C69" s="2"/>
      </tp>
      <tp t="e">
        <v>#N/A</v>
        <stp/>
        <stp>BDH|2517873223377692719</stp>
        <tr r="E50" s="2"/>
      </tp>
      <tp t="e">
        <v>#N/A</v>
        <stp/>
        <stp>BDH|9112047758490938421</stp>
        <tr r="H18" s="2"/>
      </tp>
      <tp t="e">
        <v>#N/A</v>
        <stp/>
        <stp>BDH|8318465012870850583</stp>
        <tr r="F13" s="2"/>
      </tp>
      <tp t="e">
        <v>#N/A</v>
        <stp/>
        <stp>BDH|9896507723675730386</stp>
        <tr r="G12" s="2"/>
      </tp>
      <tp t="e">
        <v>#N/A</v>
        <stp/>
        <stp>BDH|4412826985885006966</stp>
        <tr r="L36" s="2"/>
      </tp>
      <tp t="e">
        <v>#N/A</v>
        <stp/>
        <stp>BDH|1215454294983331754</stp>
        <tr r="G70" s="2"/>
      </tp>
      <tp t="e">
        <v>#N/A</v>
        <stp/>
        <stp>BDH|4952805240655907559</stp>
        <tr r="I30" s="2"/>
      </tp>
      <tp t="e">
        <v>#N/A</v>
        <stp/>
        <stp>BDH|7457090413209552614</stp>
        <tr r="I48" s="2"/>
      </tp>
      <tp t="e">
        <v>#N/A</v>
        <stp/>
        <stp>BDH|1438690546972559866</stp>
        <tr r="K41" s="2"/>
      </tp>
      <tp t="e">
        <v>#N/A</v>
        <stp/>
        <stp>BDH|3124885737996750717</stp>
        <tr r="L15" s="2"/>
      </tp>
      <tp t="e">
        <v>#N/A</v>
        <stp/>
        <stp>BDH|8680995997795898495</stp>
        <tr r="K78" s="2"/>
      </tp>
      <tp t="e">
        <v>#N/A</v>
        <stp/>
        <stp>BDH|6576668891261344184</stp>
        <tr r="I74" s="2"/>
      </tp>
      <tp t="e">
        <v>#N/A</v>
        <stp/>
        <stp>BDH|4253279158392173829</stp>
        <tr r="J96" s="2"/>
      </tp>
      <tp t="e">
        <v>#N/A</v>
        <stp/>
        <stp>BDH|5721030894537737290</stp>
        <tr r="K7" s="2"/>
      </tp>
      <tp t="e">
        <v>#N/A</v>
        <stp/>
        <stp>BDH|6054285351988563036</stp>
        <tr r="L47" s="2"/>
      </tp>
      <tp t="e">
        <v>#N/A</v>
        <stp/>
        <stp>BDH|4676442194182875218</stp>
        <tr r="G59" s="2"/>
      </tp>
      <tp t="e">
        <v>#N/A</v>
        <stp/>
        <stp>BDH|2564535399885547260</stp>
        <tr r="C82" s="2"/>
      </tp>
      <tp t="e">
        <v>#N/A</v>
        <stp/>
        <stp>BDH|9146542128363899493</stp>
        <tr r="F26" s="2"/>
      </tp>
      <tp t="e">
        <v>#N/A</v>
        <stp/>
        <stp>BDH|8081117027821223366</stp>
        <tr r="F15" s="2"/>
      </tp>
      <tp t="e">
        <v>#N/A</v>
        <stp/>
        <stp>BDH|1873956908073624210</stp>
        <tr r="E16" s="2"/>
      </tp>
      <tp t="e">
        <v>#N/A</v>
        <stp/>
        <stp>BDH|3895816381399215384</stp>
        <tr r="J20" s="2"/>
      </tp>
      <tp t="e">
        <v>#N/A</v>
        <stp/>
        <stp>BDH|7166106403887081818</stp>
        <tr r="G19" s="2"/>
      </tp>
      <tp t="e">
        <v>#N/A</v>
        <stp/>
        <stp>BDH|9904921613029065194</stp>
        <tr r="C72" s="2"/>
      </tp>
      <tp t="e">
        <v>#N/A</v>
        <stp/>
        <stp>BDH|9274818992473652269</stp>
        <tr r="I80" s="2"/>
      </tp>
      <tp t="e">
        <v>#N/A</v>
        <stp/>
        <stp>BDH|6135750024072534848</stp>
        <tr r="K62" s="2"/>
      </tp>
      <tp t="e">
        <v>#N/A</v>
        <stp/>
        <stp>BDH|9925382577717213359</stp>
        <tr r="I21" s="2"/>
      </tp>
      <tp t="e">
        <v>#N/A</v>
        <stp/>
        <stp>BDH|6406194095021846665</stp>
        <tr r="H23" s="2"/>
      </tp>
      <tp t="e">
        <v>#N/A</v>
        <stp/>
        <stp>BDH|3821103455668959631</stp>
        <tr r="G8" s="2"/>
      </tp>
      <tp t="e">
        <v>#N/A</v>
        <stp/>
        <stp>BDH|3302142489252977105</stp>
        <tr r="E73" s="2"/>
      </tp>
      <tp t="e">
        <v>#N/A</v>
        <stp/>
        <stp>BDH|5083845325831367758</stp>
        <tr r="J34" s="2"/>
      </tp>
      <tp t="e">
        <v>#N/A</v>
        <stp/>
        <stp>BDH|2766515937075258876</stp>
        <tr r="H56" s="2"/>
      </tp>
      <tp t="e">
        <v>#N/A</v>
        <stp/>
        <stp>BDH|6728743991594062567</stp>
        <tr r="F46" s="2"/>
      </tp>
      <tp t="e">
        <v>#N/A</v>
        <stp/>
        <stp>BDH|8839157552701212499</stp>
        <tr r="J42" s="2"/>
      </tp>
      <tp t="e">
        <v>#N/A</v>
        <stp/>
        <stp>BDH|4732148003725187946</stp>
        <tr r="F90" s="2"/>
      </tp>
      <tp t="e">
        <v>#N/A</v>
        <stp/>
        <stp>BDH|1736846779124741384</stp>
        <tr r="G29" s="2"/>
      </tp>
      <tp t="e">
        <v>#N/A</v>
        <stp/>
        <stp>BDH|6621510130369479393</stp>
        <tr r="G72" s="2"/>
      </tp>
      <tp t="e">
        <v>#N/A</v>
        <stp/>
        <stp>BDH|9035108067063558789</stp>
        <tr r="I96" s="2"/>
      </tp>
      <tp t="e">
        <v>#N/A</v>
        <stp/>
        <stp>BDH|3014106969577371908</stp>
        <tr r="F37" s="2"/>
      </tp>
      <tp t="e">
        <v>#N/A</v>
        <stp/>
        <stp>BDH|1581494384352604540</stp>
        <tr r="J62" s="2"/>
      </tp>
      <tp t="e">
        <v>#N/A</v>
        <stp/>
        <stp>BDH|7414594305101304904</stp>
        <tr r="D61" s="2"/>
      </tp>
      <tp t="e">
        <v>#N/A</v>
        <stp/>
        <stp>BDH|7787887171811610332</stp>
        <tr r="H64" s="2"/>
      </tp>
      <tp t="e">
        <v>#N/A</v>
        <stp/>
        <stp>BDH|3208626886493410497</stp>
        <tr r="E79" s="2"/>
      </tp>
      <tp t="e">
        <v>#N/A</v>
        <stp/>
        <stp>BDH|8049704699125758958</stp>
        <tr r="I56" s="2"/>
      </tp>
      <tp t="e">
        <v>#N/A</v>
        <stp/>
        <stp>BDH|6842434733603770800</stp>
        <tr r="F77" s="2"/>
      </tp>
      <tp t="e">
        <v>#N/A</v>
        <stp/>
        <stp>BDH|1993614993312459639</stp>
        <tr r="J83" s="2"/>
      </tp>
      <tp t="e">
        <v>#N/A</v>
        <stp/>
        <stp>BDH|7891246020778536552</stp>
        <tr r="K17" s="2"/>
      </tp>
      <tp t="e">
        <v>#N/A</v>
        <stp/>
        <stp>BDH|9985719160760693221</stp>
        <tr r="C51" s="2"/>
      </tp>
      <tp t="e">
        <v>#N/A</v>
        <stp/>
        <stp>BDH|1941766239796910928</stp>
        <tr r="G41" s="2"/>
      </tp>
      <tp t="e">
        <v>#N/A</v>
        <stp/>
        <stp>BDH|9326764994284322903</stp>
        <tr r="L62" s="2"/>
      </tp>
      <tp t="e">
        <v>#N/A</v>
        <stp/>
        <stp>BDH|9595555812567027003</stp>
        <tr r="I50" s="2"/>
      </tp>
      <tp t="e">
        <v>#N/A</v>
        <stp/>
        <stp>BDH|5811771173998998760</stp>
        <tr r="D42" s="2"/>
      </tp>
      <tp t="e">
        <v>#N/A</v>
        <stp/>
        <stp>BDH|5692343475389583215</stp>
        <tr r="I72" s="2"/>
      </tp>
      <tp t="e">
        <v>#N/A</v>
        <stp/>
        <stp>BDH|3668152942915678943</stp>
        <tr r="F78" s="2"/>
      </tp>
      <tp t="e">
        <v>#N/A</v>
        <stp/>
        <stp>BDH|8240006432033884288</stp>
        <tr r="L83" s="2"/>
      </tp>
      <tp t="e">
        <v>#N/A</v>
        <stp/>
        <stp>BDH|5601958132396905387</stp>
        <tr r="I68" s="2"/>
      </tp>
      <tp t="e">
        <v>#N/A</v>
        <stp/>
        <stp>BDH|3463811742416346329</stp>
        <tr r="D37" s="2"/>
      </tp>
      <tp t="e">
        <v>#N/A</v>
        <stp/>
        <stp>BDH|2010064891274604565</stp>
        <tr r="J74" s="2"/>
      </tp>
      <tp t="e">
        <v>#N/A</v>
        <stp/>
        <stp>BDH|7792021760728797350</stp>
        <tr r="G21" s="2"/>
      </tp>
      <tp t="e">
        <v>#N/A</v>
        <stp/>
        <stp>BDH|4006497086317300580</stp>
        <tr r="I71" s="2"/>
      </tp>
      <tp t="e">
        <v>#N/A</v>
        <stp/>
        <stp>BDH|5163195639295484810</stp>
        <tr r="E36" s="2"/>
      </tp>
      <tp t="e">
        <v>#N/A</v>
        <stp/>
        <stp>BDH|6428382133915944938</stp>
        <tr r="F96" s="2"/>
      </tp>
      <tp t="e">
        <v>#N/A</v>
        <stp/>
        <stp>BDH|2467408891181253422</stp>
        <tr r="I16" s="2"/>
      </tp>
      <tp t="e">
        <v>#N/A</v>
        <stp/>
        <stp>BDH|8981518219727367089</stp>
        <tr r="D44" s="2"/>
      </tp>
      <tp t="e">
        <v>#N/A</v>
        <stp/>
        <stp>BDH|1827194288403470063</stp>
        <tr r="C57" s="2"/>
      </tp>
      <tp t="e">
        <v>#N/A</v>
        <stp/>
        <stp>BDH|4965896408435281213</stp>
        <tr r="C94" s="2"/>
      </tp>
      <tp t="e">
        <v>#N/A</v>
        <stp/>
        <stp>BDH|1326930025784936579</stp>
        <tr r="L66" s="2"/>
      </tp>
      <tp t="e">
        <v>#N/A</v>
        <stp/>
        <stp>BDH|4764772498474665566</stp>
        <tr r="I15" s="2"/>
      </tp>
      <tp t="e">
        <v>#N/A</v>
        <stp/>
        <stp>BDH|4838954495379532636</stp>
        <tr r="L28" s="2"/>
      </tp>
      <tp t="e">
        <v>#N/A</v>
        <stp/>
        <stp>BDH|3523958819283492336</stp>
        <tr r="E42" s="2"/>
      </tp>
      <tp t="e">
        <v>#N/A</v>
        <stp/>
        <stp>BDH|3507913213826711627</stp>
        <tr r="K47" s="2"/>
      </tp>
      <tp t="e">
        <v>#N/A</v>
        <stp/>
        <stp>BDH|1743951131176305630</stp>
        <tr r="F73" s="2"/>
      </tp>
      <tp t="e">
        <v>#N/A</v>
        <stp/>
        <stp>BDH|3489283307719133398</stp>
        <tr r="E20" s="2"/>
      </tp>
      <tp t="e">
        <v>#N/A</v>
        <stp/>
        <stp>BDH|6378898060196016594</stp>
        <tr r="F89" s="2"/>
      </tp>
      <tp t="e">
        <v>#N/A</v>
        <stp/>
        <stp>BDH|9833242856851073494</stp>
        <tr r="H12" s="2"/>
      </tp>
      <tp t="e">
        <v>#N/A</v>
        <stp/>
        <stp>BDH|6372172399156814368</stp>
        <tr r="F87" s="2"/>
      </tp>
      <tp t="e">
        <v>#N/A</v>
        <stp/>
        <stp>BDH|8062426714510556639</stp>
        <tr r="E28" s="2"/>
      </tp>
      <tp t="e">
        <v>#N/A</v>
        <stp/>
        <stp>BDH|5215080979169370016</stp>
        <tr r="I20" s="2"/>
      </tp>
      <tp t="e">
        <v>#N/A</v>
        <stp/>
        <stp>BDH|7326451421742004869</stp>
        <tr r="H55" s="2"/>
      </tp>
      <tp t="e">
        <v>#N/A</v>
        <stp/>
        <stp>BDH|4729584960079054592</stp>
        <tr r="K66" s="2"/>
      </tp>
      <tp t="e">
        <v>#N/A</v>
        <stp/>
        <stp>BDH|8720435224784232146</stp>
        <tr r="K29" s="2"/>
      </tp>
      <tp t="e">
        <v>#N/A</v>
        <stp/>
        <stp>BDH|7569863752478023974</stp>
        <tr r="D28" s="2"/>
      </tp>
      <tp t="e">
        <v>#N/A</v>
        <stp/>
        <stp>BDH|3568215499337894435</stp>
        <tr r="C20" s="2"/>
      </tp>
      <tp t="e">
        <v>#N/A</v>
        <stp/>
        <stp>BDH|9790010827903587304</stp>
        <tr r="I58" s="2"/>
      </tp>
      <tp t="e">
        <v>#N/A</v>
        <stp/>
        <stp>BDH|1697393055374758880</stp>
        <tr r="F7" s="2"/>
      </tp>
      <tp t="e">
        <v>#N/A</v>
        <stp/>
        <stp>BDH|8546199335929545764</stp>
        <tr r="F62" s="2"/>
      </tp>
      <tp t="e">
        <v>#N/A</v>
        <stp/>
        <stp>BDH|6901714284039371455</stp>
        <tr r="E99" s="2"/>
      </tp>
      <tp t="e">
        <v>#N/A</v>
        <stp/>
        <stp>BDH|4749945725979564298</stp>
        <tr r="G96" s="2"/>
      </tp>
      <tp t="e">
        <v>#N/A</v>
        <stp/>
        <stp>BDH|3592794064792457467</stp>
        <tr r="E97" s="2"/>
      </tp>
      <tp t="e">
        <v>#N/A</v>
        <stp/>
        <stp>BDH|5869345104751795352</stp>
        <tr r="I33" s="2"/>
      </tp>
      <tp t="e">
        <v>#N/A</v>
        <stp/>
        <stp>BDH|4820320438343914331</stp>
        <tr r="C59" s="2"/>
      </tp>
      <tp t="e">
        <v>#N/A</v>
        <stp/>
        <stp>BDH|7083935157777405882</stp>
        <tr r="G47" s="2"/>
      </tp>
      <tp t="e">
        <v>#N/A</v>
        <stp/>
        <stp>BDH|5277748589938786600</stp>
        <tr r="H78" s="2"/>
      </tp>
      <tp t="e">
        <v>#N/A</v>
        <stp/>
        <stp>BDH|2589319742279855875</stp>
        <tr r="H10" s="2"/>
      </tp>
      <tp t="e">
        <v>#N/A</v>
        <stp/>
        <stp>BDH|3979511636612299356</stp>
        <tr r="K14" s="2"/>
      </tp>
      <tp t="e">
        <v>#N/A</v>
        <stp/>
        <stp>BDH|7918753643003692360</stp>
        <tr r="F63" s="2"/>
      </tp>
      <tp t="e">
        <v>#N/A</v>
        <stp/>
        <stp>BDH|5361465318823142730</stp>
        <tr r="G79" s="2"/>
      </tp>
      <tp t="e">
        <v>#N/A</v>
        <stp/>
        <stp>BDH|3019778878495462273</stp>
        <tr r="D97" s="2"/>
      </tp>
      <tp t="e">
        <v>#N/A</v>
        <stp/>
        <stp>BDH|8774359810367756993</stp>
        <tr r="L81" s="2"/>
      </tp>
      <tp t="e">
        <v>#N/A</v>
        <stp/>
        <stp>BDH|1141093567747456479</stp>
        <tr r="D69" s="2"/>
      </tp>
      <tp t="e">
        <v>#N/A</v>
        <stp/>
        <stp>BDH|4147771511703287589</stp>
        <tr r="E32" s="2"/>
      </tp>
      <tp t="e">
        <v>#N/A</v>
        <stp/>
        <stp>BDH|6456913830379991115</stp>
        <tr r="G27" s="2"/>
      </tp>
      <tp t="e">
        <v>#N/A</v>
        <stp/>
        <stp>BDH|6877821546237667978</stp>
        <tr r="I35" s="2"/>
      </tp>
      <tp t="e">
        <v>#N/A</v>
        <stp/>
        <stp>BDH|1975462184378839115</stp>
        <tr r="C55" s="2"/>
      </tp>
      <tp t="e">
        <v>#N/A</v>
        <stp/>
        <stp>BDH|3039619377587564103</stp>
        <tr r="C66" s="2"/>
      </tp>
      <tp t="e">
        <v>#N/A</v>
        <stp/>
        <stp>BDH|8960880462191141319</stp>
        <tr r="E48" s="2"/>
      </tp>
      <tp t="e">
        <v>#N/A</v>
        <stp/>
        <stp>BDH|3777485230342747288</stp>
        <tr r="G53" s="2"/>
      </tp>
      <tp t="e">
        <v>#N/A</v>
        <stp/>
        <stp>BDH|2115134422574238133</stp>
        <tr r="D30" s="2"/>
      </tp>
      <tp t="e">
        <v>#N/A</v>
        <stp/>
        <stp>BDH|8833880933687072055</stp>
        <tr r="L37" s="2"/>
      </tp>
      <tp t="e">
        <v>#N/A</v>
        <stp/>
        <stp>BDH|2923047659323386012</stp>
        <tr r="G66" s="2"/>
      </tp>
      <tp t="e">
        <v>#N/A</v>
        <stp/>
        <stp>BDH|2260238501251597525</stp>
        <tr r="L59" s="2"/>
      </tp>
      <tp t="e">
        <v>#N/A</v>
        <stp/>
        <stp>BDH|2905300841953569294</stp>
        <tr r="E19" s="2"/>
      </tp>
      <tp t="e">
        <v>#N/A</v>
        <stp/>
        <stp>BDH|8507186349491712865</stp>
        <tr r="J7" s="2"/>
      </tp>
      <tp t="e">
        <v>#N/A</v>
        <stp/>
        <stp>BDH|3376292458936887707</stp>
        <tr r="C87" s="2"/>
      </tp>
      <tp t="e">
        <v>#N/A</v>
        <stp/>
        <stp>BDH|4159238108880627368</stp>
        <tr r="C89" s="2"/>
      </tp>
      <tp t="e">
        <v>#N/A</v>
        <stp/>
        <stp>BDH|3892318667195031654</stp>
        <tr r="K45" s="2"/>
      </tp>
      <tp t="e">
        <v>#N/A</v>
        <stp/>
        <stp>BDH|5140358028508406931</stp>
        <tr r="K72" s="2"/>
      </tp>
      <tp t="e">
        <v>#N/A</v>
        <stp/>
        <stp>BDH|5439396187658888390</stp>
        <tr r="G63" s="2"/>
      </tp>
      <tp t="e">
        <v>#N/A</v>
        <stp/>
        <stp>BDH|8350530961548911608</stp>
        <tr r="I28" s="2"/>
      </tp>
      <tp t="e">
        <v>#N/A</v>
        <stp/>
        <stp>BDH|3052022758583187033</stp>
        <tr r="C65" s="2"/>
      </tp>
      <tp t="e">
        <v>#N/A</v>
        <stp/>
        <stp>BDH|5507476906580998451</stp>
        <tr r="C88" s="2"/>
      </tp>
      <tp t="e">
        <v>#N/A</v>
        <stp/>
        <stp>BDH|7975213649447857318</stp>
        <tr r="D98" s="2"/>
      </tp>
      <tp t="e">
        <v>#N/A</v>
        <stp/>
        <stp>BDH|3592983671860701823</stp>
        <tr r="K51" s="2"/>
      </tp>
      <tp t="e">
        <v>#N/A</v>
        <stp/>
        <stp>BDH|6605641049336635743</stp>
        <tr r="D11" s="2"/>
      </tp>
      <tp t="e">
        <v>#N/A</v>
        <stp/>
        <stp>BDH|7250388577701306771</stp>
        <tr r="D19" s="2"/>
      </tp>
      <tp t="e">
        <v>#N/A</v>
        <stp/>
        <stp>BDH|2259410130846825652</stp>
        <tr r="C54" s="2"/>
      </tp>
      <tp t="e">
        <v>#N/A</v>
        <stp/>
        <stp>BDH|5154585487174235931</stp>
        <tr r="K24" s="2"/>
      </tp>
      <tp t="e">
        <v>#N/A</v>
        <stp/>
        <stp>BDH|8044110979589236257</stp>
        <tr r="K56" s="2"/>
      </tp>
      <tp t="e">
        <v>#N/A</v>
        <stp/>
        <stp>BDH|3243847869410500864</stp>
        <tr r="E58" s="2"/>
      </tp>
      <tp t="e">
        <v>#N/A</v>
        <stp/>
        <stp>BDH|4885867682975689482</stp>
        <tr r="H72" s="2"/>
      </tp>
      <tp t="e">
        <v>#N/A</v>
        <stp/>
        <stp>BDH|9479366197406564002</stp>
        <tr r="I34" s="2"/>
      </tp>
      <tp t="e">
        <v>#N/A</v>
        <stp/>
        <stp>BDH|4374208241085653240</stp>
        <tr r="I17" s="2"/>
      </tp>
      <tp t="e">
        <v>#N/A</v>
        <stp/>
        <stp>BDH|1775466558883954611</stp>
        <tr r="G90" s="2"/>
      </tp>
      <tp t="e">
        <v>#N/A</v>
        <stp/>
        <stp>BDH|6571677228741880633</stp>
        <tr r="H88" s="2"/>
      </tp>
      <tp t="e">
        <v>#N/A</v>
        <stp/>
        <stp>BDH|5557818795430326134</stp>
        <tr r="K88" s="2"/>
      </tp>
      <tp t="e">
        <v>#N/A</v>
        <stp/>
        <stp>BDH|5442151581641257844</stp>
        <tr r="J51" s="2"/>
      </tp>
      <tp t="e">
        <v>#N/A</v>
        <stp/>
        <stp>BDH|3969855060439822127</stp>
        <tr r="E69" s="2"/>
      </tp>
      <tp t="e">
        <v>#N/A</v>
        <stp/>
        <stp>BDH|3318909798472410497</stp>
        <tr r="F27" s="2"/>
      </tp>
      <tp t="e">
        <v>#N/A</v>
        <stp/>
        <stp>BDH|4724913387678338857</stp>
        <tr r="L87" s="2"/>
      </tp>
      <tp t="e">
        <v>#N/A</v>
        <stp/>
        <stp>BDH|3122233616911789472</stp>
        <tr r="D91" s="2"/>
      </tp>
      <tp t="e">
        <v>#N/A</v>
        <stp/>
        <stp>BDH|1474416738553095098</stp>
        <tr r="L40" s="2"/>
      </tp>
      <tp t="e">
        <v>#N/A</v>
        <stp/>
        <stp>BDH|2959272649577300605</stp>
        <tr r="L48" s="2"/>
      </tp>
      <tp t="e">
        <v>#N/A</v>
        <stp/>
        <stp>BDH|2975358211445068094</stp>
        <tr r="H90" s="2"/>
      </tp>
      <tp t="e">
        <v>#N/A</v>
        <stp/>
        <stp>BDH|9830178008465634851</stp>
        <tr r="E49" s="2"/>
      </tp>
      <tp t="e">
        <v>#N/A</v>
        <stp/>
        <stp>BDH|3485330934435467337</stp>
        <tr r="E29" s="2"/>
      </tp>
      <tp t="e">
        <v>#N/A</v>
        <stp/>
        <stp>BDH|3258710001474407536</stp>
        <tr r="F10" s="2"/>
      </tp>
      <tp t="e">
        <v>#N/A</v>
        <stp/>
        <stp>BDH|3882369844893763287</stp>
        <tr r="I8" s="2"/>
      </tp>
      <tp t="e">
        <v>#N/A</v>
        <stp/>
        <stp>BDH|8776060813115387941</stp>
        <tr r="F47" s="2"/>
      </tp>
      <tp t="e">
        <v>#N/A</v>
        <stp/>
        <stp>BDH|89520517735277953</stp>
        <tr r="F52" s="2"/>
      </tp>
      <tp t="e">
        <v>#N/A</v>
        <stp/>
        <stp>BDH|39997925372253102</stp>
        <tr r="I70" s="2"/>
      </tp>
      <tp t="e">
        <v>#N/A</v>
        <stp/>
        <stp>BDH|7608250909361214225</stp>
        <tr r="H36" s="2"/>
      </tp>
      <tp t="e">
        <v>#N/A</v>
        <stp/>
        <stp>BDH|3301480807305276455</stp>
        <tr r="K52" s="2"/>
      </tp>
      <tp t="e">
        <v>#N/A</v>
        <stp/>
        <stp>BDH|4189525670120882020</stp>
        <tr r="H82" s="2"/>
      </tp>
      <tp t="e">
        <v>#N/A</v>
        <stp/>
        <stp>BDH|5669210200558937909</stp>
        <tr r="L98" s="2"/>
      </tp>
      <tp t="e">
        <v>#N/A</v>
        <stp/>
        <stp>BDH|6638266227280978010</stp>
        <tr r="K71" s="2"/>
      </tp>
      <tp t="e">
        <v>#N/A</v>
        <stp/>
        <stp>BDH|8845727462876499935</stp>
        <tr r="L56" s="2"/>
      </tp>
      <tp t="e">
        <v>#N/A</v>
        <stp/>
        <stp>BDH|9608396942568903083</stp>
        <tr r="F65" s="2"/>
      </tp>
      <tp t="e">
        <v>#N/A</v>
        <stp/>
        <stp>BDH|7622498123390131702</stp>
        <tr r="H54" s="2"/>
      </tp>
      <tp t="e">
        <v>#N/A</v>
        <stp/>
        <stp>BDH|3101477115867882793</stp>
        <tr r="K42" s="2"/>
      </tp>
      <tp t="e">
        <v>#N/A</v>
        <stp/>
        <stp>BDH|7825786469876810623</stp>
        <tr r="D16" s="2"/>
      </tp>
      <tp t="e">
        <v>#N/A</v>
        <stp/>
        <stp>BDH|8837210098091364426</stp>
        <tr r="C32" s="2"/>
      </tp>
      <tp t="e">
        <v>#N/A</v>
        <stp/>
        <stp>BDH|5427594067936224689</stp>
        <tr r="K31" s="2"/>
      </tp>
      <tp t="e">
        <v>#N/A</v>
        <stp/>
        <stp>BDH|8561120556999254332</stp>
        <tr r="J93" s="2"/>
      </tp>
      <tp t="e">
        <v>#N/A</v>
        <stp/>
        <stp>BDH|8009775621598604310</stp>
        <tr r="C27" s="2"/>
      </tp>
      <tp t="e">
        <v>#N/A</v>
        <stp/>
        <stp>BDH|7634419947728031918</stp>
        <tr r="E31" s="2"/>
      </tp>
      <tp t="e">
        <v>#N/A</v>
        <stp/>
        <stp>BDH|9336961557897592410</stp>
        <tr r="E83" s="2"/>
      </tp>
      <tp t="e">
        <v>#N/A</v>
        <stp/>
        <stp>BDH|4704948451868666620</stp>
        <tr r="C90" s="2"/>
      </tp>
      <tp t="e">
        <v>#N/A</v>
        <stp/>
        <stp>BDH|7041180015767976622</stp>
        <tr r="H30" s="2"/>
      </tp>
      <tp t="e">
        <v>#N/A</v>
        <stp/>
        <stp>BDH|7398865763507094821</stp>
        <tr r="E91" s="2"/>
      </tp>
      <tp t="e">
        <v>#N/A</v>
        <stp/>
        <stp>BDH|2536793383382809933</stp>
        <tr r="E21" s="2"/>
      </tp>
      <tp t="e">
        <v>#N/A</v>
        <stp/>
        <stp>BDH|2728449486681266938</stp>
        <tr r="J9" s="2"/>
      </tp>
      <tp t="e">
        <v>#N/A</v>
        <stp/>
        <stp>BDH|6118500400434250177</stp>
        <tr r="I89" s="2"/>
      </tp>
      <tp t="e">
        <v>#N/A</v>
        <stp/>
        <stp>BDH|1739205994424145869</stp>
        <tr r="J73" s="2"/>
      </tp>
      <tp t="e">
        <v>#N/A</v>
        <stp/>
        <stp>BDH|7794535570533756072</stp>
        <tr r="K55" s="2"/>
      </tp>
      <tp t="e">
        <v>#N/A</v>
        <stp/>
        <stp>BDH|2015377374619115973</stp>
        <tr r="E34" s="2"/>
      </tp>
      <tp t="e">
        <v>#N/A</v>
        <stp/>
        <stp>BDH|1892243169397458447</stp>
        <tr r="E71" s="2"/>
      </tp>
      <tp t="e">
        <v>#N/A</v>
        <stp/>
        <stp>BDH|8618064117917693848</stp>
        <tr r="L21" s="2"/>
      </tp>
      <tp t="e">
        <v>#N/A</v>
        <stp/>
        <stp>BDH|8131356221747983896</stp>
        <tr r="J22" s="2"/>
      </tp>
      <tp t="e">
        <v>#N/A</v>
        <stp/>
        <stp>BDH|2032506518572591286</stp>
        <tr r="E70" s="2"/>
      </tp>
      <tp t="e">
        <v>#N/A</v>
        <stp/>
        <stp>BDH|9752873529973716757</stp>
        <tr r="C98" s="2"/>
      </tp>
      <tp t="e">
        <v>#N/A</v>
        <stp/>
        <stp>BDH|6599405723243553480</stp>
        <tr r="L76" s="2"/>
      </tp>
      <tp t="e">
        <v>#N/A</v>
        <stp/>
        <stp>BDH|2058049157143270396</stp>
        <tr r="L70" s="2"/>
      </tp>
      <tp t="e">
        <v>#N/A</v>
        <stp/>
        <stp>BDH|8788700555668821538</stp>
        <tr r="C97" s="2"/>
      </tp>
      <tp t="e">
        <v>#N/A</v>
        <stp/>
        <stp>BDH|4341087050267332177</stp>
        <tr r="D31" s="2"/>
      </tp>
      <tp t="e">
        <v>#N/A</v>
        <stp/>
        <stp>BDH|7598571619485367172</stp>
        <tr r="H95" s="2"/>
      </tp>
      <tp t="e">
        <v>#N/A</v>
        <stp/>
        <stp>BDH|4955573770911749066</stp>
        <tr r="I24" s="2"/>
      </tp>
      <tp t="e">
        <v>#N/A</v>
        <stp/>
        <stp>BDH|3564705788449551251</stp>
        <tr r="F93" s="2"/>
      </tp>
      <tp t="e">
        <v>#N/A</v>
        <stp/>
        <stp>BDH|1072161207370987757</stp>
        <tr r="E63" s="2"/>
      </tp>
      <tp t="e">
        <v>#N/A</v>
        <stp/>
        <stp>BDH|8853353284135110159</stp>
        <tr r="F41" s="2"/>
      </tp>
      <tp t="e">
        <v>#N/A</v>
        <stp/>
        <stp>BDH|7775698667801889132</stp>
        <tr r="C52" s="2"/>
      </tp>
      <tp t="e">
        <v>#N/A</v>
        <stp/>
        <stp>BDH|3694269865104470438</stp>
        <tr r="K68" s="2"/>
      </tp>
      <tp t="e">
        <v>#N/A</v>
        <stp/>
        <stp>BDH|1314479413617238458</stp>
        <tr r="C60" s="2"/>
      </tp>
      <tp t="e">
        <v>#N/A</v>
        <stp/>
        <stp>BDH|6990478244510380194</stp>
        <tr r="J8" s="2"/>
      </tp>
      <tp t="e">
        <v>#N/A</v>
        <stp/>
        <stp>BDH|3812019791214882910</stp>
        <tr r="K99" s="2"/>
      </tp>
      <tp t="e">
        <v>#N/A</v>
        <stp/>
        <stp>BDH|5931214549345407140</stp>
        <tr r="L29" s="2"/>
      </tp>
      <tp t="e">
        <v>#N/A</v>
        <stp/>
        <stp>BDH|9309622692659641836</stp>
        <tr r="J98" s="2"/>
      </tp>
      <tp t="e">
        <v>#N/A</v>
        <stp/>
        <stp>BDH|9342707390779559919</stp>
        <tr r="E35" s="2"/>
      </tp>
      <tp t="e">
        <v>#N/A</v>
        <stp/>
        <stp>BDH|5063052128889989907</stp>
        <tr r="H69" s="2"/>
      </tp>
      <tp t="e">
        <v>#N/A</v>
        <stp/>
        <stp>BDH|4779549515111729657</stp>
        <tr r="G65" s="2"/>
      </tp>
      <tp t="e">
        <v>#N/A</v>
        <stp/>
        <stp>BDH|9033570483793027010</stp>
        <tr r="J59" s="2"/>
      </tp>
      <tp t="e">
        <v>#N/A</v>
        <stp/>
        <stp>BDH|6026449928750029790</stp>
        <tr r="F30" s="2"/>
      </tp>
      <tp t="e">
        <v>#N/A</v>
        <stp/>
        <stp>BDH|8167552541570753997</stp>
        <tr r="E94" s="2"/>
      </tp>
      <tp t="e">
        <v>#N/A</v>
        <stp/>
        <stp>BDH|4221835396790571599</stp>
        <tr r="D9" s="2"/>
      </tp>
      <tp t="e">
        <v>#N/A</v>
        <stp/>
        <stp>BDH|3770678655233382385</stp>
        <tr r="G91" s="2"/>
      </tp>
      <tp t="e">
        <v>#N/A</v>
        <stp/>
        <stp>BDH|1831543456200081148</stp>
        <tr r="I87" s="2"/>
      </tp>
      <tp t="e">
        <v>#N/A</v>
        <stp/>
        <stp>BDH|7527974514018111784</stp>
        <tr r="F60" s="2"/>
      </tp>
      <tp t="e">
        <v>#N/A</v>
        <stp/>
        <stp>BDH|3388169764214868060</stp>
        <tr r="I10" s="2"/>
      </tp>
      <tp t="e">
        <v>#N/A</v>
        <stp/>
        <stp>BDH|1574744044244001691</stp>
        <tr r="K57" s="2"/>
      </tp>
      <tp t="e">
        <v>#N/A</v>
        <stp/>
        <stp>BDH|5812127348194741490</stp>
        <tr r="J82" s="2"/>
      </tp>
      <tp t="e">
        <v>#N/A</v>
        <stp/>
        <stp>BDH|5067486911630190049</stp>
        <tr r="G69" s="2"/>
      </tp>
      <tp t="e">
        <v>#N/A</v>
        <stp/>
        <stp>BDH|7343154675801625093</stp>
        <tr r="K43" s="2"/>
      </tp>
      <tp t="e">
        <v>#N/A</v>
        <stp/>
        <stp>BDH|3258227306246820728</stp>
        <tr r="K98" s="2"/>
      </tp>
      <tp t="e">
        <v>#N/A</v>
        <stp/>
        <stp>BDH|4744360031577421390</stp>
        <tr r="D90" s="2"/>
      </tp>
      <tp t="e">
        <v>#N/A</v>
        <stp/>
        <stp>BDH|7728480043507653084</stp>
        <tr r="K22" s="2"/>
      </tp>
      <tp t="e">
        <v>#N/A</v>
        <stp/>
        <stp>BDH|9563801314027596771</stp>
        <tr r="F22" s="2"/>
      </tp>
      <tp t="e">
        <v>#N/A</v>
        <stp/>
        <stp>BDH|9837091320659816297</stp>
        <tr r="K74" s="2"/>
      </tp>
      <tp t="e">
        <v>#N/A</v>
        <stp/>
        <stp>BDH|9420375951197221801</stp>
        <tr r="H46" s="2"/>
      </tp>
      <tp t="e">
        <v>#N/A</v>
        <stp/>
        <stp>BDH|6989181537822602618</stp>
        <tr r="C99" s="2"/>
      </tp>
      <tp t="e">
        <v>#N/A</v>
        <stp/>
        <stp>BDH|4592600842685003360</stp>
        <tr r="H96" s="2"/>
      </tp>
      <tp t="e">
        <v>#N/A</v>
        <stp/>
        <stp>BDH|9029462556941859992</stp>
        <tr r="J11" s="2"/>
      </tp>
      <tp t="e">
        <v>#N/A</v>
        <stp/>
        <stp>BDH|5419683876573952749</stp>
        <tr r="H11" s="2"/>
      </tp>
      <tp t="e">
        <v>#N/A</v>
        <stp/>
        <stp>BDH|4136692693418498383</stp>
        <tr r="E22" s="2"/>
      </tp>
      <tp t="e">
        <v>#N/A</v>
        <stp/>
        <stp>BDH|7836683406754502574</stp>
        <tr r="F43" s="2"/>
      </tp>
      <tp t="e">
        <v>#N/A</v>
        <stp/>
        <stp>BDH|4507492658085203020</stp>
        <tr r="H59" s="2"/>
      </tp>
      <tp t="e">
        <v>#N/A</v>
        <stp/>
        <stp>BDH|2078790137967804135</stp>
        <tr r="G20" s="2"/>
      </tp>
      <tp t="e">
        <v>#N/A</v>
        <stp/>
        <stp>BDH|4631356302885102252</stp>
        <tr r="K35" s="2"/>
      </tp>
      <tp t="e">
        <v>#N/A</v>
        <stp/>
        <stp>BDH|2685686425493296435</stp>
        <tr r="H35" s="2"/>
      </tp>
      <tp t="e">
        <v>#N/A</v>
        <stp/>
        <stp>BDH|3436308159205015168</stp>
        <tr r="L91" s="2"/>
      </tp>
      <tp t="e">
        <v>#N/A</v>
        <stp/>
        <stp>BDH|6450830445718958302</stp>
        <tr r="J24" s="2"/>
      </tp>
      <tp t="e">
        <v>#N/A</v>
        <stp/>
        <stp>BDH|8115691331675592974</stp>
        <tr r="F12" s="2"/>
      </tp>
      <tp t="e">
        <v>#N/A</v>
        <stp/>
        <stp>BDH|1962353491949731342</stp>
        <tr r="H25" s="2"/>
      </tp>
      <tp t="e">
        <v>#N/A</v>
        <stp/>
        <stp>BDH|5852249517794342374</stp>
        <tr r="F19" s="2"/>
      </tp>
      <tp t="e">
        <v>#N/A</v>
        <stp/>
        <stp>BDH|8426427086802583792</stp>
        <tr r="D50" s="2"/>
      </tp>
      <tp t="e">
        <v>#N/A</v>
        <stp/>
        <stp>BDH|9952223513918077343</stp>
        <tr r="I7" s="2"/>
      </tp>
      <tp t="e">
        <v>#N/A</v>
        <stp/>
        <stp>BDH|9540678174520808926</stp>
        <tr r="G74" s="2"/>
      </tp>
      <tp t="e">
        <v>#N/A</v>
        <stp/>
        <stp>BDH|1519919542188289597</stp>
        <tr r="D47" s="2"/>
      </tp>
      <tp t="e">
        <v>#N/A</v>
        <stp/>
        <stp>BDH|8649982815485845417</stp>
        <tr r="D59" s="2"/>
      </tp>
      <tp t="e">
        <v>#N/A</v>
        <stp/>
        <stp>BDH|4130091014293793788</stp>
        <tr r="G15" s="2"/>
      </tp>
      <tp t="e">
        <v>#N/A</v>
        <stp/>
        <stp>BDH|2777652167257128444</stp>
        <tr r="E14" s="2"/>
      </tp>
      <tp t="e">
        <v>#N/A</v>
        <stp/>
        <stp>BDH|8722051589676855738</stp>
        <tr r="I66" s="2"/>
      </tp>
      <tp t="e">
        <v>#N/A</v>
        <stp/>
        <stp>BDH|3757567523911522462</stp>
        <tr r="K61" s="2"/>
      </tp>
      <tp t="e">
        <v>#N/A</v>
        <stp/>
        <stp>BDH|3169231883480174867</stp>
        <tr r="D25" s="2"/>
      </tp>
      <tp t="e">
        <v>#N/A</v>
        <stp/>
        <stp>BDH|3935752814045815167</stp>
        <tr r="C22" s="2"/>
      </tp>
      <tp t="e">
        <v>#N/A</v>
        <stp/>
        <stp>BDH|2122329357434774148</stp>
        <tr r="H62" s="2"/>
      </tp>
      <tp t="e">
        <v>#N/A</v>
        <stp/>
        <stp>BDH|3777558471112255266</stp>
        <tr r="D26" s="2"/>
      </tp>
      <tp t="e">
        <v>#N/A</v>
        <stp/>
        <stp>BDH|3403633712394561142</stp>
        <tr r="D80" s="2"/>
      </tp>
      <tp t="e">
        <v>#N/A</v>
        <stp/>
        <stp>BDH|7255683215301297092</stp>
        <tr r="J81" s="2"/>
      </tp>
      <tp t="e">
        <v>#N/A</v>
        <stp/>
        <stp>BDH|5025269849750802227</stp>
        <tr r="C35" s="2"/>
      </tp>
      <tp t="e">
        <v>#N/A</v>
        <stp/>
        <stp>BDH|1748162471457562108</stp>
        <tr r="L23" s="2"/>
      </tp>
      <tp t="e">
        <v>#N/A</v>
        <stp/>
        <stp>BDH|3989611468477561507</stp>
        <tr r="F92" s="2"/>
      </tp>
      <tp t="e">
        <v>#N/A</v>
        <stp/>
        <stp>BDH|7100030154523463398</stp>
        <tr r="H87" s="2"/>
      </tp>
      <tp t="e">
        <v>#N/A</v>
        <stp/>
        <stp>BDH|6781489590989752036</stp>
        <tr r="F75" s="2"/>
      </tp>
      <tp t="e">
        <v>#N/A</v>
        <stp/>
        <stp>BDH|2823497778673151066</stp>
        <tr r="L69" s="2"/>
      </tp>
      <tp t="e">
        <v>#N/A</v>
        <stp/>
        <stp>BDH|2526597134450707608</stp>
        <tr r="E75" s="2"/>
      </tp>
      <tp t="e">
        <v>#N/A</v>
        <stp/>
        <stp>BDH|5312289316316573258</stp>
        <tr r="D94" s="2"/>
      </tp>
      <tp t="e">
        <v>#N/A</v>
        <stp/>
        <stp>BDH|5941913404629707793</stp>
        <tr r="L24" s="2"/>
      </tp>
      <tp t="e">
        <v>#N/A</v>
        <stp/>
        <stp>BDH|3069562519096484396</stp>
        <tr r="C10" s="2"/>
      </tp>
      <tp t="e">
        <v>#N/A</v>
        <stp/>
        <stp>BDH|1817506578069064802</stp>
        <tr r="J58" s="2"/>
      </tp>
      <tp t="e">
        <v>#N/A</v>
        <stp/>
        <stp>BDH|2439848307718769009</stp>
        <tr r="I43" s="2"/>
      </tp>
      <tp t="e">
        <v>#N/A</v>
        <stp/>
        <stp>BDH|5210803592482750470</stp>
        <tr r="C15" s="2"/>
      </tp>
      <tp t="e">
        <v>#N/A</v>
        <stp/>
        <stp>BDH|7853981523907280918</stp>
        <tr r="F72" s="2"/>
      </tp>
      <tp t="e">
        <v>#N/A</v>
        <stp/>
        <stp>BDH|3168475033881517706</stp>
        <tr r="I11" s="2"/>
      </tp>
      <tp t="e">
        <v>#N/A</v>
        <stp/>
        <stp>BDH|3353137170033820492</stp>
        <tr r="G95" s="2"/>
      </tp>
      <tp t="e">
        <v>#N/A</v>
        <stp/>
        <stp>BDH|5623652387429507001</stp>
        <tr r="C24" s="2"/>
      </tp>
      <tp t="e">
        <v>#N/A</v>
        <stp/>
        <stp>BDH|3044532983859789563</stp>
        <tr r="F9" s="2"/>
      </tp>
      <tp t="e">
        <v>#N/A</v>
        <stp/>
        <stp>BDH|5328375922160124607</stp>
        <tr r="K95" s="2"/>
      </tp>
      <tp t="e">
        <v>#N/A</v>
        <stp/>
        <stp>BDH|8067309192133509333</stp>
        <tr r="H51" s="2"/>
      </tp>
      <tp t="e">
        <v>#N/A</v>
        <stp/>
        <stp>BDH|7243397603620536681</stp>
        <tr r="L99" s="2"/>
      </tp>
      <tp t="e">
        <v>#N/A</v>
        <stp/>
        <stp>BDH|8489949294638154205</stp>
        <tr r="G13" s="2"/>
      </tp>
      <tp t="e">
        <v>#N/A</v>
        <stp/>
        <stp>BDH|2454510146800997004</stp>
        <tr r="J63" s="2"/>
      </tp>
      <tp t="e">
        <v>#N/A</v>
        <stp/>
        <stp>BDH|9731296317959181039</stp>
        <tr r="D54" s="2"/>
      </tp>
      <tp t="e">
        <v>#N/A</v>
        <stp/>
        <stp>BDH|5827802368211163987</stp>
        <tr r="H94" s="2"/>
      </tp>
      <tp t="e">
        <v>#N/A</v>
        <stp/>
        <stp>BDH|3264260351712553593</stp>
        <tr r="D33" s="2"/>
      </tp>
      <tp t="e">
        <v>#N/A</v>
        <stp/>
        <stp>BDH|2793652774397760785</stp>
        <tr r="L12" s="2"/>
      </tp>
      <tp t="e">
        <v>#N/A</v>
        <stp/>
        <stp>BDH|1546867285902601094</stp>
        <tr r="F45" s="2"/>
      </tp>
      <tp t="e">
        <v>#N/A</v>
        <stp/>
        <stp>BDH|4946723437712414162</stp>
        <tr r="J67" s="2"/>
      </tp>
      <tp t="e">
        <v>#N/A</v>
        <stp/>
        <stp>BDH|3213426970877674487</stp>
        <tr r="D75" s="2"/>
      </tp>
      <tp t="e">
        <v>#N/A</v>
        <stp/>
        <stp>BDH|4843711538465821655</stp>
        <tr r="E44" s="2"/>
      </tp>
      <tp t="e">
        <v>#N/A</v>
        <stp/>
        <stp>BDH|4089503547306856024</stp>
        <tr r="L53" s="2"/>
      </tp>
      <tp t="e">
        <v>#N/A</v>
        <stp/>
        <stp>BDH|4977440016953034160</stp>
        <tr r="L20" s="2"/>
      </tp>
      <tp t="e">
        <v>#N/A</v>
        <stp/>
        <stp>BDH|6177019867101760221</stp>
        <tr r="H58" s="2"/>
      </tp>
      <tp t="e">
        <v>#N/A</v>
        <stp/>
        <stp>BDH|1663654216114435122</stp>
        <tr r="D60" s="2"/>
      </tp>
      <tp t="e">
        <v>#N/A</v>
        <stp/>
        <stp>BDH|9992987195413135961</stp>
        <tr r="J21" s="2"/>
      </tp>
      <tp t="e">
        <v>#N/A</v>
        <stp/>
        <stp>BDH|3573659261664146436</stp>
        <tr r="C26" s="2"/>
      </tp>
      <tp t="e">
        <v>#N/A</v>
        <stp/>
        <stp>BDH|4876267415750928418</stp>
        <tr r="E81" s="2"/>
      </tp>
      <tp t="e">
        <v>#N/A</v>
        <stp/>
        <stp>BDH|2554526371476407519</stp>
        <tr r="J57" s="2"/>
      </tp>
      <tp t="e">
        <v>#N/A</v>
        <stp/>
        <stp>BDH|2251664563772433338</stp>
        <tr r="E51" s="2"/>
      </tp>
      <tp t="e">
        <v>#N/A</v>
        <stp/>
        <stp>BDH|7287065712783653619</stp>
        <tr r="J75" s="2"/>
      </tp>
      <tp t="e">
        <v>#N/A</v>
        <stp/>
        <stp>BDH|5516479755756324130</stp>
        <tr r="K75" s="2"/>
      </tp>
      <tp t="e">
        <v>#N/A</v>
        <stp/>
        <stp>BDH|8431357921398335261</stp>
        <tr r="C47" s="2"/>
      </tp>
      <tp t="e">
        <v>#N/A</v>
        <stp/>
        <stp>BDH|912662612033324128</stp>
        <tr r="G11" s="2"/>
      </tp>
      <tp t="e">
        <v>#N/A</v>
        <stp/>
        <stp>BDH|219571246832441621</stp>
        <tr r="J99" s="2"/>
      </tp>
      <tp t="e">
        <v>#N/A</v>
        <stp/>
        <stp>BDH|779016236491429746</stp>
        <tr r="L31" s="2"/>
      </tp>
      <tp t="e">
        <v>#N/A</v>
        <stp/>
        <stp>BDH|541302922452759612</stp>
        <tr r="D34" s="2"/>
      </tp>
      <tp t="e">
        <v>#N/A</v>
        <stp/>
        <stp>BDH|429236042687846542</stp>
        <tr r="E12" s="2"/>
      </tp>
      <tp t="e">
        <v>#N/A</v>
        <stp/>
        <stp>BDH|148446963653137512</stp>
        <tr r="H91" s="2"/>
      </tp>
      <tp t="e">
        <v>#N/A</v>
        <stp/>
        <stp>BDH|845199118601764672</stp>
        <tr r="K44" s="2"/>
      </tp>
      <tp t="e">
        <v>#N/A</v>
        <stp/>
        <stp>BDH|492124546195564701</stp>
        <tr r="I76" s="2"/>
      </tp>
      <tp t="e">
        <v>#N/A</v>
        <stp/>
        <stp>BDH|815426606650831310</stp>
        <tr r="F91" s="2"/>
      </tp>
      <tp t="e">
        <v>#N/A</v>
        <stp/>
        <stp>BDH|537004869914370587</stp>
        <tr r="L96" s="2"/>
      </tp>
      <tp t="e">
        <v>#N/A</v>
        <stp/>
        <stp>BDH|897317168683638140</stp>
        <tr r="F8" s="2"/>
      </tp>
      <tp t="e">
        <v>#N/A</v>
        <stp/>
        <stp>BDH|240462818092632154</stp>
        <tr r="K12" s="2"/>
      </tp>
      <tp t="e">
        <v>#N/A</v>
        <stp/>
        <stp>BDH|148389164604771705</stp>
        <tr r="J70" s="2"/>
      </tp>
      <tp t="e">
        <v>#N/A</v>
        <stp/>
        <stp>BDH|455427258255990234</stp>
        <tr r="J56" s="2"/>
      </tp>
      <tp t="e">
        <v>#N/A</v>
        <stp/>
        <stp>BDH|751961484545025246</stp>
        <tr r="L34" s="2"/>
      </tp>
      <tp t="e">
        <v>#N/A</v>
        <stp/>
        <stp>BDH|152392351707949041</stp>
        <tr r="G26" s="2"/>
      </tp>
      <tp t="e">
        <v>#N/A</v>
        <stp/>
        <stp>BDH|101533690539133443</stp>
        <tr r="G54" s="2"/>
      </tp>
      <tp t="e">
        <v>#N/A</v>
        <stp/>
        <stp>BDH|445323279575857052</stp>
        <tr r="K49" s="2"/>
      </tp>
      <tp t="e">
        <v>#N/A</v>
        <stp/>
        <stp>BDH|302372682838318392</stp>
        <tr r="J49" s="2"/>
      </tp>
      <tp t="e">
        <v>#N/A</v>
        <stp/>
        <stp>BDH|656565871104190649</stp>
        <tr r="L43" s="2"/>
      </tp>
      <tp t="e">
        <v>#N/A</v>
        <stp/>
        <stp>BDH|470785704227162092</stp>
        <tr r="H83" s="2"/>
      </tp>
      <tp t="e">
        <v>#N/A</v>
        <stp/>
        <stp>BDH|127303549882693614</stp>
        <tr r="I19" s="2"/>
      </tp>
      <tp t="e">
        <v>#N/A</v>
        <stp/>
        <stp>BDH|977603538113782501</stp>
        <tr r="J72" s="2"/>
      </tp>
      <tp t="e">
        <v>#N/A</v>
        <stp/>
        <stp>BDH|954021524215184482</stp>
        <tr r="C77" s="2"/>
      </tp>
      <tp t="e">
        <v>#N/A</v>
        <stp/>
        <stp>BDH|957650728273122515</stp>
        <tr r="H43" s="2"/>
      </tp>
      <tp t="e">
        <v>#N/A</v>
        <stp/>
        <stp>BDH|358153209298793402</stp>
        <tr r="E15" s="2"/>
      </tp>
      <tp t="e">
        <v>#N/A</v>
        <stp/>
        <stp>BDH|499559988909215934</stp>
        <tr r="D96" s="2"/>
      </tp>
      <tp t="e">
        <v>#N/A</v>
        <stp/>
        <stp>BDH|116992161656031557</stp>
        <tr r="L25" s="2"/>
      </tp>
      <tp t="e">
        <v>#N/A</v>
        <stp/>
        <stp>BDH|533785323180294941</stp>
        <tr r="H75" s="2"/>
      </tp>
      <tp t="e">
        <v>#N/A</v>
        <stp/>
        <stp>BDH|592327153508706207</stp>
        <tr r="G24" s="2"/>
      </tp>
      <tp t="e">
        <v>#N/A</v>
        <stp/>
        <stp>BDH|869503817563471810</stp>
        <tr r="K82" s="2"/>
      </tp>
      <tp t="e">
        <v>#N/A</v>
        <stp/>
        <stp>BDH|621930355512246192</stp>
        <tr r="I92" s="2"/>
      </tp>
      <tp t="e">
        <v>#N/A</v>
        <stp/>
        <stp>BDH|344640490857711732</stp>
        <tr r="I97" s="2"/>
      </tp>
      <tp t="e">
        <v>#N/A</v>
        <stp/>
        <stp>BDH|702012611487215889</stp>
        <tr r="G44" s="2"/>
      </tp>
      <tp t="e">
        <v>#N/A</v>
        <stp/>
        <stp>BDH|403182093191666742</stp>
        <tr r="I36" s="2"/>
      </tp>
      <tp t="e">
        <v>#N/A</v>
        <stp/>
        <stp>BDH|558824619969795916</stp>
        <tr r="J64" s="2"/>
      </tp>
      <tp t="e">
        <v>#N/A</v>
        <stp/>
        <stp>BDH|269200899036739489</stp>
        <tr r="G98" s="2"/>
      </tp>
      <tp t="e">
        <v>#N/A</v>
        <stp/>
        <stp>BDH|385100572448086647</stp>
        <tr r="E96" s="2"/>
      </tp>
      <tp t="e">
        <v>#N/A</v>
        <stp/>
        <stp>BDH|805272334901000885</stp>
        <tr r="I37" s="2"/>
      </tp>
      <tp t="e">
        <v>#N/A</v>
        <stp/>
        <stp>BDH|509503709896350879</stp>
        <tr r="F67" s="2"/>
      </tp>
      <tp t="e">
        <v>#N/A</v>
        <stp/>
        <stp>BDH|326410756603632967</stp>
        <tr r="C42" s="2"/>
      </tp>
      <tp t="e">
        <v>#N/A</v>
        <stp/>
        <stp>BDH|167777204375973843</stp>
        <tr r="C9" s="2"/>
      </tp>
      <tp t="e">
        <v>#N/A</v>
        <stp/>
        <stp>BDH|314735751259912170</stp>
        <tr r="L17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workbookViewId="0"/>
  </sheetViews>
  <sheetFormatPr defaultRowHeight="14.25" x14ac:dyDescent="0.45"/>
  <cols>
    <col min="1" max="1" width="35.19921875" customWidth="1"/>
    <col min="2" max="2" width="0" hidden="1" customWidth="1"/>
    <col min="3" max="12" width="11.796875" customWidth="1"/>
  </cols>
  <sheetData>
    <row r="1" spans="1:12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65" x14ac:dyDescent="0.45">
      <c r="A2" s="8" t="s">
        <v>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4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45">
      <c r="A4" s="3" t="s">
        <v>3</v>
      </c>
      <c r="B4" s="3"/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</row>
    <row r="5" spans="1:12" x14ac:dyDescent="0.45">
      <c r="A5" s="9" t="s">
        <v>14</v>
      </c>
      <c r="B5" s="9"/>
      <c r="C5" s="5" t="s">
        <v>15</v>
      </c>
      <c r="D5" s="5" t="s">
        <v>16</v>
      </c>
      <c r="E5" s="5" t="s">
        <v>17</v>
      </c>
      <c r="F5" s="5" t="s">
        <v>18</v>
      </c>
      <c r="G5" s="5" t="s">
        <v>19</v>
      </c>
      <c r="H5" s="5" t="s">
        <v>20</v>
      </c>
      <c r="I5" s="5" t="s">
        <v>21</v>
      </c>
      <c r="J5" s="5" t="s">
        <v>22</v>
      </c>
      <c r="K5" s="5" t="s">
        <v>23</v>
      </c>
      <c r="L5" s="5" t="s">
        <v>24</v>
      </c>
    </row>
    <row r="6" spans="1:12" x14ac:dyDescent="0.45">
      <c r="A6" s="6" t="s">
        <v>25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2" x14ac:dyDescent="0.45">
      <c r="A7" s="10" t="s">
        <v>26</v>
      </c>
      <c r="B7" s="10" t="s">
        <v>27</v>
      </c>
      <c r="C7" s="13">
        <f>_xll.BDH("FIS US Equity","C&amp;CE_AND_STI_DETAILED","FY 2010","FY 2010","Currency=USD","Period=FY","BEST_FPERIOD_OVERRIDE=FY","FILING_STATUS=MR","SCALING_FORMAT=MLN","Sort=A","Dates=H","DateFormat=P","Fill=—","Direction=H","UseDPDF=Y")</f>
        <v>338</v>
      </c>
      <c r="D7" s="13">
        <f>_xll.BDH("FIS US Equity","C&amp;CE_AND_STI_DETAILED","FY 2011","FY 2011","Currency=USD","Period=FY","BEST_FPERIOD_OVERRIDE=FY","FILING_STATUS=MR","SCALING_FORMAT=MLN","Sort=A","Dates=H","DateFormat=P","Fill=—","Direction=H","UseDPDF=Y")</f>
        <v>415.5</v>
      </c>
      <c r="E7" s="13">
        <f>_xll.BDH("FIS US Equity","C&amp;CE_AND_STI_DETAILED","FY 2012","FY 2012","Currency=USD","Period=FY","BEST_FPERIOD_OVERRIDE=FY","FILING_STATUS=MR","SCALING_FORMAT=MLN","Sort=A","Dates=H","DateFormat=P","Fill=—","Direction=H","UseDPDF=Y")</f>
        <v>517.6</v>
      </c>
      <c r="F7" s="13">
        <f>_xll.BDH("FIS US Equity","C&amp;CE_AND_STI_DETAILED","FY 2013","FY 2013","Currency=USD","Period=FY","BEST_FPERIOD_OVERRIDE=FY","FILING_STATUS=MR","SCALING_FORMAT=MLN","Sort=A","Dates=H","DateFormat=P","Fill=—","Direction=H","UseDPDF=Y")</f>
        <v>547.5</v>
      </c>
      <c r="G7" s="13">
        <f>_xll.BDH("FIS US Equity","C&amp;CE_AND_STI_DETAILED","FY 2014","FY 2014","Currency=USD","Period=FY","BEST_FPERIOD_OVERRIDE=FY","FILING_STATUS=MR","SCALING_FORMAT=MLN","Sort=A","Dates=H","DateFormat=P","Fill=—","Direction=H","UseDPDF=Y")</f>
        <v>492.8</v>
      </c>
      <c r="H7" s="13">
        <f>_xll.BDH("FIS US Equity","C&amp;CE_AND_STI_DETAILED","FY 2015","FY 2015","Currency=USD","Period=FY","BEST_FPERIOD_OVERRIDE=FY","FILING_STATUS=MR","SCALING_FORMAT=MLN","Sort=A","Dates=H","DateFormat=P","Fill=—","Direction=H","UseDPDF=Y")</f>
        <v>682</v>
      </c>
      <c r="I7" s="13">
        <f>_xll.BDH("FIS US Equity","C&amp;CE_AND_STI_DETAILED","FY 2016","FY 2016","Currency=USD","Period=FY","BEST_FPERIOD_OVERRIDE=FY","FILING_STATUS=MR","SCALING_FORMAT=MLN","Sort=A","Dates=H","DateFormat=P","Fill=—","Direction=H","UseDPDF=Y")</f>
        <v>683</v>
      </c>
      <c r="J7" s="13">
        <f>_xll.BDH("FIS US Equity","C&amp;CE_AND_STI_DETAILED","FY 2017","FY 2017","Currency=USD","Period=FY","BEST_FPERIOD_OVERRIDE=FY","FILING_STATUS=MR","SCALING_FORMAT=MLN","Sort=A","Dates=H","DateFormat=P","Fill=—","Direction=H","UseDPDF=Y")</f>
        <v>665</v>
      </c>
      <c r="K7" s="13">
        <f>_xll.BDH("FIS US Equity","C&amp;CE_AND_STI_DETAILED","FY 2018","FY 2018","Currency=USD","Period=FY","BEST_FPERIOD_OVERRIDE=FY","FILING_STATUS=MR","SCALING_FORMAT=MLN","Sort=A","Dates=H","DateFormat=P","Fill=—","Direction=H","UseDPDF=Y")</f>
        <v>703</v>
      </c>
      <c r="L7" s="13">
        <f>_xll.BDH("FIS US Equity","C&amp;CE_AND_STI_DETAILED","FY 2019","FY 2019","Currency=USD","Period=FY","BEST_FPERIOD_OVERRIDE=FY","FILING_STATUS=MR","SCALING_FORMAT=MLN","Sort=A","Dates=H","DateFormat=P","Fill=—","Direction=H","UseDPDF=Y")</f>
        <v>1152</v>
      </c>
    </row>
    <row r="8" spans="1:12" x14ac:dyDescent="0.45">
      <c r="A8" s="10" t="s">
        <v>28</v>
      </c>
      <c r="B8" s="10" t="s">
        <v>29</v>
      </c>
      <c r="C8" s="13">
        <f>_xll.BDH("FIS US Equity","BS_CASH_NEAR_CASH_ITEM","FY 2010","FY 2010","Currency=USD","Period=FY","BEST_FPERIOD_OVERRIDE=FY","FILING_STATUS=MR","SCALING_FORMAT=MLN","Sort=A","Dates=H","DateFormat=P","Fill=—","Direction=H","UseDPDF=Y")</f>
        <v>338</v>
      </c>
      <c r="D8" s="13">
        <f>_xll.BDH("FIS US Equity","BS_CASH_NEAR_CASH_ITEM","FY 2011","FY 2011","Currency=USD","Period=FY","BEST_FPERIOD_OVERRIDE=FY","FILING_STATUS=MR","SCALING_FORMAT=MLN","Sort=A","Dates=H","DateFormat=P","Fill=—","Direction=H","UseDPDF=Y")</f>
        <v>415.5</v>
      </c>
      <c r="E8" s="13">
        <f>_xll.BDH("FIS US Equity","BS_CASH_NEAR_CASH_ITEM","FY 2012","FY 2012","Currency=USD","Period=FY","BEST_FPERIOD_OVERRIDE=FY","FILING_STATUS=MR","SCALING_FORMAT=MLN","Sort=A","Dates=H","DateFormat=P","Fill=—","Direction=H","UseDPDF=Y")</f>
        <v>517.6</v>
      </c>
      <c r="F8" s="13">
        <f>_xll.BDH("FIS US Equity","BS_CASH_NEAR_CASH_ITEM","FY 2013","FY 2013","Currency=USD","Period=FY","BEST_FPERIOD_OVERRIDE=FY","FILING_STATUS=MR","SCALING_FORMAT=MLN","Sort=A","Dates=H","DateFormat=P","Fill=—","Direction=H","UseDPDF=Y")</f>
        <v>547.5</v>
      </c>
      <c r="G8" s="13">
        <f>_xll.BDH("FIS US Equity","BS_CASH_NEAR_CASH_ITEM","FY 2014","FY 2014","Currency=USD","Period=FY","BEST_FPERIOD_OVERRIDE=FY","FILING_STATUS=MR","SCALING_FORMAT=MLN","Sort=A","Dates=H","DateFormat=P","Fill=—","Direction=H","UseDPDF=Y")</f>
        <v>492.8</v>
      </c>
      <c r="H8" s="13">
        <f>_xll.BDH("FIS US Equity","BS_CASH_NEAR_CASH_ITEM","FY 2015","FY 2015","Currency=USD","Period=FY","BEST_FPERIOD_OVERRIDE=FY","FILING_STATUS=MR","SCALING_FORMAT=MLN","Sort=A","Dates=H","DateFormat=P","Fill=—","Direction=H","UseDPDF=Y")</f>
        <v>682</v>
      </c>
      <c r="I8" s="13">
        <f>_xll.BDH("FIS US Equity","BS_CASH_NEAR_CASH_ITEM","FY 2016","FY 2016","Currency=USD","Period=FY","BEST_FPERIOD_OVERRIDE=FY","FILING_STATUS=MR","SCALING_FORMAT=MLN","Sort=A","Dates=H","DateFormat=P","Fill=—","Direction=H","UseDPDF=Y")</f>
        <v>683</v>
      </c>
      <c r="J8" s="13">
        <f>_xll.BDH("FIS US Equity","BS_CASH_NEAR_CASH_ITEM","FY 2017","FY 2017","Currency=USD","Period=FY","BEST_FPERIOD_OVERRIDE=FY","FILING_STATUS=MR","SCALING_FORMAT=MLN","Sort=A","Dates=H","DateFormat=P","Fill=—","Direction=H","UseDPDF=Y")</f>
        <v>665</v>
      </c>
      <c r="K8" s="13">
        <f>_xll.BDH("FIS US Equity","BS_CASH_NEAR_CASH_ITEM","FY 2018","FY 2018","Currency=USD","Period=FY","BEST_FPERIOD_OVERRIDE=FY","FILING_STATUS=MR","SCALING_FORMAT=MLN","Sort=A","Dates=H","DateFormat=P","Fill=—","Direction=H","UseDPDF=Y")</f>
        <v>703</v>
      </c>
      <c r="L8" s="13">
        <f>_xll.BDH("FIS US Equity","BS_CASH_NEAR_CASH_ITEM","FY 2019","FY 2019","Currency=USD","Period=FY","BEST_FPERIOD_OVERRIDE=FY","FILING_STATUS=MR","SCALING_FORMAT=MLN","Sort=A","Dates=H","DateFormat=P","Fill=—","Direction=H","UseDPDF=Y")</f>
        <v>1152</v>
      </c>
    </row>
    <row r="9" spans="1:12" x14ac:dyDescent="0.45">
      <c r="A9" s="10" t="s">
        <v>30</v>
      </c>
      <c r="B9" s="10" t="s">
        <v>31</v>
      </c>
      <c r="C9" s="13">
        <f>_xll.BDH("FIS US Equity","BS_MKT_SEC_OTHER_ST_INVEST","FY 2010","FY 2010","Currency=USD","Period=FY","BEST_FPERIOD_OVERRIDE=FY","FILING_STATUS=MR","SCALING_FORMAT=MLN","Sort=A","Dates=H","DateFormat=P","Fill=—","Direction=H","UseDPDF=Y")</f>
        <v>0</v>
      </c>
      <c r="D9" s="13">
        <f>_xll.BDH("FIS US Equity","BS_MKT_SEC_OTHER_ST_INVEST","FY 2011","FY 2011","Currency=USD","Period=FY","BEST_FPERIOD_OVERRIDE=FY","FILING_STATUS=MR","SCALING_FORMAT=MLN","Sort=A","Dates=H","DateFormat=P","Fill=—","Direction=H","UseDPDF=Y")</f>
        <v>0</v>
      </c>
      <c r="E9" s="13">
        <f>_xll.BDH("FIS US Equity","BS_MKT_SEC_OTHER_ST_INVEST","FY 2012","FY 2012","Currency=USD","Period=FY","BEST_FPERIOD_OVERRIDE=FY","FILING_STATUS=MR","SCALING_FORMAT=MLN","Sort=A","Dates=H","DateFormat=P","Fill=—","Direction=H","UseDPDF=Y")</f>
        <v>0</v>
      </c>
      <c r="F9" s="13">
        <f>_xll.BDH("FIS US Equity","BS_MKT_SEC_OTHER_ST_INVEST","FY 2013","FY 2013","Currency=USD","Period=FY","BEST_FPERIOD_OVERRIDE=FY","FILING_STATUS=MR","SCALING_FORMAT=MLN","Sort=A","Dates=H","DateFormat=P","Fill=—","Direction=H","UseDPDF=Y")</f>
        <v>0</v>
      </c>
      <c r="G9" s="13">
        <f>_xll.BDH("FIS US Equity","BS_MKT_SEC_OTHER_ST_INVEST","FY 2014","FY 2014","Currency=USD","Period=FY","BEST_FPERIOD_OVERRIDE=FY","FILING_STATUS=MR","SCALING_FORMAT=MLN","Sort=A","Dates=H","DateFormat=P","Fill=—","Direction=H","UseDPDF=Y")</f>
        <v>0</v>
      </c>
      <c r="H9" s="13">
        <f>_xll.BDH("FIS US Equity","BS_MKT_SEC_OTHER_ST_INVEST","FY 2015","FY 2015","Currency=USD","Period=FY","BEST_FPERIOD_OVERRIDE=FY","FILING_STATUS=MR","SCALING_FORMAT=MLN","Sort=A","Dates=H","DateFormat=P","Fill=—","Direction=H","UseDPDF=Y")</f>
        <v>0</v>
      </c>
      <c r="I9" s="13">
        <f>_xll.BDH("FIS US Equity","BS_MKT_SEC_OTHER_ST_INVEST","FY 2016","FY 2016","Currency=USD","Period=FY","BEST_FPERIOD_OVERRIDE=FY","FILING_STATUS=MR","SCALING_FORMAT=MLN","Sort=A","Dates=H","DateFormat=P","Fill=—","Direction=H","UseDPDF=Y")</f>
        <v>0</v>
      </c>
      <c r="J9" s="13">
        <f>_xll.BDH("FIS US Equity","BS_MKT_SEC_OTHER_ST_INVEST","FY 2017","FY 2017","Currency=USD","Period=FY","BEST_FPERIOD_OVERRIDE=FY","FILING_STATUS=MR","SCALING_FORMAT=MLN","Sort=A","Dates=H","DateFormat=P","Fill=—","Direction=H","UseDPDF=Y")</f>
        <v>0</v>
      </c>
      <c r="K9" s="13">
        <f>_xll.BDH("FIS US Equity","BS_MKT_SEC_OTHER_ST_INVEST","FY 2018","FY 2018","Currency=USD","Period=FY","BEST_FPERIOD_OVERRIDE=FY","FILING_STATUS=MR","SCALING_FORMAT=MLN","Sort=A","Dates=H","DateFormat=P","Fill=—","Direction=H","UseDPDF=Y")</f>
        <v>0</v>
      </c>
      <c r="L9" s="13">
        <f>_xll.BDH("FIS US Equity","BS_MKT_SEC_OTHER_ST_INVEST","FY 2019","FY 2019","Currency=USD","Period=FY","BEST_FPERIOD_OVERRIDE=FY","FILING_STATUS=MR","SCALING_FORMAT=MLN","Sort=A","Dates=H","DateFormat=P","Fill=—","Direction=H","UseDPDF=Y")</f>
        <v>0</v>
      </c>
    </row>
    <row r="10" spans="1:12" x14ac:dyDescent="0.45">
      <c r="A10" s="10" t="s">
        <v>32</v>
      </c>
      <c r="B10" s="10" t="s">
        <v>33</v>
      </c>
      <c r="C10" s="13">
        <f>_xll.BDH("FIS US Equity","BS_ACCT_NOTE_RCV","FY 2010","FY 2010","Currency=USD","Period=FY","BEST_FPERIOD_OVERRIDE=FY","FILING_STATUS=MR","SCALING_FORMAT=MLN","Sort=A","Dates=H","DateFormat=P","Fill=—","Direction=H","UseDPDF=Y")</f>
        <v>839.4</v>
      </c>
      <c r="D10" s="13">
        <f>_xll.BDH("FIS US Equity","BS_ACCT_NOTE_RCV","FY 2011","FY 2011","Currency=USD","Period=FY","BEST_FPERIOD_OVERRIDE=FY","FILING_STATUS=MR","SCALING_FORMAT=MLN","Sort=A","Dates=H","DateFormat=P","Fill=—","Direction=H","UseDPDF=Y")</f>
        <v>858.5</v>
      </c>
      <c r="E10" s="13">
        <f>_xll.BDH("FIS US Equity","BS_ACCT_NOTE_RCV","FY 2012","FY 2012","Currency=USD","Period=FY","BEST_FPERIOD_OVERRIDE=FY","FILING_STATUS=MR","SCALING_FORMAT=MLN","Sort=A","Dates=H","DateFormat=P","Fill=—","Direction=H","UseDPDF=Y")</f>
        <v>925.7</v>
      </c>
      <c r="F10" s="13">
        <f>_xll.BDH("FIS US Equity","BS_ACCT_NOTE_RCV","FY 2013","FY 2013","Currency=USD","Period=FY","BEST_FPERIOD_OVERRIDE=FY","FILING_STATUS=MR","SCALING_FORMAT=MLN","Sort=A","Dates=H","DateFormat=P","Fill=—","Direction=H","UseDPDF=Y")</f>
        <v>987.9</v>
      </c>
      <c r="G10" s="13">
        <f>_xll.BDH("FIS US Equity","BS_ACCT_NOTE_RCV","FY 2014","FY 2014","Currency=USD","Period=FY","BEST_FPERIOD_OVERRIDE=FY","FILING_STATUS=MR","SCALING_FORMAT=MLN","Sort=A","Dates=H","DateFormat=P","Fill=—","Direction=H","UseDPDF=Y")</f>
        <v>1126.4000000000001</v>
      </c>
      <c r="H10" s="13">
        <f>_xll.BDH("FIS US Equity","BS_ACCT_NOTE_RCV","FY 2015","FY 2015","Currency=USD","Period=FY","BEST_FPERIOD_OVERRIDE=FY","FILING_STATUS=MR","SCALING_FORMAT=MLN","Sort=A","Dates=H","DateFormat=P","Fill=—","Direction=H","UseDPDF=Y")</f>
        <v>1893</v>
      </c>
      <c r="I10" s="13">
        <f>_xll.BDH("FIS US Equity","BS_ACCT_NOTE_RCV","FY 2016","FY 2016","Currency=USD","Period=FY","BEST_FPERIOD_OVERRIDE=FY","FILING_STATUS=MR","SCALING_FORMAT=MLN","Sort=A","Dates=H","DateFormat=P","Fill=—","Direction=H","UseDPDF=Y")</f>
        <v>1814</v>
      </c>
      <c r="J10" s="13">
        <f>_xll.BDH("FIS US Equity","BS_ACCT_NOTE_RCV","FY 2017","FY 2017","Currency=USD","Period=FY","BEST_FPERIOD_OVERRIDE=FY","FILING_STATUS=MR","SCALING_FORMAT=MLN","Sort=A","Dates=H","DateFormat=P","Fill=—","Direction=H","UseDPDF=Y")</f>
        <v>1915</v>
      </c>
      <c r="K10" s="13">
        <f>_xll.BDH("FIS US Equity","BS_ACCT_NOTE_RCV","FY 2018","FY 2018","Currency=USD","Period=FY","BEST_FPERIOD_OVERRIDE=FY","FILING_STATUS=MR","SCALING_FORMAT=MLN","Sort=A","Dates=H","DateFormat=P","Fill=—","Direction=H","UseDPDF=Y")</f>
        <v>1753</v>
      </c>
      <c r="L10" s="13">
        <f>_xll.BDH("FIS US Equity","BS_ACCT_NOTE_RCV","FY 2019","FY 2019","Currency=USD","Period=FY","BEST_FPERIOD_OVERRIDE=FY","FILING_STATUS=MR","SCALING_FORMAT=MLN","Sort=A","Dates=H","DateFormat=P","Fill=—","Direction=H","UseDPDF=Y")</f>
        <v>3889</v>
      </c>
    </row>
    <row r="11" spans="1:12" x14ac:dyDescent="0.45">
      <c r="A11" s="10" t="s">
        <v>34</v>
      </c>
      <c r="B11" s="10" t="s">
        <v>35</v>
      </c>
      <c r="C11" s="13">
        <f>_xll.BDH("FIS US Equity","BS_ACCTS_REC_EXCL_NOTES_REC","FY 2010","FY 2010","Currency=USD","Period=FY","BEST_FPERIOD_OVERRIDE=FY","FILING_STATUS=MR","SCALING_FORMAT=MLN","Sort=A","Dates=H","DateFormat=P","Fill=—","Direction=H","UseDPDF=Y")</f>
        <v>839.4</v>
      </c>
      <c r="D11" s="13">
        <f>_xll.BDH("FIS US Equity","BS_ACCTS_REC_EXCL_NOTES_REC","FY 2011","FY 2011","Currency=USD","Period=FY","BEST_FPERIOD_OVERRIDE=FY","FILING_STATUS=MR","SCALING_FORMAT=MLN","Sort=A","Dates=H","DateFormat=P","Fill=—","Direction=H","UseDPDF=Y")</f>
        <v>858.5</v>
      </c>
      <c r="E11" s="13">
        <f>_xll.BDH("FIS US Equity","BS_ACCTS_REC_EXCL_NOTES_REC","FY 2012","FY 2012","Currency=USD","Period=FY","BEST_FPERIOD_OVERRIDE=FY","FILING_STATUS=MR","SCALING_FORMAT=MLN","Sort=A","Dates=H","DateFormat=P","Fill=—","Direction=H","UseDPDF=Y")</f>
        <v>925.7</v>
      </c>
      <c r="F11" s="13">
        <f>_xll.BDH("FIS US Equity","BS_ACCTS_REC_EXCL_NOTES_REC","FY 2013","FY 2013","Currency=USD","Period=FY","BEST_FPERIOD_OVERRIDE=FY","FILING_STATUS=MR","SCALING_FORMAT=MLN","Sort=A","Dates=H","DateFormat=P","Fill=—","Direction=H","UseDPDF=Y")</f>
        <v>987.9</v>
      </c>
      <c r="G11" s="13">
        <f>_xll.BDH("FIS US Equity","BS_ACCTS_REC_EXCL_NOTES_REC","FY 2014","FY 2014","Currency=USD","Period=FY","BEST_FPERIOD_OVERRIDE=FY","FILING_STATUS=MR","SCALING_FORMAT=MLN","Sort=A","Dates=H","DateFormat=P","Fill=—","Direction=H","UseDPDF=Y")</f>
        <v>1126.4000000000001</v>
      </c>
      <c r="H11" s="13">
        <f>_xll.BDH("FIS US Equity","BS_ACCTS_REC_EXCL_NOTES_REC","FY 2015","FY 2015","Currency=USD","Period=FY","BEST_FPERIOD_OVERRIDE=FY","FILING_STATUS=MR","SCALING_FORMAT=MLN","Sort=A","Dates=H","DateFormat=P","Fill=—","Direction=H","UseDPDF=Y")</f>
        <v>1731</v>
      </c>
      <c r="I11" s="13">
        <f>_xll.BDH("FIS US Equity","BS_ACCTS_REC_EXCL_NOTES_REC","FY 2016","FY 2016","Currency=USD","Period=FY","BEST_FPERIOD_OVERRIDE=FY","FILING_STATUS=MR","SCALING_FORMAT=MLN","Sort=A","Dates=H","DateFormat=P","Fill=—","Direction=H","UseDPDF=Y")</f>
        <v>1639</v>
      </c>
      <c r="J11" s="13">
        <f>_xll.BDH("FIS US Equity","BS_ACCTS_REC_EXCL_NOTES_REC","FY 2017","FY 2017","Currency=USD","Period=FY","BEST_FPERIOD_OVERRIDE=FY","FILING_STATUS=MR","SCALING_FORMAT=MLN","Sort=A","Dates=H","DateFormat=P","Fill=—","Direction=H","UseDPDF=Y")</f>
        <v>1624</v>
      </c>
      <c r="K11" s="13">
        <f>_xll.BDH("FIS US Equity","BS_ACCTS_REC_EXCL_NOTES_REC","FY 2018","FY 2018","Currency=USD","Period=FY","BEST_FPERIOD_OVERRIDE=FY","FILING_STATUS=MR","SCALING_FORMAT=MLN","Sort=A","Dates=H","DateFormat=P","Fill=—","Direction=H","UseDPDF=Y")</f>
        <v>1472</v>
      </c>
      <c r="L11" s="13">
        <f>_xll.BDH("FIS US Equity","BS_ACCTS_REC_EXCL_NOTES_REC","FY 2019","FY 2019","Currency=USD","Period=FY","BEST_FPERIOD_OVERRIDE=FY","FILING_STATUS=MR","SCALING_FORMAT=MLN","Sort=A","Dates=H","DateFormat=P","Fill=—","Direction=H","UseDPDF=Y")</f>
        <v>3242</v>
      </c>
    </row>
    <row r="12" spans="1:12" x14ac:dyDescent="0.45">
      <c r="A12" s="10" t="s">
        <v>36</v>
      </c>
      <c r="B12" s="10" t="s">
        <v>37</v>
      </c>
      <c r="C12" s="13">
        <f>_xll.BDH("FIS US Equity","NOTES_RECEIVABLE","FY 2010","FY 2010","Currency=USD","Period=FY","BEST_FPERIOD_OVERRIDE=FY","FILING_STATUS=MR","SCALING_FORMAT=MLN","Sort=A","Dates=H","DateFormat=P","Fill=—","Direction=H","UseDPDF=Y")</f>
        <v>0</v>
      </c>
      <c r="D12" s="13">
        <f>_xll.BDH("FIS US Equity","NOTES_RECEIVABLE","FY 2011","FY 2011","Currency=USD","Period=FY","BEST_FPERIOD_OVERRIDE=FY","FILING_STATUS=MR","SCALING_FORMAT=MLN","Sort=A","Dates=H","DateFormat=P","Fill=—","Direction=H","UseDPDF=Y")</f>
        <v>0</v>
      </c>
      <c r="E12" s="13">
        <f>_xll.BDH("FIS US Equity","NOTES_RECEIVABLE","FY 2012","FY 2012","Currency=USD","Period=FY","BEST_FPERIOD_OVERRIDE=FY","FILING_STATUS=MR","SCALING_FORMAT=MLN","Sort=A","Dates=H","DateFormat=P","Fill=—","Direction=H","UseDPDF=Y")</f>
        <v>0</v>
      </c>
      <c r="F12" s="13">
        <f>_xll.BDH("FIS US Equity","NOTES_RECEIVABLE","FY 2013","FY 2013","Currency=USD","Period=FY","BEST_FPERIOD_OVERRIDE=FY","FILING_STATUS=MR","SCALING_FORMAT=MLN","Sort=A","Dates=H","DateFormat=P","Fill=—","Direction=H","UseDPDF=Y")</f>
        <v>0</v>
      </c>
      <c r="G12" s="13">
        <f>_xll.BDH("FIS US Equity","NOTES_RECEIVABLE","FY 2014","FY 2014","Currency=USD","Period=FY","BEST_FPERIOD_OVERRIDE=FY","FILING_STATUS=MR","SCALING_FORMAT=MLN","Sort=A","Dates=H","DateFormat=P","Fill=—","Direction=H","UseDPDF=Y")</f>
        <v>0</v>
      </c>
      <c r="H12" s="13">
        <f>_xll.BDH("FIS US Equity","NOTES_RECEIVABLE","FY 2015","FY 2015","Currency=USD","Period=FY","BEST_FPERIOD_OVERRIDE=FY","FILING_STATUS=MR","SCALING_FORMAT=MLN","Sort=A","Dates=H","DateFormat=P","Fill=—","Direction=H","UseDPDF=Y")</f>
        <v>162</v>
      </c>
      <c r="I12" s="13">
        <f>_xll.BDH("FIS US Equity","NOTES_RECEIVABLE","FY 2016","FY 2016","Currency=USD","Period=FY","BEST_FPERIOD_OVERRIDE=FY","FILING_STATUS=MR","SCALING_FORMAT=MLN","Sort=A","Dates=H","DateFormat=P","Fill=—","Direction=H","UseDPDF=Y")</f>
        <v>175</v>
      </c>
      <c r="J12" s="13">
        <f>_xll.BDH("FIS US Equity","NOTES_RECEIVABLE","FY 2017","FY 2017","Currency=USD","Period=FY","BEST_FPERIOD_OVERRIDE=FY","FILING_STATUS=MR","SCALING_FORMAT=MLN","Sort=A","Dates=H","DateFormat=P","Fill=—","Direction=H","UseDPDF=Y")</f>
        <v>291</v>
      </c>
      <c r="K12" s="13">
        <f>_xll.BDH("FIS US Equity","NOTES_RECEIVABLE","FY 2018","FY 2018","Currency=USD","Period=FY","BEST_FPERIOD_OVERRIDE=FY","FILING_STATUS=MR","SCALING_FORMAT=MLN","Sort=A","Dates=H","DateFormat=P","Fill=—","Direction=H","UseDPDF=Y")</f>
        <v>281</v>
      </c>
      <c r="L12" s="13">
        <f>_xll.BDH("FIS US Equity","NOTES_RECEIVABLE","FY 2019","FY 2019","Currency=USD","Period=FY","BEST_FPERIOD_OVERRIDE=FY","FILING_STATUS=MR","SCALING_FORMAT=MLN","Sort=A","Dates=H","DateFormat=P","Fill=—","Direction=H","UseDPDF=Y")</f>
        <v>647</v>
      </c>
    </row>
    <row r="13" spans="1:12" x14ac:dyDescent="0.45">
      <c r="A13" s="10" t="s">
        <v>38</v>
      </c>
      <c r="B13" s="10" t="s">
        <v>39</v>
      </c>
      <c r="C13" s="13" t="str">
        <f>_xll.BDH("FIS US Equity","BS_UNBILLED_REVENUES","FY 2010","FY 2010","Currency=USD","Period=FY","BEST_FPERIOD_OVERRIDE=FY","FILING_STATUS=MR","SCALING_FORMAT=MLN","Sort=A","Dates=H","DateFormat=P","Fill=—","Direction=H","UseDPDF=Y")</f>
        <v>—</v>
      </c>
      <c r="D13" s="13" t="str">
        <f>_xll.BDH("FIS US Equity","BS_UNBILLED_REVENUES","FY 2011","FY 2011","Currency=USD","Period=FY","BEST_FPERIOD_OVERRIDE=FY","FILING_STATUS=MR","SCALING_FORMAT=MLN","Sort=A","Dates=H","DateFormat=P","Fill=—","Direction=H","UseDPDF=Y")</f>
        <v>—</v>
      </c>
      <c r="E13" s="13" t="str">
        <f>_xll.BDH("FIS US Equity","BS_UNBILLED_REVENUES","FY 2012","FY 2012","Currency=USD","Period=FY","BEST_FPERIOD_OVERRIDE=FY","FILING_STATUS=MR","SCALING_FORMAT=MLN","Sort=A","Dates=H","DateFormat=P","Fill=—","Direction=H","UseDPDF=Y")</f>
        <v>—</v>
      </c>
      <c r="F13" s="13" t="str">
        <f>_xll.BDH("FIS US Equity","BS_UNBILLED_REVENUES","FY 2013","FY 2013","Currency=USD","Period=FY","BEST_FPERIOD_OVERRIDE=FY","FILING_STATUS=MR","SCALING_FORMAT=MLN","Sort=A","Dates=H","DateFormat=P","Fill=—","Direction=H","UseDPDF=Y")</f>
        <v>—</v>
      </c>
      <c r="G13" s="13" t="str">
        <f>_xll.BDH("FIS US Equity","BS_UNBILLED_REVENUES","FY 2014","FY 2014","Currency=USD","Period=FY","BEST_FPERIOD_OVERRIDE=FY","FILING_STATUS=MR","SCALING_FORMAT=MLN","Sort=A","Dates=H","DateFormat=P","Fill=—","Direction=H","UseDPDF=Y")</f>
        <v>—</v>
      </c>
      <c r="H13" s="13" t="str">
        <f>_xll.BDH("FIS US Equity","BS_UNBILLED_REVENUES","FY 2015","FY 2015","Currency=USD","Period=FY","BEST_FPERIOD_OVERRIDE=FY","FILING_STATUS=MR","SCALING_FORMAT=MLN","Sort=A","Dates=H","DateFormat=P","Fill=—","Direction=H","UseDPDF=Y")</f>
        <v>—</v>
      </c>
      <c r="I13" s="13" t="str">
        <f>_xll.BDH("FIS US Equity","BS_UNBILLED_REVENUES","FY 2016","FY 2016","Currency=USD","Period=FY","BEST_FPERIOD_OVERRIDE=FY","FILING_STATUS=MR","SCALING_FORMAT=MLN","Sort=A","Dates=H","DateFormat=P","Fill=—","Direction=H","UseDPDF=Y")</f>
        <v>—</v>
      </c>
      <c r="J13" s="13">
        <f>_xll.BDH("FIS US Equity","BS_UNBILLED_REVENUES","FY 2017","FY 2017","Currency=USD","Period=FY","BEST_FPERIOD_OVERRIDE=FY","FILING_STATUS=MR","SCALING_FORMAT=MLN","Sort=A","Dates=H","DateFormat=P","Fill=—","Direction=H","UseDPDF=Y")</f>
        <v>108</v>
      </c>
      <c r="K13" s="13">
        <f>_xll.BDH("FIS US Equity","BS_UNBILLED_REVENUES","FY 2018","FY 2018","Currency=USD","Period=FY","BEST_FPERIOD_OVERRIDE=FY","FILING_STATUS=MR","SCALING_FORMAT=MLN","Sort=A","Dates=H","DateFormat=P","Fill=—","Direction=H","UseDPDF=Y")</f>
        <v>123</v>
      </c>
      <c r="L13" s="13">
        <f>_xll.BDH("FIS US Equity","BS_UNBILLED_REVENUES","FY 2019","FY 2019","Currency=USD","Period=FY","BEST_FPERIOD_OVERRIDE=FY","FILING_STATUS=MR","SCALING_FORMAT=MLN","Sort=A","Dates=H","DateFormat=P","Fill=—","Direction=H","UseDPDF=Y")</f>
        <v>124</v>
      </c>
    </row>
    <row r="14" spans="1:12" x14ac:dyDescent="0.45">
      <c r="A14" s="10" t="s">
        <v>40</v>
      </c>
      <c r="B14" s="10" t="s">
        <v>41</v>
      </c>
      <c r="C14" s="13">
        <f>_xll.BDH("FIS US Equity","BS_INVENTORIES","FY 2010","FY 2010","Currency=USD","Period=FY","BEST_FPERIOD_OVERRIDE=FY","FILING_STATUS=MR","SCALING_FORMAT=MLN","Sort=A","Dates=H","DateFormat=P","Fill=—","Direction=H","UseDPDF=Y")</f>
        <v>0</v>
      </c>
      <c r="D14" s="13">
        <f>_xll.BDH("FIS US Equity","BS_INVENTORIES","FY 2011","FY 2011","Currency=USD","Period=FY","BEST_FPERIOD_OVERRIDE=FY","FILING_STATUS=MR","SCALING_FORMAT=MLN","Sort=A","Dates=H","DateFormat=P","Fill=—","Direction=H","UseDPDF=Y")</f>
        <v>0</v>
      </c>
      <c r="E14" s="13">
        <f>_xll.BDH("FIS US Equity","BS_INVENTORIES","FY 2012","FY 2012","Currency=USD","Period=FY","BEST_FPERIOD_OVERRIDE=FY","FILING_STATUS=MR","SCALING_FORMAT=MLN","Sort=A","Dates=H","DateFormat=P","Fill=—","Direction=H","UseDPDF=Y")</f>
        <v>0</v>
      </c>
      <c r="F14" s="13">
        <f>_xll.BDH("FIS US Equity","BS_INVENTORIES","FY 2013","FY 2013","Currency=USD","Period=FY","BEST_FPERIOD_OVERRIDE=FY","FILING_STATUS=MR","SCALING_FORMAT=MLN","Sort=A","Dates=H","DateFormat=P","Fill=—","Direction=H","UseDPDF=Y")</f>
        <v>0</v>
      </c>
      <c r="G14" s="13">
        <f>_xll.BDH("FIS US Equity","BS_INVENTORIES","FY 2014","FY 2014","Currency=USD","Period=FY","BEST_FPERIOD_OVERRIDE=FY","FILING_STATUS=MR","SCALING_FORMAT=MLN","Sort=A","Dates=H","DateFormat=P","Fill=—","Direction=H","UseDPDF=Y")</f>
        <v>0</v>
      </c>
      <c r="H14" s="13">
        <f>_xll.BDH("FIS US Equity","BS_INVENTORIES","FY 2015","FY 2015","Currency=USD","Period=FY","BEST_FPERIOD_OVERRIDE=FY","FILING_STATUS=MR","SCALING_FORMAT=MLN","Sort=A","Dates=H","DateFormat=P","Fill=—","Direction=H","UseDPDF=Y")</f>
        <v>0</v>
      </c>
      <c r="I14" s="13">
        <f>_xll.BDH("FIS US Equity","BS_INVENTORIES","FY 2016","FY 2016","Currency=USD","Period=FY","BEST_FPERIOD_OVERRIDE=FY","FILING_STATUS=MR","SCALING_FORMAT=MLN","Sort=A","Dates=H","DateFormat=P","Fill=—","Direction=H","UseDPDF=Y")</f>
        <v>0</v>
      </c>
      <c r="J14" s="13">
        <f>_xll.BDH("FIS US Equity","BS_INVENTORIES","FY 2017","FY 2017","Currency=USD","Period=FY","BEST_FPERIOD_OVERRIDE=FY","FILING_STATUS=MR","SCALING_FORMAT=MLN","Sort=A","Dates=H","DateFormat=P","Fill=—","Direction=H","UseDPDF=Y")</f>
        <v>0</v>
      </c>
      <c r="K14" s="13">
        <f>_xll.BDH("FIS US Equity","BS_INVENTORIES","FY 2018","FY 2018","Currency=USD","Period=FY","BEST_FPERIOD_OVERRIDE=FY","FILING_STATUS=MR","SCALING_FORMAT=MLN","Sort=A","Dates=H","DateFormat=P","Fill=—","Direction=H","UseDPDF=Y")</f>
        <v>0</v>
      </c>
      <c r="L14" s="13">
        <f>_xll.BDH("FIS US Equity","BS_INVENTORIES","FY 2019","FY 2019","Currency=USD","Period=FY","BEST_FPERIOD_OVERRIDE=FY","FILING_STATUS=MR","SCALING_FORMAT=MLN","Sort=A","Dates=H","DateFormat=P","Fill=—","Direction=H","UseDPDF=Y")</f>
        <v>0</v>
      </c>
    </row>
    <row r="15" spans="1:12" x14ac:dyDescent="0.45">
      <c r="A15" s="10" t="s">
        <v>42</v>
      </c>
      <c r="B15" s="10" t="s">
        <v>43</v>
      </c>
      <c r="C15" s="13">
        <f>_xll.BDH("FIS US Equity","INVTRY_RAW_MATERIALS","FY 2010","FY 2010","Currency=USD","Period=FY","BEST_FPERIOD_OVERRIDE=FY","FILING_STATUS=MR","SCALING_FORMAT=MLN","Sort=A","Dates=H","DateFormat=P","Fill=—","Direction=H","UseDPDF=Y")</f>
        <v>0</v>
      </c>
      <c r="D15" s="13">
        <f>_xll.BDH("FIS US Equity","INVTRY_RAW_MATERIALS","FY 2011","FY 2011","Currency=USD","Period=FY","BEST_FPERIOD_OVERRIDE=FY","FILING_STATUS=MR","SCALING_FORMAT=MLN","Sort=A","Dates=H","DateFormat=P","Fill=—","Direction=H","UseDPDF=Y")</f>
        <v>0</v>
      </c>
      <c r="E15" s="13">
        <f>_xll.BDH("FIS US Equity","INVTRY_RAW_MATERIALS","FY 2012","FY 2012","Currency=USD","Period=FY","BEST_FPERIOD_OVERRIDE=FY","FILING_STATUS=MR","SCALING_FORMAT=MLN","Sort=A","Dates=H","DateFormat=P","Fill=—","Direction=H","UseDPDF=Y")</f>
        <v>0</v>
      </c>
      <c r="F15" s="13">
        <f>_xll.BDH("FIS US Equity","INVTRY_RAW_MATERIALS","FY 2013","FY 2013","Currency=USD","Period=FY","BEST_FPERIOD_OVERRIDE=FY","FILING_STATUS=MR","SCALING_FORMAT=MLN","Sort=A","Dates=H","DateFormat=P","Fill=—","Direction=H","UseDPDF=Y")</f>
        <v>0</v>
      </c>
      <c r="G15" s="13">
        <f>_xll.BDH("FIS US Equity","INVTRY_RAW_MATERIALS","FY 2014","FY 2014","Currency=USD","Period=FY","BEST_FPERIOD_OVERRIDE=FY","FILING_STATUS=MR","SCALING_FORMAT=MLN","Sort=A","Dates=H","DateFormat=P","Fill=—","Direction=H","UseDPDF=Y")</f>
        <v>0</v>
      </c>
      <c r="H15" s="13">
        <f>_xll.BDH("FIS US Equity","INVTRY_RAW_MATERIALS","FY 2015","FY 2015","Currency=USD","Period=FY","BEST_FPERIOD_OVERRIDE=FY","FILING_STATUS=MR","SCALING_FORMAT=MLN","Sort=A","Dates=H","DateFormat=P","Fill=—","Direction=H","UseDPDF=Y")</f>
        <v>0</v>
      </c>
      <c r="I15" s="13">
        <f>_xll.BDH("FIS US Equity","INVTRY_RAW_MATERIALS","FY 2016","FY 2016","Currency=USD","Period=FY","BEST_FPERIOD_OVERRIDE=FY","FILING_STATUS=MR","SCALING_FORMAT=MLN","Sort=A","Dates=H","DateFormat=P","Fill=—","Direction=H","UseDPDF=Y")</f>
        <v>0</v>
      </c>
      <c r="J15" s="13">
        <f>_xll.BDH("FIS US Equity","INVTRY_RAW_MATERIALS","FY 2017","FY 2017","Currency=USD","Period=FY","BEST_FPERIOD_OVERRIDE=FY","FILING_STATUS=MR","SCALING_FORMAT=MLN","Sort=A","Dates=H","DateFormat=P","Fill=—","Direction=H","UseDPDF=Y")</f>
        <v>0</v>
      </c>
      <c r="K15" s="13">
        <f>_xll.BDH("FIS US Equity","INVTRY_RAW_MATERIALS","FY 2018","FY 2018","Currency=USD","Period=FY","BEST_FPERIOD_OVERRIDE=FY","FILING_STATUS=MR","SCALING_FORMAT=MLN","Sort=A","Dates=H","DateFormat=P","Fill=—","Direction=H","UseDPDF=Y")</f>
        <v>0</v>
      </c>
      <c r="L15" s="13">
        <f>_xll.BDH("FIS US Equity","INVTRY_RAW_MATERIALS","FY 2019","FY 2019","Currency=USD","Period=FY","BEST_FPERIOD_OVERRIDE=FY","FILING_STATUS=MR","SCALING_FORMAT=MLN","Sort=A","Dates=H","DateFormat=P","Fill=—","Direction=H","UseDPDF=Y")</f>
        <v>0</v>
      </c>
    </row>
    <row r="16" spans="1:12" x14ac:dyDescent="0.45">
      <c r="A16" s="10" t="s">
        <v>44</v>
      </c>
      <c r="B16" s="10" t="s">
        <v>45</v>
      </c>
      <c r="C16" s="13">
        <f>_xll.BDH("FIS US Equity","INVTRY_IN_PROGRESS","FY 2010","FY 2010","Currency=USD","Period=FY","BEST_FPERIOD_OVERRIDE=FY","FILING_STATUS=MR","SCALING_FORMAT=MLN","Sort=A","Dates=H","DateFormat=P","Fill=—","Direction=H","UseDPDF=Y")</f>
        <v>0</v>
      </c>
      <c r="D16" s="13">
        <f>_xll.BDH("FIS US Equity","INVTRY_IN_PROGRESS","FY 2011","FY 2011","Currency=USD","Period=FY","BEST_FPERIOD_OVERRIDE=FY","FILING_STATUS=MR","SCALING_FORMAT=MLN","Sort=A","Dates=H","DateFormat=P","Fill=—","Direction=H","UseDPDF=Y")</f>
        <v>0</v>
      </c>
      <c r="E16" s="13">
        <f>_xll.BDH("FIS US Equity","INVTRY_IN_PROGRESS","FY 2012","FY 2012","Currency=USD","Period=FY","BEST_FPERIOD_OVERRIDE=FY","FILING_STATUS=MR","SCALING_FORMAT=MLN","Sort=A","Dates=H","DateFormat=P","Fill=—","Direction=H","UseDPDF=Y")</f>
        <v>0</v>
      </c>
      <c r="F16" s="13">
        <f>_xll.BDH("FIS US Equity","INVTRY_IN_PROGRESS","FY 2013","FY 2013","Currency=USD","Period=FY","BEST_FPERIOD_OVERRIDE=FY","FILING_STATUS=MR","SCALING_FORMAT=MLN","Sort=A","Dates=H","DateFormat=P","Fill=—","Direction=H","UseDPDF=Y")</f>
        <v>0</v>
      </c>
      <c r="G16" s="13">
        <f>_xll.BDH("FIS US Equity","INVTRY_IN_PROGRESS","FY 2014","FY 2014","Currency=USD","Period=FY","BEST_FPERIOD_OVERRIDE=FY","FILING_STATUS=MR","SCALING_FORMAT=MLN","Sort=A","Dates=H","DateFormat=P","Fill=—","Direction=H","UseDPDF=Y")</f>
        <v>0</v>
      </c>
      <c r="H16" s="13">
        <f>_xll.BDH("FIS US Equity","INVTRY_IN_PROGRESS","FY 2015","FY 2015","Currency=USD","Period=FY","BEST_FPERIOD_OVERRIDE=FY","FILING_STATUS=MR","SCALING_FORMAT=MLN","Sort=A","Dates=H","DateFormat=P","Fill=—","Direction=H","UseDPDF=Y")</f>
        <v>0</v>
      </c>
      <c r="I16" s="13">
        <f>_xll.BDH("FIS US Equity","INVTRY_IN_PROGRESS","FY 2016","FY 2016","Currency=USD","Period=FY","BEST_FPERIOD_OVERRIDE=FY","FILING_STATUS=MR","SCALING_FORMAT=MLN","Sort=A","Dates=H","DateFormat=P","Fill=—","Direction=H","UseDPDF=Y")</f>
        <v>0</v>
      </c>
      <c r="J16" s="13">
        <f>_xll.BDH("FIS US Equity","INVTRY_IN_PROGRESS","FY 2017","FY 2017","Currency=USD","Period=FY","BEST_FPERIOD_OVERRIDE=FY","FILING_STATUS=MR","SCALING_FORMAT=MLN","Sort=A","Dates=H","DateFormat=P","Fill=—","Direction=H","UseDPDF=Y")</f>
        <v>0</v>
      </c>
      <c r="K16" s="13">
        <f>_xll.BDH("FIS US Equity","INVTRY_IN_PROGRESS","FY 2018","FY 2018","Currency=USD","Period=FY","BEST_FPERIOD_OVERRIDE=FY","FILING_STATUS=MR","SCALING_FORMAT=MLN","Sort=A","Dates=H","DateFormat=P","Fill=—","Direction=H","UseDPDF=Y")</f>
        <v>0</v>
      </c>
      <c r="L16" s="13">
        <f>_xll.BDH("FIS US Equity","INVTRY_IN_PROGRESS","FY 2019","FY 2019","Currency=USD","Period=FY","BEST_FPERIOD_OVERRIDE=FY","FILING_STATUS=MR","SCALING_FORMAT=MLN","Sort=A","Dates=H","DateFormat=P","Fill=—","Direction=H","UseDPDF=Y")</f>
        <v>0</v>
      </c>
    </row>
    <row r="17" spans="1:12" x14ac:dyDescent="0.45">
      <c r="A17" s="10" t="s">
        <v>46</v>
      </c>
      <c r="B17" s="10" t="s">
        <v>47</v>
      </c>
      <c r="C17" s="13">
        <f>_xll.BDH("FIS US Equity","INVTRY_FINISHED_GOODS","FY 2010","FY 2010","Currency=USD","Period=FY","BEST_FPERIOD_OVERRIDE=FY","FILING_STATUS=MR","SCALING_FORMAT=MLN","Sort=A","Dates=H","DateFormat=P","Fill=—","Direction=H","UseDPDF=Y")</f>
        <v>0</v>
      </c>
      <c r="D17" s="13">
        <f>_xll.BDH("FIS US Equity","INVTRY_FINISHED_GOODS","FY 2011","FY 2011","Currency=USD","Period=FY","BEST_FPERIOD_OVERRIDE=FY","FILING_STATUS=MR","SCALING_FORMAT=MLN","Sort=A","Dates=H","DateFormat=P","Fill=—","Direction=H","UseDPDF=Y")</f>
        <v>0</v>
      </c>
      <c r="E17" s="13">
        <f>_xll.BDH("FIS US Equity","INVTRY_FINISHED_GOODS","FY 2012","FY 2012","Currency=USD","Period=FY","BEST_FPERIOD_OVERRIDE=FY","FILING_STATUS=MR","SCALING_FORMAT=MLN","Sort=A","Dates=H","DateFormat=P","Fill=—","Direction=H","UseDPDF=Y")</f>
        <v>0</v>
      </c>
      <c r="F17" s="13">
        <f>_xll.BDH("FIS US Equity","INVTRY_FINISHED_GOODS","FY 2013","FY 2013","Currency=USD","Period=FY","BEST_FPERIOD_OVERRIDE=FY","FILING_STATUS=MR","SCALING_FORMAT=MLN","Sort=A","Dates=H","DateFormat=P","Fill=—","Direction=H","UseDPDF=Y")</f>
        <v>0</v>
      </c>
      <c r="G17" s="13">
        <f>_xll.BDH("FIS US Equity","INVTRY_FINISHED_GOODS","FY 2014","FY 2014","Currency=USD","Period=FY","BEST_FPERIOD_OVERRIDE=FY","FILING_STATUS=MR","SCALING_FORMAT=MLN","Sort=A","Dates=H","DateFormat=P","Fill=—","Direction=H","UseDPDF=Y")</f>
        <v>0</v>
      </c>
      <c r="H17" s="13">
        <f>_xll.BDH("FIS US Equity","INVTRY_FINISHED_GOODS","FY 2015","FY 2015","Currency=USD","Period=FY","BEST_FPERIOD_OVERRIDE=FY","FILING_STATUS=MR","SCALING_FORMAT=MLN","Sort=A","Dates=H","DateFormat=P","Fill=—","Direction=H","UseDPDF=Y")</f>
        <v>0</v>
      </c>
      <c r="I17" s="13">
        <f>_xll.BDH("FIS US Equity","INVTRY_FINISHED_GOODS","FY 2016","FY 2016","Currency=USD","Period=FY","BEST_FPERIOD_OVERRIDE=FY","FILING_STATUS=MR","SCALING_FORMAT=MLN","Sort=A","Dates=H","DateFormat=P","Fill=—","Direction=H","UseDPDF=Y")</f>
        <v>0</v>
      </c>
      <c r="J17" s="13">
        <f>_xll.BDH("FIS US Equity","INVTRY_FINISHED_GOODS","FY 2017","FY 2017","Currency=USD","Period=FY","BEST_FPERIOD_OVERRIDE=FY","FILING_STATUS=MR","SCALING_FORMAT=MLN","Sort=A","Dates=H","DateFormat=P","Fill=—","Direction=H","UseDPDF=Y")</f>
        <v>0</v>
      </c>
      <c r="K17" s="13">
        <f>_xll.BDH("FIS US Equity","INVTRY_FINISHED_GOODS","FY 2018","FY 2018","Currency=USD","Period=FY","BEST_FPERIOD_OVERRIDE=FY","FILING_STATUS=MR","SCALING_FORMAT=MLN","Sort=A","Dates=H","DateFormat=P","Fill=—","Direction=H","UseDPDF=Y")</f>
        <v>0</v>
      </c>
      <c r="L17" s="13">
        <f>_xll.BDH("FIS US Equity","INVTRY_FINISHED_GOODS","FY 2019","FY 2019","Currency=USD","Period=FY","BEST_FPERIOD_OVERRIDE=FY","FILING_STATUS=MR","SCALING_FORMAT=MLN","Sort=A","Dates=H","DateFormat=P","Fill=—","Direction=H","UseDPDF=Y")</f>
        <v>0</v>
      </c>
    </row>
    <row r="18" spans="1:12" x14ac:dyDescent="0.45">
      <c r="A18" s="10" t="s">
        <v>48</v>
      </c>
      <c r="B18" s="10" t="s">
        <v>49</v>
      </c>
      <c r="C18" s="13">
        <f>_xll.BDH("FIS US Equity","BS_OTHER_INV","FY 2010","FY 2010","Currency=USD","Period=FY","BEST_FPERIOD_OVERRIDE=FY","FILING_STATUS=MR","SCALING_FORMAT=MLN","Sort=A","Dates=H","DateFormat=P","Fill=—","Direction=H","UseDPDF=Y")</f>
        <v>0</v>
      </c>
      <c r="D18" s="13">
        <f>_xll.BDH("FIS US Equity","BS_OTHER_INV","FY 2011","FY 2011","Currency=USD","Period=FY","BEST_FPERIOD_OVERRIDE=FY","FILING_STATUS=MR","SCALING_FORMAT=MLN","Sort=A","Dates=H","DateFormat=P","Fill=—","Direction=H","UseDPDF=Y")</f>
        <v>0</v>
      </c>
      <c r="E18" s="13">
        <f>_xll.BDH("FIS US Equity","BS_OTHER_INV","FY 2012","FY 2012","Currency=USD","Period=FY","BEST_FPERIOD_OVERRIDE=FY","FILING_STATUS=MR","SCALING_FORMAT=MLN","Sort=A","Dates=H","DateFormat=P","Fill=—","Direction=H","UseDPDF=Y")</f>
        <v>0</v>
      </c>
      <c r="F18" s="13">
        <f>_xll.BDH("FIS US Equity","BS_OTHER_INV","FY 2013","FY 2013","Currency=USD","Period=FY","BEST_FPERIOD_OVERRIDE=FY","FILING_STATUS=MR","SCALING_FORMAT=MLN","Sort=A","Dates=H","DateFormat=P","Fill=—","Direction=H","UseDPDF=Y")</f>
        <v>0</v>
      </c>
      <c r="G18" s="13">
        <f>_xll.BDH("FIS US Equity","BS_OTHER_INV","FY 2014","FY 2014","Currency=USD","Period=FY","BEST_FPERIOD_OVERRIDE=FY","FILING_STATUS=MR","SCALING_FORMAT=MLN","Sort=A","Dates=H","DateFormat=P","Fill=—","Direction=H","UseDPDF=Y")</f>
        <v>0</v>
      </c>
      <c r="H18" s="13">
        <f>_xll.BDH("FIS US Equity","BS_OTHER_INV","FY 2015","FY 2015","Currency=USD","Period=FY","BEST_FPERIOD_OVERRIDE=FY","FILING_STATUS=MR","SCALING_FORMAT=MLN","Sort=A","Dates=H","DateFormat=P","Fill=—","Direction=H","UseDPDF=Y")</f>
        <v>0</v>
      </c>
      <c r="I18" s="13">
        <f>_xll.BDH("FIS US Equity","BS_OTHER_INV","FY 2016","FY 2016","Currency=USD","Period=FY","BEST_FPERIOD_OVERRIDE=FY","FILING_STATUS=MR","SCALING_FORMAT=MLN","Sort=A","Dates=H","DateFormat=P","Fill=—","Direction=H","UseDPDF=Y")</f>
        <v>0</v>
      </c>
      <c r="J18" s="13">
        <f>_xll.BDH("FIS US Equity","BS_OTHER_INV","FY 2017","FY 2017","Currency=USD","Period=FY","BEST_FPERIOD_OVERRIDE=FY","FILING_STATUS=MR","SCALING_FORMAT=MLN","Sort=A","Dates=H","DateFormat=P","Fill=—","Direction=H","UseDPDF=Y")</f>
        <v>0</v>
      </c>
      <c r="K18" s="13">
        <f>_xll.BDH("FIS US Equity","BS_OTHER_INV","FY 2018","FY 2018","Currency=USD","Period=FY","BEST_FPERIOD_OVERRIDE=FY","FILING_STATUS=MR","SCALING_FORMAT=MLN","Sort=A","Dates=H","DateFormat=P","Fill=—","Direction=H","UseDPDF=Y")</f>
        <v>0</v>
      </c>
      <c r="L18" s="13">
        <f>_xll.BDH("FIS US Equity","BS_OTHER_INV","FY 2019","FY 2019","Currency=USD","Period=FY","BEST_FPERIOD_OVERRIDE=FY","FILING_STATUS=MR","SCALING_FORMAT=MLN","Sort=A","Dates=H","DateFormat=P","Fill=—","Direction=H","UseDPDF=Y")</f>
        <v>0</v>
      </c>
    </row>
    <row r="19" spans="1:12" x14ac:dyDescent="0.45">
      <c r="A19" s="10" t="s">
        <v>50</v>
      </c>
      <c r="B19" s="10" t="s">
        <v>51</v>
      </c>
      <c r="C19" s="13">
        <f>_xll.BDH("FIS US Equity","OTHER_CURRENT_ASSETS_DETAILED","FY 2010","FY 2010","Currency=USD","Period=FY","BEST_FPERIOD_OVERRIDE=FY","FILING_STATUS=MR","SCALING_FORMAT=MLN","Sort=A","Dates=H","DateFormat=P","Fill=—","Direction=H","UseDPDF=Y")</f>
        <v>495.6</v>
      </c>
      <c r="D19" s="13">
        <f>_xll.BDH("FIS US Equity","OTHER_CURRENT_ASSETS_DETAILED","FY 2011","FY 2011","Currency=USD","Period=FY","BEST_FPERIOD_OVERRIDE=FY","FILING_STATUS=MR","SCALING_FORMAT=MLN","Sort=A","Dates=H","DateFormat=P","Fill=—","Direction=H","UseDPDF=Y")</f>
        <v>400</v>
      </c>
      <c r="E19" s="13">
        <f>_xll.BDH("FIS US Equity","OTHER_CURRENT_ASSETS_DETAILED","FY 2012","FY 2012","Currency=USD","Period=FY","BEST_FPERIOD_OVERRIDE=FY","FILING_STATUS=MR","SCALING_FORMAT=MLN","Sort=A","Dates=H","DateFormat=P","Fill=—","Direction=H","UseDPDF=Y")</f>
        <v>400.9</v>
      </c>
      <c r="F19" s="13">
        <f>_xll.BDH("FIS US Equity","OTHER_CURRENT_ASSETS_DETAILED","FY 2013","FY 2013","Currency=USD","Period=FY","BEST_FPERIOD_OVERRIDE=FY","FILING_STATUS=MR","SCALING_FORMAT=MLN","Sort=A","Dates=H","DateFormat=P","Fill=—","Direction=H","UseDPDF=Y")</f>
        <v>816.5</v>
      </c>
      <c r="G19" s="13">
        <f>_xll.BDH("FIS US Equity","OTHER_CURRENT_ASSETS_DETAILED","FY 2014","FY 2014","Currency=USD","Period=FY","BEST_FPERIOD_OVERRIDE=FY","FILING_STATUS=MR","SCALING_FORMAT=MLN","Sort=A","Dates=H","DateFormat=P","Fill=—","Direction=H","UseDPDF=Y")</f>
        <v>853.9</v>
      </c>
      <c r="H19" s="13">
        <f>_xll.BDH("FIS US Equity","OTHER_CURRENT_ASSETS_DETAILED","FY 2015","FY 2015","Currency=USD","Period=FY","BEST_FPERIOD_OVERRIDE=FY","FILING_STATUS=MR","SCALING_FORMAT=MLN","Sort=A","Dates=H","DateFormat=P","Fill=—","Direction=H","UseDPDF=Y")</f>
        <v>934</v>
      </c>
      <c r="I19" s="13">
        <f>_xll.BDH("FIS US Equity","OTHER_CURRENT_ASSETS_DETAILED","FY 2016","FY 2016","Currency=USD","Period=FY","BEST_FPERIOD_OVERRIDE=FY","FILING_STATUS=MR","SCALING_FORMAT=MLN","Sort=A","Dates=H","DateFormat=P","Fill=—","Direction=H","UseDPDF=Y")</f>
        <v>1785</v>
      </c>
      <c r="J19" s="13">
        <f>_xll.BDH("FIS US Equity","OTHER_CURRENT_ASSETS_DETAILED","FY 2017","FY 2017","Currency=USD","Period=FY","BEST_FPERIOD_OVERRIDE=FY","FILING_STATUS=MR","SCALING_FORMAT=MLN","Sort=A","Dates=H","DateFormat=P","Fill=—","Direction=H","UseDPDF=Y")</f>
        <v>1000</v>
      </c>
      <c r="K19" s="13">
        <f>_xll.BDH("FIS US Equity","OTHER_CURRENT_ASSETS_DETAILED","FY 2018","FY 2018","Currency=USD","Period=FY","BEST_FPERIOD_OVERRIDE=FY","FILING_STATUS=MR","SCALING_FORMAT=MLN","Sort=A","Dates=H","DateFormat=P","Fill=—","Direction=H","UseDPDF=Y")</f>
        <v>1154</v>
      </c>
      <c r="L19" s="13">
        <f>_xll.BDH("FIS US Equity","OTHER_CURRENT_ASSETS_DETAILED","FY 2019","FY 2019","Currency=USD","Period=FY","BEST_FPERIOD_OVERRIDE=FY","FILING_STATUS=MR","SCALING_FORMAT=MLN","Sort=A","Dates=H","DateFormat=P","Fill=—","Direction=H","UseDPDF=Y")</f>
        <v>3527</v>
      </c>
    </row>
    <row r="20" spans="1:12" x14ac:dyDescent="0.45">
      <c r="A20" s="10" t="s">
        <v>52</v>
      </c>
      <c r="B20" s="10" t="s">
        <v>53</v>
      </c>
      <c r="C20" s="13">
        <f>_xll.BDH("FIS US Equity","BS_DERIV_&amp;_HEDGING_ASSETS_ST","FY 2010","FY 2010","Currency=USD","Period=FY","BEST_FPERIOD_OVERRIDE=FY","FILING_STATUS=MR","SCALING_FORMAT=MLN","Sort=A","Dates=H","DateFormat=P","Fill=—","Direction=H","UseDPDF=Y")</f>
        <v>0</v>
      </c>
      <c r="D20" s="13">
        <f>_xll.BDH("FIS US Equity","BS_DERIV_&amp;_HEDGING_ASSETS_ST","FY 2011","FY 2011","Currency=USD","Period=FY","BEST_FPERIOD_OVERRIDE=FY","FILING_STATUS=MR","SCALING_FORMAT=MLN","Sort=A","Dates=H","DateFormat=P","Fill=—","Direction=H","UseDPDF=Y")</f>
        <v>0</v>
      </c>
      <c r="E20" s="13">
        <f>_xll.BDH("FIS US Equity","BS_DERIV_&amp;_HEDGING_ASSETS_ST","FY 2012","FY 2012","Currency=USD","Period=FY","BEST_FPERIOD_OVERRIDE=FY","FILING_STATUS=MR","SCALING_FORMAT=MLN","Sort=A","Dates=H","DateFormat=P","Fill=—","Direction=H","UseDPDF=Y")</f>
        <v>0</v>
      </c>
      <c r="F20" s="13" t="str">
        <f>_xll.BDH("FIS US Equity","BS_DERIV_&amp;_HEDGING_ASSETS_ST","FY 2013","FY 2013","Currency=USD","Period=FY","BEST_FPERIOD_OVERRIDE=FY","FILING_STATUS=MR","SCALING_FORMAT=MLN","Sort=A","Dates=H","DateFormat=P","Fill=—","Direction=H","UseDPDF=Y")</f>
        <v>—</v>
      </c>
      <c r="G20" s="13">
        <f>_xll.BDH("FIS US Equity","BS_DERIV_&amp;_HEDGING_ASSETS_ST","FY 2014","FY 2014","Currency=USD","Period=FY","BEST_FPERIOD_OVERRIDE=FY","FILING_STATUS=MR","SCALING_FORMAT=MLN","Sort=A","Dates=H","DateFormat=P","Fill=—","Direction=H","UseDPDF=Y")</f>
        <v>0</v>
      </c>
      <c r="H20" s="13">
        <f>_xll.BDH("FIS US Equity","BS_DERIV_&amp;_HEDGING_ASSETS_ST","FY 2015","FY 2015","Currency=USD","Period=FY","BEST_FPERIOD_OVERRIDE=FY","FILING_STATUS=MR","SCALING_FORMAT=MLN","Sort=A","Dates=H","DateFormat=P","Fill=—","Direction=H","UseDPDF=Y")</f>
        <v>0</v>
      </c>
      <c r="I20" s="13" t="str">
        <f>_xll.BDH("FIS US Equity","BS_DERIV_&amp;_HEDGING_ASSETS_ST","FY 2016","FY 2016","Currency=USD","Period=FY","BEST_FPERIOD_OVERRIDE=FY","FILING_STATUS=MR","SCALING_FORMAT=MLN","Sort=A","Dates=H","DateFormat=P","Fill=—","Direction=H","UseDPDF=Y")</f>
        <v>—</v>
      </c>
      <c r="J20" s="13" t="str">
        <f>_xll.BDH("FIS US Equity","BS_DERIV_&amp;_HEDGING_ASSETS_ST","FY 2017","FY 2017","Currency=USD","Period=FY","BEST_FPERIOD_OVERRIDE=FY","FILING_STATUS=MR","SCALING_FORMAT=MLN","Sort=A","Dates=H","DateFormat=P","Fill=—","Direction=H","UseDPDF=Y")</f>
        <v>—</v>
      </c>
      <c r="K20" s="13">
        <f>_xll.BDH("FIS US Equity","BS_DERIV_&amp;_HEDGING_ASSETS_ST","FY 2018","FY 2018","Currency=USD","Period=FY","BEST_FPERIOD_OVERRIDE=FY","FILING_STATUS=MR","SCALING_FORMAT=MLN","Sort=A","Dates=H","DateFormat=P","Fill=—","Direction=H","UseDPDF=Y")</f>
        <v>0</v>
      </c>
      <c r="L20" s="13" t="str">
        <f>_xll.BDH("FIS US Equity","BS_DERIV_&amp;_HEDGING_ASSETS_ST","FY 2019","FY 2019","Currency=USD","Period=FY","BEST_FPERIOD_OVERRIDE=FY","FILING_STATUS=MR","SCALING_FORMAT=MLN","Sort=A","Dates=H","DateFormat=P","Fill=—","Direction=H","UseDPDF=Y")</f>
        <v>—</v>
      </c>
    </row>
    <row r="21" spans="1:12" x14ac:dyDescent="0.45">
      <c r="A21" s="10" t="s">
        <v>54</v>
      </c>
      <c r="B21" s="10" t="s">
        <v>55</v>
      </c>
      <c r="C21" s="13">
        <f>_xll.BDH("FIS US Equity","BS_ASSETS_HELD_FOR_SALE_ST","FY 2010","FY 2010","Currency=USD","Period=FY","BEST_FPERIOD_OVERRIDE=FY","FILING_STATUS=MR","SCALING_FORMAT=MLN","Sort=A","Dates=H","DateFormat=P","Fill=—","Direction=H","UseDPDF=Y")</f>
        <v>17.399999999999999</v>
      </c>
      <c r="D21" s="13" t="str">
        <f>_xll.BDH("FIS US Equity","BS_ASSETS_HELD_FOR_SALE_ST","FY 2011","FY 2011","Currency=USD","Period=FY","BEST_FPERIOD_OVERRIDE=FY","FILING_STATUS=MR","SCALING_FORMAT=MLN","Sort=A","Dates=H","DateFormat=P","Fill=—","Direction=H","UseDPDF=Y")</f>
        <v>—</v>
      </c>
      <c r="E21" s="13">
        <f>_xll.BDH("FIS US Equity","BS_ASSETS_HELD_FOR_SALE_ST","FY 2012","FY 2012","Currency=USD","Period=FY","BEST_FPERIOD_OVERRIDE=FY","FILING_STATUS=MR","SCALING_FORMAT=MLN","Sort=A","Dates=H","DateFormat=P","Fill=—","Direction=H","UseDPDF=Y")</f>
        <v>0</v>
      </c>
      <c r="F21" s="13">
        <f>_xll.BDH("FIS US Equity","BS_ASSETS_HELD_FOR_SALE_ST","FY 2013","FY 2013","Currency=USD","Period=FY","BEST_FPERIOD_OVERRIDE=FY","FILING_STATUS=MR","SCALING_FORMAT=MLN","Sort=A","Dates=H","DateFormat=P","Fill=—","Direction=H","UseDPDF=Y")</f>
        <v>0</v>
      </c>
      <c r="G21" s="13">
        <f>_xll.BDH("FIS US Equity","BS_ASSETS_HELD_FOR_SALE_ST","FY 2014","FY 2014","Currency=USD","Period=FY","BEST_FPERIOD_OVERRIDE=FY","FILING_STATUS=MR","SCALING_FORMAT=MLN","Sort=A","Dates=H","DateFormat=P","Fill=—","Direction=H","UseDPDF=Y")</f>
        <v>6.8</v>
      </c>
      <c r="H21" s="13">
        <f>_xll.BDH("FIS US Equity","BS_ASSETS_HELD_FOR_SALE_ST","FY 2015","FY 2015","Currency=USD","Period=FY","BEST_FPERIOD_OVERRIDE=FY","FILING_STATUS=MR","SCALING_FORMAT=MLN","Sort=A","Dates=H","DateFormat=P","Fill=—","Direction=H","UseDPDF=Y")</f>
        <v>0</v>
      </c>
      <c r="I21" s="13">
        <f>_xll.BDH("FIS US Equity","BS_ASSETS_HELD_FOR_SALE_ST","FY 2016","FY 2016","Currency=USD","Period=FY","BEST_FPERIOD_OVERRIDE=FY","FILING_STATUS=MR","SCALING_FORMAT=MLN","Sort=A","Dates=H","DateFormat=P","Fill=—","Direction=H","UseDPDF=Y")</f>
        <v>863</v>
      </c>
      <c r="J21" s="13">
        <f>_xll.BDH("FIS US Equity","BS_ASSETS_HELD_FOR_SALE_ST","FY 2017","FY 2017","Currency=USD","Period=FY","BEST_FPERIOD_OVERRIDE=FY","FILING_STATUS=MR","SCALING_FORMAT=MLN","Sort=A","Dates=H","DateFormat=P","Fill=—","Direction=H","UseDPDF=Y")</f>
        <v>0</v>
      </c>
      <c r="K21" s="13">
        <f>_xll.BDH("FIS US Equity","BS_ASSETS_HELD_FOR_SALE_ST","FY 2018","FY 2018","Currency=USD","Period=FY","BEST_FPERIOD_OVERRIDE=FY","FILING_STATUS=MR","SCALING_FORMAT=MLN","Sort=A","Dates=H","DateFormat=P","Fill=—","Direction=H","UseDPDF=Y")</f>
        <v>0</v>
      </c>
      <c r="L21" s="13">
        <f>_xll.BDH("FIS US Equity","BS_ASSETS_HELD_FOR_SALE_ST","FY 2019","FY 2019","Currency=USD","Period=FY","BEST_FPERIOD_OVERRIDE=FY","FILING_STATUS=MR","SCALING_FORMAT=MLN","Sort=A","Dates=H","DateFormat=P","Fill=—","Direction=H","UseDPDF=Y")</f>
        <v>0</v>
      </c>
    </row>
    <row r="22" spans="1:12" x14ac:dyDescent="0.45">
      <c r="A22" s="10" t="s">
        <v>56</v>
      </c>
      <c r="B22" s="10" t="s">
        <v>57</v>
      </c>
      <c r="C22" s="13">
        <f>_xll.BDH("FIS US Equity","BS_DEFERRED_TAX_ASSETS_ST","FY 2010","FY 2010","Currency=USD","Period=FY","BEST_FPERIOD_OVERRIDE=FY","FILING_STATUS=MR","SCALING_FORMAT=MLN","Sort=A","Dates=H","DateFormat=P","Fill=—","Direction=H","UseDPDF=Y")</f>
        <v>58.1</v>
      </c>
      <c r="D22" s="13">
        <f>_xll.BDH("FIS US Equity","BS_DEFERRED_TAX_ASSETS_ST","FY 2011","FY 2011","Currency=USD","Period=FY","BEST_FPERIOD_OVERRIDE=FY","FILING_STATUS=MR","SCALING_FORMAT=MLN","Sort=A","Dates=H","DateFormat=P","Fill=—","Direction=H","UseDPDF=Y")</f>
        <v>74</v>
      </c>
      <c r="E22" s="13">
        <f>_xll.BDH("FIS US Equity","BS_DEFERRED_TAX_ASSETS_ST","FY 2012","FY 2012","Currency=USD","Period=FY","BEST_FPERIOD_OVERRIDE=FY","FILING_STATUS=MR","SCALING_FORMAT=MLN","Sort=A","Dates=H","DateFormat=P","Fill=—","Direction=H","UseDPDF=Y")</f>
        <v>55.9</v>
      </c>
      <c r="F22" s="13">
        <f>_xll.BDH("FIS US Equity","BS_DEFERRED_TAX_ASSETS_ST","FY 2013","FY 2013","Currency=USD","Period=FY","BEST_FPERIOD_OVERRIDE=FY","FILING_STATUS=MR","SCALING_FORMAT=MLN","Sort=A","Dates=H","DateFormat=P","Fill=—","Direction=H","UseDPDF=Y")</f>
        <v>58.9</v>
      </c>
      <c r="G22" s="13">
        <f>_xll.BDH("FIS US Equity","BS_DEFERRED_TAX_ASSETS_ST","FY 2014","FY 2014","Currency=USD","Period=FY","BEST_FPERIOD_OVERRIDE=FY","FILING_STATUS=MR","SCALING_FORMAT=MLN","Sort=A","Dates=H","DateFormat=P","Fill=—","Direction=H","UseDPDF=Y")</f>
        <v>67.400000000000006</v>
      </c>
      <c r="H22" s="13">
        <f>_xll.BDH("FIS US Equity","BS_DEFERRED_TAX_ASSETS_ST","FY 2015","FY 2015","Currency=USD","Period=FY","BEST_FPERIOD_OVERRIDE=FY","FILING_STATUS=MR","SCALING_FORMAT=MLN","Sort=A","Dates=H","DateFormat=P","Fill=—","Direction=H","UseDPDF=Y")</f>
        <v>100</v>
      </c>
      <c r="I22" s="13">
        <f>_xll.BDH("FIS US Equity","BS_DEFERRED_TAX_ASSETS_ST","FY 2016","FY 2016","Currency=USD","Period=FY","BEST_FPERIOD_OVERRIDE=FY","FILING_STATUS=MR","SCALING_FORMAT=MLN","Sort=A","Dates=H","DateFormat=P","Fill=—","Direction=H","UseDPDF=Y")</f>
        <v>101</v>
      </c>
      <c r="J22" s="13">
        <f>_xll.BDH("FIS US Equity","BS_DEFERRED_TAX_ASSETS_ST","FY 2017","FY 2017","Currency=USD","Period=FY","BEST_FPERIOD_OVERRIDE=FY","FILING_STATUS=MR","SCALING_FORMAT=MLN","Sort=A","Dates=H","DateFormat=P","Fill=—","Direction=H","UseDPDF=Y")</f>
        <v>0</v>
      </c>
      <c r="K22" s="13">
        <f>_xll.BDH("FIS US Equity","BS_DEFERRED_TAX_ASSETS_ST","FY 2018","FY 2018","Currency=USD","Period=FY","BEST_FPERIOD_OVERRIDE=FY","FILING_STATUS=MR","SCALING_FORMAT=MLN","Sort=A","Dates=H","DateFormat=P","Fill=—","Direction=H","UseDPDF=Y")</f>
        <v>0</v>
      </c>
      <c r="L22" s="13">
        <f>_xll.BDH("FIS US Equity","BS_DEFERRED_TAX_ASSETS_ST","FY 2019","FY 2019","Currency=USD","Period=FY","BEST_FPERIOD_OVERRIDE=FY","FILING_STATUS=MR","SCALING_FORMAT=MLN","Sort=A","Dates=H","DateFormat=P","Fill=—","Direction=H","UseDPDF=Y")</f>
        <v>0</v>
      </c>
    </row>
    <row r="23" spans="1:12" x14ac:dyDescent="0.45">
      <c r="A23" s="10" t="s">
        <v>58</v>
      </c>
      <c r="B23" s="10" t="s">
        <v>59</v>
      </c>
      <c r="C23" s="13">
        <f>_xll.BDH("FIS US Equity","BS_OTHER_CUR_ASSET_LESS_PREPAY","FY 2010","FY 2010","Currency=USD","Period=FY","BEST_FPERIOD_OVERRIDE=FY","FILING_STATUS=MR","SCALING_FORMAT=MLN","Sort=A","Dates=H","DateFormat=P","Fill=—","Direction=H","UseDPDF=Y")</f>
        <v>420.1</v>
      </c>
      <c r="D23" s="13">
        <f>_xll.BDH("FIS US Equity","BS_OTHER_CUR_ASSET_LESS_PREPAY","FY 2011","FY 2011","Currency=USD","Period=FY","BEST_FPERIOD_OVERRIDE=FY","FILING_STATUS=MR","SCALING_FORMAT=MLN","Sort=A","Dates=H","DateFormat=P","Fill=—","Direction=H","UseDPDF=Y")</f>
        <v>326</v>
      </c>
      <c r="E23" s="13">
        <f>_xll.BDH("FIS US Equity","BS_OTHER_CUR_ASSET_LESS_PREPAY","FY 2012","FY 2012","Currency=USD","Period=FY","BEST_FPERIOD_OVERRIDE=FY","FILING_STATUS=MR","SCALING_FORMAT=MLN","Sort=A","Dates=H","DateFormat=P","Fill=—","Direction=H","UseDPDF=Y")</f>
        <v>345</v>
      </c>
      <c r="F23" s="13">
        <f>_xll.BDH("FIS US Equity","BS_OTHER_CUR_ASSET_LESS_PREPAY","FY 2013","FY 2013","Currency=USD","Period=FY","BEST_FPERIOD_OVERRIDE=FY","FILING_STATUS=MR","SCALING_FORMAT=MLN","Sort=A","Dates=H","DateFormat=P","Fill=—","Direction=H","UseDPDF=Y")</f>
        <v>757.6</v>
      </c>
      <c r="G23" s="13">
        <f>_xll.BDH("FIS US Equity","BS_OTHER_CUR_ASSET_LESS_PREPAY","FY 2014","FY 2014","Currency=USD","Period=FY","BEST_FPERIOD_OVERRIDE=FY","FILING_STATUS=MR","SCALING_FORMAT=MLN","Sort=A","Dates=H","DateFormat=P","Fill=—","Direction=H","UseDPDF=Y")</f>
        <v>779.7</v>
      </c>
      <c r="H23" s="13">
        <f>_xll.BDH("FIS US Equity","BS_OTHER_CUR_ASSET_LESS_PREPAY","FY 2015","FY 2015","Currency=USD","Period=FY","BEST_FPERIOD_OVERRIDE=FY","FILING_STATUS=MR","SCALING_FORMAT=MLN","Sort=A","Dates=H","DateFormat=P","Fill=—","Direction=H","UseDPDF=Y")</f>
        <v>834</v>
      </c>
      <c r="I23" s="13">
        <f>_xll.BDH("FIS US Equity","BS_OTHER_CUR_ASSET_LESS_PREPAY","FY 2016","FY 2016","Currency=USD","Period=FY","BEST_FPERIOD_OVERRIDE=FY","FILING_STATUS=MR","SCALING_FORMAT=MLN","Sort=A","Dates=H","DateFormat=P","Fill=—","Direction=H","UseDPDF=Y")</f>
        <v>821</v>
      </c>
      <c r="J23" s="13">
        <f>_xll.BDH("FIS US Equity","BS_OTHER_CUR_ASSET_LESS_PREPAY","FY 2017","FY 2017","Currency=USD","Period=FY","BEST_FPERIOD_OVERRIDE=FY","FILING_STATUS=MR","SCALING_FORMAT=MLN","Sort=A","Dates=H","DateFormat=P","Fill=—","Direction=H","UseDPDF=Y")</f>
        <v>1000</v>
      </c>
      <c r="K23" s="13">
        <f>_xll.BDH("FIS US Equity","BS_OTHER_CUR_ASSET_LESS_PREPAY","FY 2018","FY 2018","Currency=USD","Period=FY","BEST_FPERIOD_OVERRIDE=FY","FILING_STATUS=MR","SCALING_FORMAT=MLN","Sort=A","Dates=H","DateFormat=P","Fill=—","Direction=H","UseDPDF=Y")</f>
        <v>1154</v>
      </c>
      <c r="L23" s="13">
        <f>_xll.BDH("FIS US Equity","BS_OTHER_CUR_ASSET_LESS_PREPAY","FY 2019","FY 2019","Currency=USD","Period=FY","BEST_FPERIOD_OVERRIDE=FY","FILING_STATUS=MR","SCALING_FORMAT=MLN","Sort=A","Dates=H","DateFormat=P","Fill=—","Direction=H","UseDPDF=Y")</f>
        <v>3527</v>
      </c>
    </row>
    <row r="24" spans="1:12" x14ac:dyDescent="0.45">
      <c r="A24" s="6" t="s">
        <v>60</v>
      </c>
      <c r="B24" s="6" t="s">
        <v>61</v>
      </c>
      <c r="C24" s="16">
        <f>_xll.BDH("FIS US Equity","BS_CUR_ASSET_REPORT","FY 2010","FY 2010","Currency=USD","Period=FY","BEST_FPERIOD_OVERRIDE=FY","FILING_STATUS=MR","SCALING_FORMAT=MLN","Sort=A","Dates=H","DateFormat=P","Fill=—","Direction=H","UseDPDF=Y")</f>
        <v>1673</v>
      </c>
      <c r="D24" s="16">
        <f>_xll.BDH("FIS US Equity","BS_CUR_ASSET_REPORT","FY 2011","FY 2011","Currency=USD","Period=FY","BEST_FPERIOD_OVERRIDE=FY","FILING_STATUS=MR","SCALING_FORMAT=MLN","Sort=A","Dates=H","DateFormat=P","Fill=—","Direction=H","UseDPDF=Y")</f>
        <v>1674</v>
      </c>
      <c r="E24" s="16">
        <f>_xll.BDH("FIS US Equity","BS_CUR_ASSET_REPORT","FY 2012","FY 2012","Currency=USD","Period=FY","BEST_FPERIOD_OVERRIDE=FY","FILING_STATUS=MR","SCALING_FORMAT=MLN","Sort=A","Dates=H","DateFormat=P","Fill=—","Direction=H","UseDPDF=Y")</f>
        <v>1844.2</v>
      </c>
      <c r="F24" s="16">
        <f>_xll.BDH("FIS US Equity","BS_CUR_ASSET_REPORT","FY 2013","FY 2013","Currency=USD","Period=FY","BEST_FPERIOD_OVERRIDE=FY","FILING_STATUS=MR","SCALING_FORMAT=MLN","Sort=A","Dates=H","DateFormat=P","Fill=—","Direction=H","UseDPDF=Y")</f>
        <v>2351.9</v>
      </c>
      <c r="G24" s="16">
        <f>_xll.BDH("FIS US Equity","BS_CUR_ASSET_REPORT","FY 2014","FY 2014","Currency=USD","Period=FY","BEST_FPERIOD_OVERRIDE=FY","FILING_STATUS=MR","SCALING_FORMAT=MLN","Sort=A","Dates=H","DateFormat=P","Fill=—","Direction=H","UseDPDF=Y")</f>
        <v>2473.1</v>
      </c>
      <c r="H24" s="16">
        <f>_xll.BDH("FIS US Equity","BS_CUR_ASSET_REPORT","FY 2015","FY 2015","Currency=USD","Period=FY","BEST_FPERIOD_OVERRIDE=FY","FILING_STATUS=MR","SCALING_FORMAT=MLN","Sort=A","Dates=H","DateFormat=P","Fill=—","Direction=H","UseDPDF=Y")</f>
        <v>3509</v>
      </c>
      <c r="I24" s="16">
        <f>_xll.BDH("FIS US Equity","BS_CUR_ASSET_REPORT","FY 2016","FY 2016","Currency=USD","Period=FY","BEST_FPERIOD_OVERRIDE=FY","FILING_STATUS=MR","SCALING_FORMAT=MLN","Sort=A","Dates=H","DateFormat=P","Fill=—","Direction=H","UseDPDF=Y")</f>
        <v>4282</v>
      </c>
      <c r="J24" s="16">
        <f>_xll.BDH("FIS US Equity","BS_CUR_ASSET_REPORT","FY 2017","FY 2017","Currency=USD","Period=FY","BEST_FPERIOD_OVERRIDE=FY","FILING_STATUS=MR","SCALING_FORMAT=MLN","Sort=A","Dates=H","DateFormat=P","Fill=—","Direction=H","UseDPDF=Y")</f>
        <v>3688</v>
      </c>
      <c r="K24" s="16">
        <f>_xll.BDH("FIS US Equity","BS_CUR_ASSET_REPORT","FY 2018","FY 2018","Currency=USD","Period=FY","BEST_FPERIOD_OVERRIDE=FY","FILING_STATUS=MR","SCALING_FORMAT=MLN","Sort=A","Dates=H","DateFormat=P","Fill=—","Direction=H","UseDPDF=Y")</f>
        <v>3733</v>
      </c>
      <c r="L24" s="16">
        <f>_xll.BDH("FIS US Equity","BS_CUR_ASSET_REPORT","FY 2019","FY 2019","Currency=USD","Period=FY","BEST_FPERIOD_OVERRIDE=FY","FILING_STATUS=MR","SCALING_FORMAT=MLN","Sort=A","Dates=H","DateFormat=P","Fill=—","Direction=H","UseDPDF=Y")</f>
        <v>8692</v>
      </c>
    </row>
    <row r="25" spans="1:12" x14ac:dyDescent="0.45">
      <c r="A25" s="10" t="s">
        <v>62</v>
      </c>
      <c r="B25" s="10" t="s">
        <v>63</v>
      </c>
      <c r="C25" s="13">
        <f>_xll.BDH("FIS US Equity","BS_NET_FIX_ASSET","FY 2010","FY 2010","Currency=USD","Period=FY","BEST_FPERIOD_OVERRIDE=FY","FILING_STATUS=MR","SCALING_FORMAT=MLN","Sort=A","Dates=H","DateFormat=P","Fill=—","Direction=H","UseDPDF=Y")</f>
        <v>390</v>
      </c>
      <c r="D25" s="13">
        <f>_xll.BDH("FIS US Equity","BS_NET_FIX_ASSET","FY 2011","FY 2011","Currency=USD","Period=FY","BEST_FPERIOD_OVERRIDE=FY","FILING_STATUS=MR","SCALING_FORMAT=MLN","Sort=A","Dates=H","DateFormat=P","Fill=—","Direction=H","UseDPDF=Y")</f>
        <v>414.5</v>
      </c>
      <c r="E25" s="13">
        <f>_xll.BDH("FIS US Equity","BS_NET_FIX_ASSET","FY 2012","FY 2012","Currency=USD","Period=FY","BEST_FPERIOD_OVERRIDE=FY","FILING_STATUS=MR","SCALING_FORMAT=MLN","Sort=A","Dates=H","DateFormat=P","Fill=—","Direction=H","UseDPDF=Y")</f>
        <v>419.5</v>
      </c>
      <c r="F25" s="13">
        <f>_xll.BDH("FIS US Equity","BS_NET_FIX_ASSET","FY 2013","FY 2013","Currency=USD","Period=FY","BEST_FPERIOD_OVERRIDE=FY","FILING_STATUS=MR","SCALING_FORMAT=MLN","Sort=A","Dates=H","DateFormat=P","Fill=—","Direction=H","UseDPDF=Y")</f>
        <v>439</v>
      </c>
      <c r="G25" s="13">
        <f>_xll.BDH("FIS US Equity","BS_NET_FIX_ASSET","FY 2014","FY 2014","Currency=USD","Period=FY","BEST_FPERIOD_OVERRIDE=FY","FILING_STATUS=MR","SCALING_FORMAT=MLN","Sort=A","Dates=H","DateFormat=P","Fill=—","Direction=H","UseDPDF=Y")</f>
        <v>483.3</v>
      </c>
      <c r="H25" s="13">
        <f>_xll.BDH("FIS US Equity","BS_NET_FIX_ASSET","FY 2015","FY 2015","Currency=USD","Period=FY","BEST_FPERIOD_OVERRIDE=FY","FILING_STATUS=MR","SCALING_FORMAT=MLN","Sort=A","Dates=H","DateFormat=P","Fill=—","Direction=H","UseDPDF=Y")</f>
        <v>611</v>
      </c>
      <c r="I25" s="13">
        <f>_xll.BDH("FIS US Equity","BS_NET_FIX_ASSET","FY 2016","FY 2016","Currency=USD","Period=FY","BEST_FPERIOD_OVERRIDE=FY","FILING_STATUS=MR","SCALING_FORMAT=MLN","Sort=A","Dates=H","DateFormat=P","Fill=—","Direction=H","UseDPDF=Y")</f>
        <v>626</v>
      </c>
      <c r="J25" s="13">
        <f>_xll.BDH("FIS US Equity","BS_NET_FIX_ASSET","FY 2017","FY 2017","Currency=USD","Period=FY","BEST_FPERIOD_OVERRIDE=FY","FILING_STATUS=MR","SCALING_FORMAT=MLN","Sort=A","Dates=H","DateFormat=P","Fill=—","Direction=H","UseDPDF=Y")</f>
        <v>610</v>
      </c>
      <c r="K25" s="13">
        <f>_xll.BDH("FIS US Equity","BS_NET_FIX_ASSET","FY 2018","FY 2018","Currency=USD","Period=FY","BEST_FPERIOD_OVERRIDE=FY","FILING_STATUS=MR","SCALING_FORMAT=MLN","Sort=A","Dates=H","DateFormat=P","Fill=—","Direction=H","UseDPDF=Y")</f>
        <v>587</v>
      </c>
      <c r="L25" s="13">
        <f>_xll.BDH("FIS US Equity","BS_NET_FIX_ASSET","FY 2019","FY 2019","Currency=USD","Period=FY","BEST_FPERIOD_OVERRIDE=FY","FILING_STATUS=MR","SCALING_FORMAT=MLN","Sort=A","Dates=H","DateFormat=P","Fill=—","Direction=H","UseDPDF=Y")</f>
        <v>1464</v>
      </c>
    </row>
    <row r="26" spans="1:12" x14ac:dyDescent="0.45">
      <c r="A26" s="10" t="s">
        <v>64</v>
      </c>
      <c r="B26" s="10" t="s">
        <v>65</v>
      </c>
      <c r="C26" s="13">
        <f>_xll.BDH("FIS US Equity","BS_GROSS_FIX_ASSET","FY 2010","FY 2010","Currency=USD","Period=FY","BEST_FPERIOD_OVERRIDE=FY","FILING_STATUS=MR","SCALING_FORMAT=MLN","Sort=A","Dates=H","DateFormat=P","Fill=—","Direction=H","UseDPDF=Y")</f>
        <v>787.6</v>
      </c>
      <c r="D26" s="13">
        <f>_xll.BDH("FIS US Equity","BS_GROSS_FIX_ASSET","FY 2011","FY 2011","Currency=USD","Period=FY","BEST_FPERIOD_OVERRIDE=FY","FILING_STATUS=MR","SCALING_FORMAT=MLN","Sort=A","Dates=H","DateFormat=P","Fill=—","Direction=H","UseDPDF=Y")</f>
        <v>882.7</v>
      </c>
      <c r="E26" s="13">
        <f>_xll.BDH("FIS US Equity","BS_GROSS_FIX_ASSET","FY 2012","FY 2012","Currency=USD","Period=FY","BEST_FPERIOD_OVERRIDE=FY","FILING_STATUS=MR","SCALING_FORMAT=MLN","Sort=A","Dates=H","DateFormat=P","Fill=—","Direction=H","UseDPDF=Y")</f>
        <v>975.5</v>
      </c>
      <c r="F26" s="13">
        <f>_xll.BDH("FIS US Equity","BS_GROSS_FIX_ASSET","FY 2013","FY 2013","Currency=USD","Period=FY","BEST_FPERIOD_OVERRIDE=FY","FILING_STATUS=MR","SCALING_FORMAT=MLN","Sort=A","Dates=H","DateFormat=P","Fill=—","Direction=H","UseDPDF=Y")</f>
        <v>1077.4000000000001</v>
      </c>
      <c r="G26" s="13">
        <f>_xll.BDH("FIS US Equity","BS_GROSS_FIX_ASSET","FY 2014","FY 2014","Currency=USD","Period=FY","BEST_FPERIOD_OVERRIDE=FY","FILING_STATUS=MR","SCALING_FORMAT=MLN","Sort=A","Dates=H","DateFormat=P","Fill=—","Direction=H","UseDPDF=Y")</f>
        <v>1204.4000000000001</v>
      </c>
      <c r="H26" s="13">
        <f>_xll.BDH("FIS US Equity","BS_GROSS_FIX_ASSET","FY 2015","FY 2015","Currency=USD","Period=FY","BEST_FPERIOD_OVERRIDE=FY","FILING_STATUS=MR","SCALING_FORMAT=MLN","Sort=A","Dates=H","DateFormat=P","Fill=—","Direction=H","UseDPDF=Y")</f>
        <v>1396</v>
      </c>
      <c r="I26" s="13">
        <f>_xll.BDH("FIS US Equity","BS_GROSS_FIX_ASSET","FY 2016","FY 2016","Currency=USD","Period=FY","BEST_FPERIOD_OVERRIDE=FY","FILING_STATUS=MR","SCALING_FORMAT=MLN","Sort=A","Dates=H","DateFormat=P","Fill=—","Direction=H","UseDPDF=Y")</f>
        <v>1488</v>
      </c>
      <c r="J26" s="13">
        <f>_xll.BDH("FIS US Equity","BS_GROSS_FIX_ASSET","FY 2017","FY 2017","Currency=USD","Period=FY","BEST_FPERIOD_OVERRIDE=FY","FILING_STATUS=MR","SCALING_FORMAT=MLN","Sort=A","Dates=H","DateFormat=P","Fill=—","Direction=H","UseDPDF=Y")</f>
        <v>1657</v>
      </c>
      <c r="K26" s="13">
        <f>_xll.BDH("FIS US Equity","BS_GROSS_FIX_ASSET","FY 2018","FY 2018","Currency=USD","Period=FY","BEST_FPERIOD_OVERRIDE=FY","FILING_STATUS=MR","SCALING_FORMAT=MLN","Sort=A","Dates=H","DateFormat=P","Fill=—","Direction=H","UseDPDF=Y")</f>
        <v>1645</v>
      </c>
      <c r="L26" s="13">
        <f>_xll.BDH("FIS US Equity","BS_GROSS_FIX_ASSET","FY 2019","FY 2019","Currency=USD","Period=FY","BEST_FPERIOD_OVERRIDE=FY","FILING_STATUS=MR","SCALING_FORMAT=MLN","Sort=A","Dates=H","DateFormat=P","Fill=—","Direction=H","UseDPDF=Y")</f>
        <v>2741</v>
      </c>
    </row>
    <row r="27" spans="1:12" x14ac:dyDescent="0.45">
      <c r="A27" s="10" t="s">
        <v>66</v>
      </c>
      <c r="B27" s="10" t="s">
        <v>67</v>
      </c>
      <c r="C27" s="13">
        <f>_xll.BDH("FIS US Equity","BS_ACCUM_DEPR","FY 2010","FY 2010","Currency=USD","Period=FY","BEST_FPERIOD_OVERRIDE=FY","FILING_STATUS=MR","SCALING_FORMAT=MLN","Sort=A","Dates=H","DateFormat=P","Fill=—","Direction=H","UseDPDF=Y")</f>
        <v>397.6</v>
      </c>
      <c r="D27" s="13">
        <f>_xll.BDH("FIS US Equity","BS_ACCUM_DEPR","FY 2011","FY 2011","Currency=USD","Period=FY","BEST_FPERIOD_OVERRIDE=FY","FILING_STATUS=MR","SCALING_FORMAT=MLN","Sort=A","Dates=H","DateFormat=P","Fill=—","Direction=H","UseDPDF=Y")</f>
        <v>468.2</v>
      </c>
      <c r="E27" s="13">
        <f>_xll.BDH("FIS US Equity","BS_ACCUM_DEPR","FY 2012","FY 2012","Currency=USD","Period=FY","BEST_FPERIOD_OVERRIDE=FY","FILING_STATUS=MR","SCALING_FORMAT=MLN","Sort=A","Dates=H","DateFormat=P","Fill=—","Direction=H","UseDPDF=Y")</f>
        <v>556</v>
      </c>
      <c r="F27" s="13">
        <f>_xll.BDH("FIS US Equity","BS_ACCUM_DEPR","FY 2013","FY 2013","Currency=USD","Period=FY","BEST_FPERIOD_OVERRIDE=FY","FILING_STATUS=MR","SCALING_FORMAT=MLN","Sort=A","Dates=H","DateFormat=P","Fill=—","Direction=H","UseDPDF=Y")</f>
        <v>638.4</v>
      </c>
      <c r="G27" s="13">
        <f>_xll.BDH("FIS US Equity","BS_ACCUM_DEPR","FY 2014","FY 2014","Currency=USD","Period=FY","BEST_FPERIOD_OVERRIDE=FY","FILING_STATUS=MR","SCALING_FORMAT=MLN","Sort=A","Dates=H","DateFormat=P","Fill=—","Direction=H","UseDPDF=Y")</f>
        <v>721.1</v>
      </c>
      <c r="H27" s="13">
        <f>_xll.BDH("FIS US Equity","BS_ACCUM_DEPR","FY 2015","FY 2015","Currency=USD","Period=FY","BEST_FPERIOD_OVERRIDE=FY","FILING_STATUS=MR","SCALING_FORMAT=MLN","Sort=A","Dates=H","DateFormat=P","Fill=—","Direction=H","UseDPDF=Y")</f>
        <v>785</v>
      </c>
      <c r="I27" s="13">
        <f>_xll.BDH("FIS US Equity","BS_ACCUM_DEPR","FY 2016","FY 2016","Currency=USD","Period=FY","BEST_FPERIOD_OVERRIDE=FY","FILING_STATUS=MR","SCALING_FORMAT=MLN","Sort=A","Dates=H","DateFormat=P","Fill=—","Direction=H","UseDPDF=Y")</f>
        <v>862</v>
      </c>
      <c r="J27" s="13">
        <f>_xll.BDH("FIS US Equity","BS_ACCUM_DEPR","FY 2017","FY 2017","Currency=USD","Period=FY","BEST_FPERIOD_OVERRIDE=FY","FILING_STATUS=MR","SCALING_FORMAT=MLN","Sort=A","Dates=H","DateFormat=P","Fill=—","Direction=H","UseDPDF=Y")</f>
        <v>1047</v>
      </c>
      <c r="K27" s="13">
        <f>_xll.BDH("FIS US Equity","BS_ACCUM_DEPR","FY 2018","FY 2018","Currency=USD","Period=FY","BEST_FPERIOD_OVERRIDE=FY","FILING_STATUS=MR","SCALING_FORMAT=MLN","Sort=A","Dates=H","DateFormat=P","Fill=—","Direction=H","UseDPDF=Y")</f>
        <v>1058</v>
      </c>
      <c r="L27" s="13">
        <f>_xll.BDH("FIS US Equity","BS_ACCUM_DEPR","FY 2019","FY 2019","Currency=USD","Period=FY","BEST_FPERIOD_OVERRIDE=FY","FILING_STATUS=MR","SCALING_FORMAT=MLN","Sort=A","Dates=H","DateFormat=P","Fill=—","Direction=H","UseDPDF=Y")</f>
        <v>1277</v>
      </c>
    </row>
    <row r="28" spans="1:12" x14ac:dyDescent="0.45">
      <c r="A28" s="10" t="s">
        <v>68</v>
      </c>
      <c r="B28" s="10" t="s">
        <v>69</v>
      </c>
      <c r="C28" s="13">
        <f>_xll.BDH("FIS US Equity","BS_LT_INVEST","FY 2010","FY 2010","Currency=USD","Period=FY","BEST_FPERIOD_OVERRIDE=FY","FILING_STATUS=MR","SCALING_FORMAT=MLN","Sort=A","Dates=H","DateFormat=P","Fill=—","Direction=H","UseDPDF=Y")</f>
        <v>0</v>
      </c>
      <c r="D28" s="13">
        <f>_xll.BDH("FIS US Equity","BS_LT_INVEST","FY 2011","FY 2011","Currency=USD","Period=FY","BEST_FPERIOD_OVERRIDE=FY","FILING_STATUS=MR","SCALING_FORMAT=MLN","Sort=A","Dates=H","DateFormat=P","Fill=—","Direction=H","UseDPDF=Y")</f>
        <v>0</v>
      </c>
      <c r="E28" s="13">
        <f>_xll.BDH("FIS US Equity","BS_LT_INVEST","FY 2012","FY 2012","Currency=USD","Period=FY","BEST_FPERIOD_OVERRIDE=FY","FILING_STATUS=MR","SCALING_FORMAT=MLN","Sort=A","Dates=H","DateFormat=P","Fill=—","Direction=H","UseDPDF=Y")</f>
        <v>0</v>
      </c>
      <c r="F28" s="13">
        <f>_xll.BDH("FIS US Equity","BS_LT_INVEST","FY 2013","FY 2013","Currency=USD","Period=FY","BEST_FPERIOD_OVERRIDE=FY","FILING_STATUS=MR","SCALING_FORMAT=MLN","Sort=A","Dates=H","DateFormat=P","Fill=—","Direction=H","UseDPDF=Y")</f>
        <v>0</v>
      </c>
      <c r="G28" s="13">
        <f>_xll.BDH("FIS US Equity","BS_LT_INVEST","FY 2014","FY 2014","Currency=USD","Period=FY","BEST_FPERIOD_OVERRIDE=FY","FILING_STATUS=MR","SCALING_FORMAT=MLN","Sort=A","Dates=H","DateFormat=P","Fill=—","Direction=H","UseDPDF=Y")</f>
        <v>0</v>
      </c>
      <c r="H28" s="13">
        <f>_xll.BDH("FIS US Equity","BS_LT_INVEST","FY 2015","FY 2015","Currency=USD","Period=FY","BEST_FPERIOD_OVERRIDE=FY","FILING_STATUS=MR","SCALING_FORMAT=MLN","Sort=A","Dates=H","DateFormat=P","Fill=—","Direction=H","UseDPDF=Y")</f>
        <v>0</v>
      </c>
      <c r="I28" s="13">
        <f>_xll.BDH("FIS US Equity","BS_LT_INVEST","FY 2016","FY 2016","Currency=USD","Period=FY","BEST_FPERIOD_OVERRIDE=FY","FILING_STATUS=MR","SCALING_FORMAT=MLN","Sort=A","Dates=H","DateFormat=P","Fill=—","Direction=H","UseDPDF=Y")</f>
        <v>0</v>
      </c>
      <c r="J28" s="13">
        <f>_xll.BDH("FIS US Equity","BS_LT_INVEST","FY 2017","FY 2017","Currency=USD","Period=FY","BEST_FPERIOD_OVERRIDE=FY","FILING_STATUS=MR","SCALING_FORMAT=MLN","Sort=A","Dates=H","DateFormat=P","Fill=—","Direction=H","UseDPDF=Y")</f>
        <v>0</v>
      </c>
      <c r="K28" s="13">
        <f>_xll.BDH("FIS US Equity","BS_LT_INVEST","FY 2018","FY 2018","Currency=USD","Period=FY","BEST_FPERIOD_OVERRIDE=FY","FILING_STATUS=MR","SCALING_FORMAT=MLN","Sort=A","Dates=H","DateFormat=P","Fill=—","Direction=H","UseDPDF=Y")</f>
        <v>0</v>
      </c>
      <c r="L28" s="13">
        <f>_xll.BDH("FIS US Equity","BS_LT_INVEST","FY 2019","FY 2019","Currency=USD","Period=FY","BEST_FPERIOD_OVERRIDE=FY","FILING_STATUS=MR","SCALING_FORMAT=MLN","Sort=A","Dates=H","DateFormat=P","Fill=—","Direction=H","UseDPDF=Y")</f>
        <v>0</v>
      </c>
    </row>
    <row r="29" spans="1:12" x14ac:dyDescent="0.45">
      <c r="A29" s="10" t="s">
        <v>70</v>
      </c>
      <c r="B29" s="10" t="s">
        <v>71</v>
      </c>
      <c r="C29" s="13">
        <f>_xll.BDH("FIS US Equity","BS_OTHER_ASSETS_DEF_CHRG_OTHER","FY 2010","FY 2010","Currency=USD","Period=FY","BEST_FPERIOD_OVERRIDE=FY","FILING_STATUS=MR","SCALING_FORMAT=MLN","Sort=A","Dates=H","DateFormat=P","Fill=—","Direction=H","UseDPDF=Y")</f>
        <v>12113.3</v>
      </c>
      <c r="D29" s="13">
        <f>_xll.BDH("FIS US Equity","BS_OTHER_ASSETS_DEF_CHRG_OTHER","FY 2011","FY 2011","Currency=USD","Period=FY","BEST_FPERIOD_OVERRIDE=FY","FILING_STATUS=MR","SCALING_FORMAT=MLN","Sort=A","Dates=H","DateFormat=P","Fill=—","Direction=H","UseDPDF=Y")</f>
        <v>11784.7</v>
      </c>
      <c r="E29" s="13">
        <f>_xll.BDH("FIS US Equity","BS_OTHER_ASSETS_DEF_CHRG_OTHER","FY 2012","FY 2012","Currency=USD","Period=FY","BEST_FPERIOD_OVERRIDE=FY","FILING_STATUS=MR","SCALING_FORMAT=MLN","Sort=A","Dates=H","DateFormat=P","Fill=—","Direction=H","UseDPDF=Y")</f>
        <v>11286</v>
      </c>
      <c r="F29" s="13">
        <f>_xll.BDH("FIS US Equity","BS_OTHER_ASSETS_DEF_CHRG_OTHER","FY 2013","FY 2013","Currency=USD","Period=FY","BEST_FPERIOD_OVERRIDE=FY","FILING_STATUS=MR","SCALING_FORMAT=MLN","Sort=A","Dates=H","DateFormat=P","Fill=—","Direction=H","UseDPDF=Y")</f>
        <v>11169.2</v>
      </c>
      <c r="G29" s="13">
        <f>_xll.BDH("FIS US Equity","BS_OTHER_ASSETS_DEF_CHRG_OTHER","FY 2014","FY 2014","Currency=USD","Period=FY","BEST_FPERIOD_OVERRIDE=FY","FILING_STATUS=MR","SCALING_FORMAT=MLN","Sort=A","Dates=H","DateFormat=P","Fill=—","Direction=H","UseDPDF=Y")</f>
        <v>11564.1</v>
      </c>
      <c r="H29" s="13">
        <f>_xll.BDH("FIS US Equity","BS_OTHER_ASSETS_DEF_CHRG_OTHER","FY 2015","FY 2015","Currency=USD","Period=FY","BEST_FPERIOD_OVERRIDE=FY","FILING_STATUS=MR","SCALING_FORMAT=MLN","Sort=A","Dates=H","DateFormat=P","Fill=—","Direction=H","UseDPDF=Y")</f>
        <v>22080</v>
      </c>
      <c r="I29" s="13">
        <f>_xll.BDH("FIS US Equity","BS_OTHER_ASSETS_DEF_CHRG_OTHER","FY 2016","FY 2016","Currency=USD","Period=FY","BEST_FPERIOD_OVERRIDE=FY","FILING_STATUS=MR","SCALING_FORMAT=MLN","Sort=A","Dates=H","DateFormat=P","Fill=—","Direction=H","UseDPDF=Y")</f>
        <v>21123</v>
      </c>
      <c r="J29" s="13">
        <f>_xll.BDH("FIS US Equity","BS_OTHER_ASSETS_DEF_CHRG_OTHER","FY 2017","FY 2017","Currency=USD","Period=FY","BEST_FPERIOD_OVERRIDE=FY","FILING_STATUS=MR","SCALING_FORMAT=MLN","Sort=A","Dates=H","DateFormat=P","Fill=—","Direction=H","UseDPDF=Y")</f>
        <v>20228</v>
      </c>
      <c r="K29" s="13">
        <f>_xll.BDH("FIS US Equity","BS_OTHER_ASSETS_DEF_CHRG_OTHER","FY 2018","FY 2018","Currency=USD","Period=FY","BEST_FPERIOD_OVERRIDE=FY","FILING_STATUS=MR","SCALING_FORMAT=MLN","Sort=A","Dates=H","DateFormat=P","Fill=—","Direction=H","UseDPDF=Y")</f>
        <v>19450</v>
      </c>
      <c r="L29" s="13">
        <f>_xll.BDH("FIS US Equity","BS_OTHER_ASSETS_DEF_CHRG_OTHER","FY 2019","FY 2019","Currency=USD","Period=FY","BEST_FPERIOD_OVERRIDE=FY","FILING_STATUS=MR","SCALING_FORMAT=MLN","Sort=A","Dates=H","DateFormat=P","Fill=—","Direction=H","UseDPDF=Y")</f>
        <v>73650</v>
      </c>
    </row>
    <row r="30" spans="1:12" x14ac:dyDescent="0.45">
      <c r="A30" s="10" t="s">
        <v>72</v>
      </c>
      <c r="B30" s="10" t="s">
        <v>73</v>
      </c>
      <c r="C30" s="13">
        <f>_xll.BDH("FIS US Equity","BS_DISCLOSED_INTANGIBLES","FY 2010","FY 2010","Currency=USD","Period=FY","BEST_FPERIOD_OVERRIDE=FY","FILING_STATUS=MR","SCALING_FORMAT=MLN","Sort=A","Dates=H","DateFormat=P","Fill=—","Direction=H","UseDPDF=Y")</f>
        <v>11916.1</v>
      </c>
      <c r="D30" s="13">
        <f>_xll.BDH("FIS US Equity","BS_DISCLOSED_INTANGIBLES","FY 2011","FY 2011","Currency=USD","Period=FY","BEST_FPERIOD_OVERRIDE=FY","FILING_STATUS=MR","SCALING_FORMAT=MLN","Sort=A","Dates=H","DateFormat=P","Fill=—","Direction=H","UseDPDF=Y")</f>
        <v>11560.3</v>
      </c>
      <c r="E30" s="13">
        <f>_xll.BDH("FIS US Equity","BS_DISCLOSED_INTANGIBLES","FY 2012","FY 2012","Currency=USD","Period=FY","BEST_FPERIOD_OVERRIDE=FY","FILING_STATUS=MR","SCALING_FORMAT=MLN","Sort=A","Dates=H","DateFormat=P","Fill=—","Direction=H","UseDPDF=Y")</f>
        <v>11015.9</v>
      </c>
      <c r="F30" s="13">
        <f>_xll.BDH("FIS US Equity","BS_DISCLOSED_INTANGIBLES","FY 2013","FY 2013","Currency=USD","Period=FY","BEST_FPERIOD_OVERRIDE=FY","FILING_STATUS=MR","SCALING_FORMAT=MLN","Sort=A","Dates=H","DateFormat=P","Fill=—","Direction=H","UseDPDF=Y")</f>
        <v>10902.6</v>
      </c>
      <c r="G30" s="13">
        <f>_xll.BDH("FIS US Equity","BS_DISCLOSED_INTANGIBLES","FY 2014","FY 2014","Currency=USD","Period=FY","BEST_FPERIOD_OVERRIDE=FY","FILING_STATUS=MR","SCALING_FORMAT=MLN","Sort=A","Dates=H","DateFormat=P","Fill=—","Direction=H","UseDPDF=Y")</f>
        <v>11252.2</v>
      </c>
      <c r="H30" s="13">
        <f>_xll.BDH("FIS US Equity","BS_DISCLOSED_INTANGIBLES","FY 2015","FY 2015","Currency=USD","Period=FY","BEST_FPERIOD_OVERRIDE=FY","FILING_STATUS=MR","SCALING_FORMAT=MLN","Sort=A","Dates=H","DateFormat=P","Fill=—","Direction=H","UseDPDF=Y")</f>
        <v>21741</v>
      </c>
      <c r="I30" s="13">
        <f>_xll.BDH("FIS US Equity","BS_DISCLOSED_INTANGIBLES","FY 2016","FY 2016","Currency=USD","Period=FY","BEST_FPERIOD_OVERRIDE=FY","FILING_STATUS=MR","SCALING_FORMAT=MLN","Sort=A","Dates=H","DateFormat=P","Fill=—","Direction=H","UseDPDF=Y")</f>
        <v>20760</v>
      </c>
      <c r="J30" s="13">
        <f>_xll.BDH("FIS US Equity","BS_DISCLOSED_INTANGIBLES","FY 2017","FY 2017","Currency=USD","Period=FY","BEST_FPERIOD_OVERRIDE=FY","FILING_STATUS=MR","SCALING_FORMAT=MLN","Sort=A","Dates=H","DateFormat=P","Fill=—","Direction=H","UseDPDF=Y")</f>
        <v>19697</v>
      </c>
      <c r="K30" s="13">
        <f>_xll.BDH("FIS US Equity","BS_DISCLOSED_INTANGIBLES","FY 2018","FY 2018","Currency=USD","Period=FY","BEST_FPERIOD_OVERRIDE=FY","FILING_STATUS=MR","SCALING_FORMAT=MLN","Sort=A","Dates=H","DateFormat=P","Fill=—","Direction=H","UseDPDF=Y")</f>
        <v>18947</v>
      </c>
      <c r="L30" s="13">
        <f>_xll.BDH("FIS US Equity","BS_DISCLOSED_INTANGIBLES","FY 2019","FY 2019","Currency=USD","Period=FY","BEST_FPERIOD_OVERRIDE=FY","FILING_STATUS=MR","SCALING_FORMAT=MLN","Sort=A","Dates=H","DateFormat=P","Fill=—","Direction=H","UseDPDF=Y")</f>
        <v>71911</v>
      </c>
    </row>
    <row r="31" spans="1:12" x14ac:dyDescent="0.45">
      <c r="A31" s="11" t="s">
        <v>74</v>
      </c>
      <c r="B31" s="11" t="s">
        <v>75</v>
      </c>
      <c r="C31" s="17">
        <f>_xll.BDH("FIS US Equity","BS_GOODWILL","FY 2010","FY 2010","Currency=USD","Period=FY","BEST_FPERIOD_OVERRIDE=FY","FILING_STATUS=MR","SCALING_FORMAT=MLN","Sort=A","Dates=H","DateFormat=P","Fill=—","Direction=H","UseDPDF=Y")</f>
        <v>8550</v>
      </c>
      <c r="D31" s="17">
        <f>_xll.BDH("FIS US Equity","BS_GOODWILL","FY 2011","FY 2011","Currency=USD","Period=FY","BEST_FPERIOD_OVERRIDE=FY","FILING_STATUS=MR","SCALING_FORMAT=MLN","Sort=A","Dates=H","DateFormat=P","Fill=—","Direction=H","UseDPDF=Y")</f>
        <v>8542.7999999999993</v>
      </c>
      <c r="E31" s="17">
        <f>_xll.BDH("FIS US Equity","BS_GOODWILL","FY 2012","FY 2012","Currency=USD","Period=FY","BEST_FPERIOD_OVERRIDE=FY","FILING_STATUS=MR","SCALING_FORMAT=MLN","Sort=A","Dates=H","DateFormat=P","Fill=—","Direction=H","UseDPDF=Y")</f>
        <v>8381.5</v>
      </c>
      <c r="F31" s="17">
        <f>_xll.BDH("FIS US Equity","BS_GOODWILL","FY 2013","FY 2013","Currency=USD","Period=FY","BEST_FPERIOD_OVERRIDE=FY","FILING_STATUS=MR","SCALING_FORMAT=MLN","Sort=A","Dates=H","DateFormat=P","Fill=—","Direction=H","UseDPDF=Y")</f>
        <v>8500</v>
      </c>
      <c r="G31" s="17">
        <f>_xll.BDH("FIS US Equity","BS_GOODWILL","FY 2014","FY 2014","Currency=USD","Period=FY","BEST_FPERIOD_OVERRIDE=FY","FILING_STATUS=MR","SCALING_FORMAT=MLN","Sort=A","Dates=H","DateFormat=P","Fill=—","Direction=H","UseDPDF=Y")</f>
        <v>8877.6</v>
      </c>
      <c r="H31" s="17">
        <f>_xll.BDH("FIS US Equity","BS_GOODWILL","FY 2015","FY 2015","Currency=USD","Period=FY","BEST_FPERIOD_OVERRIDE=FY","FILING_STATUS=MR","SCALING_FORMAT=MLN","Sort=A","Dates=H","DateFormat=P","Fill=—","Direction=H","UseDPDF=Y")</f>
        <v>14745</v>
      </c>
      <c r="I31" s="17">
        <f>_xll.BDH("FIS US Equity","BS_GOODWILL","FY 2016","FY 2016","Currency=USD","Period=FY","BEST_FPERIOD_OVERRIDE=FY","FILING_STATUS=MR","SCALING_FORMAT=MLN","Sort=A","Dates=H","DateFormat=P","Fill=—","Direction=H","UseDPDF=Y")</f>
        <v>14178</v>
      </c>
      <c r="J31" s="17">
        <f>_xll.BDH("FIS US Equity","BS_GOODWILL","FY 2017","FY 2017","Currency=USD","Period=FY","BEST_FPERIOD_OVERRIDE=FY","FILING_STATUS=MR","SCALING_FORMAT=MLN","Sort=A","Dates=H","DateFormat=P","Fill=—","Direction=H","UseDPDF=Y")</f>
        <v>13730</v>
      </c>
      <c r="K31" s="17">
        <f>_xll.BDH("FIS US Equity","BS_GOODWILL","FY 2018","FY 2018","Currency=USD","Period=FY","BEST_FPERIOD_OVERRIDE=FY","FILING_STATUS=MR","SCALING_FORMAT=MLN","Sort=A","Dates=H","DateFormat=P","Fill=—","Direction=H","UseDPDF=Y")</f>
        <v>13545</v>
      </c>
      <c r="L31" s="17">
        <f>_xll.BDH("FIS US Equity","BS_GOODWILL","FY 2019","FY 2019","Currency=USD","Period=FY","BEST_FPERIOD_OVERRIDE=FY","FILING_STATUS=MR","SCALING_FORMAT=MLN","Sort=A","Dates=H","DateFormat=P","Fill=—","Direction=H","UseDPDF=Y")</f>
        <v>52242</v>
      </c>
    </row>
    <row r="32" spans="1:12" x14ac:dyDescent="0.45">
      <c r="A32" s="11" t="s">
        <v>76</v>
      </c>
      <c r="B32" s="11" t="s">
        <v>77</v>
      </c>
      <c r="C32" s="17">
        <f>_xll.BDH("FIS US Equity","OTHER_INTANGIBLE_ASSETS_DETAILED","FY 2010","FY 2010","Currency=USD","Period=FY","BEST_FPERIOD_OVERRIDE=FY","FILING_STATUS=MR","SCALING_FORMAT=MLN","Sort=A","Dates=H","DateFormat=P","Fill=—","Direction=H","UseDPDF=Y")</f>
        <v>3366.1</v>
      </c>
      <c r="D32" s="17">
        <f>_xll.BDH("FIS US Equity","OTHER_INTANGIBLE_ASSETS_DETAILED","FY 2011","FY 2011","Currency=USD","Period=FY","BEST_FPERIOD_OVERRIDE=FY","FILING_STATUS=MR","SCALING_FORMAT=MLN","Sort=A","Dates=H","DateFormat=P","Fill=—","Direction=H","UseDPDF=Y")</f>
        <v>3017.5</v>
      </c>
      <c r="E32" s="17">
        <f>_xll.BDH("FIS US Equity","OTHER_INTANGIBLE_ASSETS_DETAILED","FY 2012","FY 2012","Currency=USD","Period=FY","BEST_FPERIOD_OVERRIDE=FY","FILING_STATUS=MR","SCALING_FORMAT=MLN","Sort=A","Dates=H","DateFormat=P","Fill=—","Direction=H","UseDPDF=Y")</f>
        <v>2634.4</v>
      </c>
      <c r="F32" s="17">
        <f>_xll.BDH("FIS US Equity","OTHER_INTANGIBLE_ASSETS_DETAILED","FY 2013","FY 2013","Currency=USD","Period=FY","BEST_FPERIOD_OVERRIDE=FY","FILING_STATUS=MR","SCALING_FORMAT=MLN","Sort=A","Dates=H","DateFormat=P","Fill=—","Direction=H","UseDPDF=Y")</f>
        <v>2402.6</v>
      </c>
      <c r="G32" s="17">
        <f>_xll.BDH("FIS US Equity","OTHER_INTANGIBLE_ASSETS_DETAILED","FY 2014","FY 2014","Currency=USD","Period=FY","BEST_FPERIOD_OVERRIDE=FY","FILING_STATUS=MR","SCALING_FORMAT=MLN","Sort=A","Dates=H","DateFormat=P","Fill=—","Direction=H","UseDPDF=Y")</f>
        <v>2374.6</v>
      </c>
      <c r="H32" s="17">
        <f>_xll.BDH("FIS US Equity","OTHER_INTANGIBLE_ASSETS_DETAILED","FY 2015","FY 2015","Currency=USD","Period=FY","BEST_FPERIOD_OVERRIDE=FY","FILING_STATUS=MR","SCALING_FORMAT=MLN","Sort=A","Dates=H","DateFormat=P","Fill=—","Direction=H","UseDPDF=Y")</f>
        <v>6996</v>
      </c>
      <c r="I32" s="17">
        <f>_xll.BDH("FIS US Equity","OTHER_INTANGIBLE_ASSETS_DETAILED","FY 2016","FY 2016","Currency=USD","Period=FY","BEST_FPERIOD_OVERRIDE=FY","FILING_STATUS=MR","SCALING_FORMAT=MLN","Sort=A","Dates=H","DateFormat=P","Fill=—","Direction=H","UseDPDF=Y")</f>
        <v>6582</v>
      </c>
      <c r="J32" s="17">
        <f>_xll.BDH("FIS US Equity","OTHER_INTANGIBLE_ASSETS_DETAILED","FY 2017","FY 2017","Currency=USD","Period=FY","BEST_FPERIOD_OVERRIDE=FY","FILING_STATUS=MR","SCALING_FORMAT=MLN","Sort=A","Dates=H","DateFormat=P","Fill=—","Direction=H","UseDPDF=Y")</f>
        <v>5967</v>
      </c>
      <c r="K32" s="17">
        <f>_xll.BDH("FIS US Equity","OTHER_INTANGIBLE_ASSETS_DETAILED","FY 2018","FY 2018","Currency=USD","Period=FY","BEST_FPERIOD_OVERRIDE=FY","FILING_STATUS=MR","SCALING_FORMAT=MLN","Sort=A","Dates=H","DateFormat=P","Fill=—","Direction=H","UseDPDF=Y")</f>
        <v>5402</v>
      </c>
      <c r="L32" s="17">
        <f>_xll.BDH("FIS US Equity","OTHER_INTANGIBLE_ASSETS_DETAILED","FY 2019","FY 2019","Currency=USD","Period=FY","BEST_FPERIOD_OVERRIDE=FY","FILING_STATUS=MR","SCALING_FORMAT=MLN","Sort=A","Dates=H","DateFormat=P","Fill=—","Direction=H","UseDPDF=Y")</f>
        <v>19669</v>
      </c>
    </row>
    <row r="33" spans="1:12" x14ac:dyDescent="0.45">
      <c r="A33" s="10" t="s">
        <v>56</v>
      </c>
      <c r="B33" s="10" t="s">
        <v>78</v>
      </c>
      <c r="C33" s="13" t="str">
        <f>_xll.BDH("FIS US Equity","BS_DEFERRED_TAX_ASSETS_LT","FY 2010","FY 2010","Currency=USD","Period=FY","BEST_FPERIOD_OVERRIDE=FY","FILING_STATUS=MR","SCALING_FORMAT=MLN","Sort=A","Dates=H","DateFormat=P","Fill=—","Direction=H","UseDPDF=Y")</f>
        <v>—</v>
      </c>
      <c r="D33" s="13" t="str">
        <f>_xll.BDH("FIS US Equity","BS_DEFERRED_TAX_ASSETS_LT","FY 2011","FY 2011","Currency=USD","Period=FY","BEST_FPERIOD_OVERRIDE=FY","FILING_STATUS=MR","SCALING_FORMAT=MLN","Sort=A","Dates=H","DateFormat=P","Fill=—","Direction=H","UseDPDF=Y")</f>
        <v>—</v>
      </c>
      <c r="E33" s="13" t="str">
        <f>_xll.BDH("FIS US Equity","BS_DEFERRED_TAX_ASSETS_LT","FY 2012","FY 2012","Currency=USD","Period=FY","BEST_FPERIOD_OVERRIDE=FY","FILING_STATUS=MR","SCALING_FORMAT=MLN","Sort=A","Dates=H","DateFormat=P","Fill=—","Direction=H","UseDPDF=Y")</f>
        <v>—</v>
      </c>
      <c r="F33" s="13" t="str">
        <f>_xll.BDH("FIS US Equity","BS_DEFERRED_TAX_ASSETS_LT","FY 2013","FY 2013","Currency=USD","Period=FY","BEST_FPERIOD_OVERRIDE=FY","FILING_STATUS=MR","SCALING_FORMAT=MLN","Sort=A","Dates=H","DateFormat=P","Fill=—","Direction=H","UseDPDF=Y")</f>
        <v>—</v>
      </c>
      <c r="G33" s="13">
        <f>_xll.BDH("FIS US Equity","BS_DEFERRED_TAX_ASSETS_LT","FY 2014","FY 2014","Currency=USD","Period=FY","BEST_FPERIOD_OVERRIDE=FY","FILING_STATUS=MR","SCALING_FORMAT=MLN","Sort=A","Dates=H","DateFormat=P","Fill=—","Direction=H","UseDPDF=Y")</f>
        <v>9.5</v>
      </c>
      <c r="H33" s="13">
        <f>_xll.BDH("FIS US Equity","BS_DEFERRED_TAX_ASSETS_LT","FY 2015","FY 2015","Currency=USD","Period=FY","BEST_FPERIOD_OVERRIDE=FY","FILING_STATUS=MR","SCALING_FORMAT=MLN","Sort=A","Dates=H","DateFormat=P","Fill=—","Direction=H","UseDPDF=Y")</f>
        <v>22</v>
      </c>
      <c r="I33" s="13">
        <f>_xll.BDH("FIS US Equity","BS_DEFERRED_TAX_ASSETS_LT","FY 2016","FY 2016","Currency=USD","Period=FY","BEST_FPERIOD_OVERRIDE=FY","FILING_STATUS=MR","SCALING_FORMAT=MLN","Sort=A","Dates=H","DateFormat=P","Fill=—","Direction=H","UseDPDF=Y")</f>
        <v>25</v>
      </c>
      <c r="J33" s="13">
        <f>_xll.BDH("FIS US Equity","BS_DEFERRED_TAX_ASSETS_LT","FY 2017","FY 2017","Currency=USD","Period=FY","BEST_FPERIOD_OVERRIDE=FY","FILING_STATUS=MR","SCALING_FORMAT=MLN","Sort=A","Dates=H","DateFormat=P","Fill=—","Direction=H","UseDPDF=Y")</f>
        <v>30</v>
      </c>
      <c r="K33" s="13">
        <f>_xll.BDH("FIS US Equity","BS_DEFERRED_TAX_ASSETS_LT","FY 2018","FY 2018","Currency=USD","Period=FY","BEST_FPERIOD_OVERRIDE=FY","FILING_STATUS=MR","SCALING_FORMAT=MLN","Sort=A","Dates=H","DateFormat=P","Fill=—","Direction=H","UseDPDF=Y")</f>
        <v>32</v>
      </c>
      <c r="L33" s="13">
        <f>_xll.BDH("FIS US Equity","BS_DEFERRED_TAX_ASSETS_LT","FY 2019","FY 2019","Currency=USD","Period=FY","BEST_FPERIOD_OVERRIDE=FY","FILING_STATUS=MR","SCALING_FORMAT=MLN","Sort=A","Dates=H","DateFormat=P","Fill=—","Direction=H","UseDPDF=Y")</f>
        <v>38</v>
      </c>
    </row>
    <row r="34" spans="1:12" x14ac:dyDescent="0.45">
      <c r="A34" s="10" t="s">
        <v>52</v>
      </c>
      <c r="B34" s="10" t="s">
        <v>79</v>
      </c>
      <c r="C34" s="13">
        <f>_xll.BDH("FIS US Equity","BS_DERIV_&amp;_HEDGING_ASSETS_LT","FY 2010","FY 2010","Currency=USD","Period=FY","BEST_FPERIOD_OVERRIDE=FY","FILING_STATUS=MR","SCALING_FORMAT=MLN","Sort=A","Dates=H","DateFormat=P","Fill=—","Direction=H","UseDPDF=Y")</f>
        <v>0</v>
      </c>
      <c r="D34" s="13">
        <f>_xll.BDH("FIS US Equity","BS_DERIV_&amp;_HEDGING_ASSETS_LT","FY 2011","FY 2011","Currency=USD","Period=FY","BEST_FPERIOD_OVERRIDE=FY","FILING_STATUS=MR","SCALING_FORMAT=MLN","Sort=A","Dates=H","DateFormat=P","Fill=—","Direction=H","UseDPDF=Y")</f>
        <v>0</v>
      </c>
      <c r="E34" s="13">
        <f>_xll.BDH("FIS US Equity","BS_DERIV_&amp;_HEDGING_ASSETS_LT","FY 2012","FY 2012","Currency=USD","Period=FY","BEST_FPERIOD_OVERRIDE=FY","FILING_STATUS=MR","SCALING_FORMAT=MLN","Sort=A","Dates=H","DateFormat=P","Fill=—","Direction=H","UseDPDF=Y")</f>
        <v>0</v>
      </c>
      <c r="F34" s="13" t="str">
        <f>_xll.BDH("FIS US Equity","BS_DERIV_&amp;_HEDGING_ASSETS_LT","FY 2013","FY 2013","Currency=USD","Period=FY","BEST_FPERIOD_OVERRIDE=FY","FILING_STATUS=MR","SCALING_FORMAT=MLN","Sort=A","Dates=H","DateFormat=P","Fill=—","Direction=H","UseDPDF=Y")</f>
        <v>—</v>
      </c>
      <c r="G34" s="13">
        <f>_xll.BDH("FIS US Equity","BS_DERIV_&amp;_HEDGING_ASSETS_LT","FY 2014","FY 2014","Currency=USD","Period=FY","BEST_FPERIOD_OVERRIDE=FY","FILING_STATUS=MR","SCALING_FORMAT=MLN","Sort=A","Dates=H","DateFormat=P","Fill=—","Direction=H","UseDPDF=Y")</f>
        <v>0</v>
      </c>
      <c r="H34" s="13">
        <f>_xll.BDH("FIS US Equity","BS_DERIV_&amp;_HEDGING_ASSETS_LT","FY 2015","FY 2015","Currency=USD","Period=FY","BEST_FPERIOD_OVERRIDE=FY","FILING_STATUS=MR","SCALING_FORMAT=MLN","Sort=A","Dates=H","DateFormat=P","Fill=—","Direction=H","UseDPDF=Y")</f>
        <v>1</v>
      </c>
      <c r="I34" s="13" t="str">
        <f>_xll.BDH("FIS US Equity","BS_DERIV_&amp;_HEDGING_ASSETS_LT","FY 2016","FY 2016","Currency=USD","Period=FY","BEST_FPERIOD_OVERRIDE=FY","FILING_STATUS=MR","SCALING_FORMAT=MLN","Sort=A","Dates=H","DateFormat=P","Fill=—","Direction=H","UseDPDF=Y")</f>
        <v>—</v>
      </c>
      <c r="J34" s="13">
        <f>_xll.BDH("FIS US Equity","BS_DERIV_&amp;_HEDGING_ASSETS_LT","FY 2017","FY 2017","Currency=USD","Period=FY","BEST_FPERIOD_OVERRIDE=FY","FILING_STATUS=MR","SCALING_FORMAT=MLN","Sort=A","Dates=H","DateFormat=P","Fill=—","Direction=H","UseDPDF=Y")</f>
        <v>0</v>
      </c>
      <c r="K34" s="13">
        <f>_xll.BDH("FIS US Equity","BS_DERIV_&amp;_HEDGING_ASSETS_LT","FY 2018","FY 2018","Currency=USD","Period=FY","BEST_FPERIOD_OVERRIDE=FY","FILING_STATUS=MR","SCALING_FORMAT=MLN","Sort=A","Dates=H","DateFormat=P","Fill=—","Direction=H","UseDPDF=Y")</f>
        <v>0</v>
      </c>
      <c r="L34" s="13" t="str">
        <f>_xll.BDH("FIS US Equity","BS_DERIV_&amp;_HEDGING_ASSETS_LT","FY 2019","FY 2019","Currency=USD","Period=FY","BEST_FPERIOD_OVERRIDE=FY","FILING_STATUS=MR","SCALING_FORMAT=MLN","Sort=A","Dates=H","DateFormat=P","Fill=—","Direction=H","UseDPDF=Y")</f>
        <v>—</v>
      </c>
    </row>
    <row r="35" spans="1:12" x14ac:dyDescent="0.45">
      <c r="A35" s="10" t="s">
        <v>80</v>
      </c>
      <c r="B35" s="10" t="s">
        <v>81</v>
      </c>
      <c r="C35" s="13">
        <f>_xll.BDH("FIS US Equity","OTHER_NONCURRENT_ASSETS_DETAILED","FY 2010","FY 2010","Currency=USD","Period=FY","BEST_FPERIOD_OVERRIDE=FY","FILING_STATUS=MR","SCALING_FORMAT=MLN","Sort=A","Dates=H","DateFormat=P","Fill=—","Direction=H","UseDPDF=Y")</f>
        <v>197.2</v>
      </c>
      <c r="D35" s="13">
        <f>_xll.BDH("FIS US Equity","OTHER_NONCURRENT_ASSETS_DETAILED","FY 2011","FY 2011","Currency=USD","Period=FY","BEST_FPERIOD_OVERRIDE=FY","FILING_STATUS=MR","SCALING_FORMAT=MLN","Sort=A","Dates=H","DateFormat=P","Fill=—","Direction=H","UseDPDF=Y")</f>
        <v>224.4</v>
      </c>
      <c r="E35" s="13">
        <f>_xll.BDH("FIS US Equity","OTHER_NONCURRENT_ASSETS_DETAILED","FY 2012","FY 2012","Currency=USD","Period=FY","BEST_FPERIOD_OVERRIDE=FY","FILING_STATUS=MR","SCALING_FORMAT=MLN","Sort=A","Dates=H","DateFormat=P","Fill=—","Direction=H","UseDPDF=Y")</f>
        <v>270.10000000000002</v>
      </c>
      <c r="F35" s="13">
        <f>_xll.BDH("FIS US Equity","OTHER_NONCURRENT_ASSETS_DETAILED","FY 2013","FY 2013","Currency=USD","Period=FY","BEST_FPERIOD_OVERRIDE=FY","FILING_STATUS=MR","SCALING_FORMAT=MLN","Sort=A","Dates=H","DateFormat=P","Fill=—","Direction=H","UseDPDF=Y")</f>
        <v>266.60000000000002</v>
      </c>
      <c r="G35" s="13">
        <f>_xll.BDH("FIS US Equity","OTHER_NONCURRENT_ASSETS_DETAILED","FY 2014","FY 2014","Currency=USD","Period=FY","BEST_FPERIOD_OVERRIDE=FY","FILING_STATUS=MR","SCALING_FORMAT=MLN","Sort=A","Dates=H","DateFormat=P","Fill=—","Direction=H","UseDPDF=Y")</f>
        <v>302.39999999999998</v>
      </c>
      <c r="H35" s="13">
        <f>_xll.BDH("FIS US Equity","OTHER_NONCURRENT_ASSETS_DETAILED","FY 2015","FY 2015","Currency=USD","Period=FY","BEST_FPERIOD_OVERRIDE=FY","FILING_STATUS=MR","SCALING_FORMAT=MLN","Sort=A","Dates=H","DateFormat=P","Fill=—","Direction=H","UseDPDF=Y")</f>
        <v>316</v>
      </c>
      <c r="I35" s="13">
        <f>_xll.BDH("FIS US Equity","OTHER_NONCURRENT_ASSETS_DETAILED","FY 2016","FY 2016","Currency=USD","Period=FY","BEST_FPERIOD_OVERRIDE=FY","FILING_STATUS=MR","SCALING_FORMAT=MLN","Sort=A","Dates=H","DateFormat=P","Fill=—","Direction=H","UseDPDF=Y")</f>
        <v>338</v>
      </c>
      <c r="J35" s="13">
        <f>_xll.BDH("FIS US Equity","OTHER_NONCURRENT_ASSETS_DETAILED","FY 2017","FY 2017","Currency=USD","Period=FY","BEST_FPERIOD_OVERRIDE=FY","FILING_STATUS=MR","SCALING_FORMAT=MLN","Sort=A","Dates=H","DateFormat=P","Fill=—","Direction=H","UseDPDF=Y")</f>
        <v>501</v>
      </c>
      <c r="K35" s="13">
        <f>_xll.BDH("FIS US Equity","OTHER_NONCURRENT_ASSETS_DETAILED","FY 2018","FY 2018","Currency=USD","Period=FY","BEST_FPERIOD_OVERRIDE=FY","FILING_STATUS=MR","SCALING_FORMAT=MLN","Sort=A","Dates=H","DateFormat=P","Fill=—","Direction=H","UseDPDF=Y")</f>
        <v>471</v>
      </c>
      <c r="L35" s="13">
        <f>_xll.BDH("FIS US Equity","OTHER_NONCURRENT_ASSETS_DETAILED","FY 2019","FY 2019","Currency=USD","Period=FY","BEST_FPERIOD_OVERRIDE=FY","FILING_STATUS=MR","SCALING_FORMAT=MLN","Sort=A","Dates=H","DateFormat=P","Fill=—","Direction=H","UseDPDF=Y")</f>
        <v>1701</v>
      </c>
    </row>
    <row r="36" spans="1:12" x14ac:dyDescent="0.45">
      <c r="A36" s="6" t="s">
        <v>82</v>
      </c>
      <c r="B36" s="6" t="s">
        <v>83</v>
      </c>
      <c r="C36" s="16">
        <f>_xll.BDH("FIS US Equity","BS_TOT_NON_CUR_ASSET","FY 2010","FY 2010","Currency=USD","Period=FY","BEST_FPERIOD_OVERRIDE=FY","FILING_STATUS=MR","SCALING_FORMAT=MLN","Sort=A","Dates=H","DateFormat=P","Fill=—","Direction=H","UseDPDF=Y")</f>
        <v>12503.3</v>
      </c>
      <c r="D36" s="16">
        <f>_xll.BDH("FIS US Equity","BS_TOT_NON_CUR_ASSET","FY 2011","FY 2011","Currency=USD","Period=FY","BEST_FPERIOD_OVERRIDE=FY","FILING_STATUS=MR","SCALING_FORMAT=MLN","Sort=A","Dates=H","DateFormat=P","Fill=—","Direction=H","UseDPDF=Y")</f>
        <v>12199.2</v>
      </c>
      <c r="E36" s="16">
        <f>_xll.BDH("FIS US Equity","BS_TOT_NON_CUR_ASSET","FY 2012","FY 2012","Currency=USD","Period=FY","BEST_FPERIOD_OVERRIDE=FY","FILING_STATUS=MR","SCALING_FORMAT=MLN","Sort=A","Dates=H","DateFormat=P","Fill=—","Direction=H","UseDPDF=Y")</f>
        <v>11705.5</v>
      </c>
      <c r="F36" s="16">
        <f>_xll.BDH("FIS US Equity","BS_TOT_NON_CUR_ASSET","FY 2013","FY 2013","Currency=USD","Period=FY","BEST_FPERIOD_OVERRIDE=FY","FILING_STATUS=MR","SCALING_FORMAT=MLN","Sort=A","Dates=H","DateFormat=P","Fill=—","Direction=H","UseDPDF=Y")</f>
        <v>11608.2</v>
      </c>
      <c r="G36" s="16">
        <f>_xll.BDH("FIS US Equity","BS_TOT_NON_CUR_ASSET","FY 2014","FY 2014","Currency=USD","Period=FY","BEST_FPERIOD_OVERRIDE=FY","FILING_STATUS=MR","SCALING_FORMAT=MLN","Sort=A","Dates=H","DateFormat=P","Fill=—","Direction=H","UseDPDF=Y")</f>
        <v>12047.4</v>
      </c>
      <c r="H36" s="16">
        <f>_xll.BDH("FIS US Equity","BS_TOT_NON_CUR_ASSET","FY 2015","FY 2015","Currency=USD","Period=FY","BEST_FPERIOD_OVERRIDE=FY","FILING_STATUS=MR","SCALING_FORMAT=MLN","Sort=A","Dates=H","DateFormat=P","Fill=—","Direction=H","UseDPDF=Y")</f>
        <v>22691</v>
      </c>
      <c r="I36" s="16">
        <f>_xll.BDH("FIS US Equity","BS_TOT_NON_CUR_ASSET","FY 2016","FY 2016","Currency=USD","Period=FY","BEST_FPERIOD_OVERRIDE=FY","FILING_STATUS=MR","SCALING_FORMAT=MLN","Sort=A","Dates=H","DateFormat=P","Fill=—","Direction=H","UseDPDF=Y")</f>
        <v>21749</v>
      </c>
      <c r="J36" s="16">
        <f>_xll.BDH("FIS US Equity","BS_TOT_NON_CUR_ASSET","FY 2017","FY 2017","Currency=USD","Period=FY","BEST_FPERIOD_OVERRIDE=FY","FILING_STATUS=MR","SCALING_FORMAT=MLN","Sort=A","Dates=H","DateFormat=P","Fill=—","Direction=H","UseDPDF=Y")</f>
        <v>20838</v>
      </c>
      <c r="K36" s="16">
        <f>_xll.BDH("FIS US Equity","BS_TOT_NON_CUR_ASSET","FY 2018","FY 2018","Currency=USD","Period=FY","BEST_FPERIOD_OVERRIDE=FY","FILING_STATUS=MR","SCALING_FORMAT=MLN","Sort=A","Dates=H","DateFormat=P","Fill=—","Direction=H","UseDPDF=Y")</f>
        <v>20037</v>
      </c>
      <c r="L36" s="16">
        <f>_xll.BDH("FIS US Equity","BS_TOT_NON_CUR_ASSET","FY 2019","FY 2019","Currency=USD","Period=FY","BEST_FPERIOD_OVERRIDE=FY","FILING_STATUS=MR","SCALING_FORMAT=MLN","Sort=A","Dates=H","DateFormat=P","Fill=—","Direction=H","UseDPDF=Y")</f>
        <v>75114</v>
      </c>
    </row>
    <row r="37" spans="1:12" x14ac:dyDescent="0.45">
      <c r="A37" s="6" t="s">
        <v>25</v>
      </c>
      <c r="B37" s="6" t="s">
        <v>84</v>
      </c>
      <c r="C37" s="16">
        <f>_xll.BDH("FIS US Equity","BS_TOT_ASSET","FY 2010","FY 2010","Currency=USD","Period=FY","BEST_FPERIOD_OVERRIDE=FY","FILING_STATUS=MR","SCALING_FORMAT=MLN","Sort=A","Dates=H","DateFormat=P","Fill=—","Direction=H","UseDPDF=Y")</f>
        <v>14176.3</v>
      </c>
      <c r="D37" s="16">
        <f>_xll.BDH("FIS US Equity","BS_TOT_ASSET","FY 2011","FY 2011","Currency=USD","Period=FY","BEST_FPERIOD_OVERRIDE=FY","FILING_STATUS=MR","SCALING_FORMAT=MLN","Sort=A","Dates=H","DateFormat=P","Fill=—","Direction=H","UseDPDF=Y")</f>
        <v>13873.2</v>
      </c>
      <c r="E37" s="16">
        <f>_xll.BDH("FIS US Equity","BS_TOT_ASSET","FY 2012","FY 2012","Currency=USD","Period=FY","BEST_FPERIOD_OVERRIDE=FY","FILING_STATUS=MR","SCALING_FORMAT=MLN","Sort=A","Dates=H","DateFormat=P","Fill=—","Direction=H","UseDPDF=Y")</f>
        <v>13549.7</v>
      </c>
      <c r="F37" s="16">
        <f>_xll.BDH("FIS US Equity","BS_TOT_ASSET","FY 2013","FY 2013","Currency=USD","Period=FY","BEST_FPERIOD_OVERRIDE=FY","FILING_STATUS=MR","SCALING_FORMAT=MLN","Sort=A","Dates=H","DateFormat=P","Fill=—","Direction=H","UseDPDF=Y")</f>
        <v>13960.1</v>
      </c>
      <c r="G37" s="16">
        <f>_xll.BDH("FIS US Equity","BS_TOT_ASSET","FY 2014","FY 2014","Currency=USD","Period=FY","BEST_FPERIOD_OVERRIDE=FY","FILING_STATUS=MR","SCALING_FORMAT=MLN","Sort=A","Dates=H","DateFormat=P","Fill=—","Direction=H","UseDPDF=Y")</f>
        <v>14520.5</v>
      </c>
      <c r="H37" s="16">
        <f>_xll.BDH("FIS US Equity","BS_TOT_ASSET","FY 2015","FY 2015","Currency=USD","Period=FY","BEST_FPERIOD_OVERRIDE=FY","FILING_STATUS=MR","SCALING_FORMAT=MLN","Sort=A","Dates=H","DateFormat=P","Fill=—","Direction=H","UseDPDF=Y")</f>
        <v>26200</v>
      </c>
      <c r="I37" s="16">
        <f>_xll.BDH("FIS US Equity","BS_TOT_ASSET","FY 2016","FY 2016","Currency=USD","Period=FY","BEST_FPERIOD_OVERRIDE=FY","FILING_STATUS=MR","SCALING_FORMAT=MLN","Sort=A","Dates=H","DateFormat=P","Fill=—","Direction=H","UseDPDF=Y")</f>
        <v>26031</v>
      </c>
      <c r="J37" s="16">
        <f>_xll.BDH("FIS US Equity","BS_TOT_ASSET","FY 2017","FY 2017","Currency=USD","Period=FY","BEST_FPERIOD_OVERRIDE=FY","FILING_STATUS=MR","SCALING_FORMAT=MLN","Sort=A","Dates=H","DateFormat=P","Fill=—","Direction=H","UseDPDF=Y")</f>
        <v>24526</v>
      </c>
      <c r="K37" s="16">
        <f>_xll.BDH("FIS US Equity","BS_TOT_ASSET","FY 2018","FY 2018","Currency=USD","Period=FY","BEST_FPERIOD_OVERRIDE=FY","FILING_STATUS=MR","SCALING_FORMAT=MLN","Sort=A","Dates=H","DateFormat=P","Fill=—","Direction=H","UseDPDF=Y")</f>
        <v>23770</v>
      </c>
      <c r="L37" s="16">
        <f>_xll.BDH("FIS US Equity","BS_TOT_ASSET","FY 2019","FY 2019","Currency=USD","Period=FY","BEST_FPERIOD_OVERRIDE=FY","FILING_STATUS=MR","SCALING_FORMAT=MLN","Sort=A","Dates=H","DateFormat=P","Fill=—","Direction=H","UseDPDF=Y")</f>
        <v>83806</v>
      </c>
    </row>
    <row r="38" spans="1:12" x14ac:dyDescent="0.45">
      <c r="A38" s="6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</row>
    <row r="39" spans="1:12" x14ac:dyDescent="0.45">
      <c r="A39" s="6" t="s">
        <v>85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  <row r="40" spans="1:12" x14ac:dyDescent="0.45">
      <c r="A40" s="10" t="s">
        <v>86</v>
      </c>
      <c r="B40" s="10" t="s">
        <v>87</v>
      </c>
      <c r="C40" s="13">
        <f>_xll.BDH("FIS US Equity","ACCT_PAYABLE_&amp;_ACCRUALS_DETAILED","FY 2010","FY 2010","Currency=USD","Period=FY","BEST_FPERIOD_OVERRIDE=FY","FILING_STATUS=MR","SCALING_FORMAT=MLN","Sort=A","Dates=H","DateFormat=P","Fill=—","Direction=H","UseDPDF=Y")</f>
        <v>591.79999999999995</v>
      </c>
      <c r="D40" s="13">
        <f>_xll.BDH("FIS US Equity","ACCT_PAYABLE_&amp;_ACCRUALS_DETAILED","FY 2011","FY 2011","Currency=USD","Period=FY","BEST_FPERIOD_OVERRIDE=FY","FILING_STATUS=MR","SCALING_FORMAT=MLN","Sort=A","Dates=H","DateFormat=P","Fill=—","Direction=H","UseDPDF=Y")</f>
        <v>642.9</v>
      </c>
      <c r="E40" s="13">
        <f>_xll.BDH("FIS US Equity","ACCT_PAYABLE_&amp;_ACCRUALS_DETAILED","FY 2012","FY 2012","Currency=USD","Period=FY","BEST_FPERIOD_OVERRIDE=FY","FILING_STATUS=MR","SCALING_FORMAT=MLN","Sort=A","Dates=H","DateFormat=P","Fill=—","Direction=H","UseDPDF=Y")</f>
        <v>624.6</v>
      </c>
      <c r="F40" s="13">
        <f>_xll.BDH("FIS US Equity","ACCT_PAYABLE_&amp;_ACCRUALS_DETAILED","FY 2013","FY 2013","Currency=USD","Period=FY","BEST_FPERIOD_OVERRIDE=FY","FILING_STATUS=MR","SCALING_FORMAT=MLN","Sort=A","Dates=H","DateFormat=P","Fill=—","Direction=H","UseDPDF=Y")</f>
        <v>768</v>
      </c>
      <c r="G40" s="13">
        <f>_xll.BDH("FIS US Equity","ACCT_PAYABLE_&amp;_ACCRUALS_DETAILED","FY 2014","FY 2014","Currency=USD","Period=FY","BEST_FPERIOD_OVERRIDE=FY","FILING_STATUS=MR","SCALING_FORMAT=MLN","Sort=A","Dates=H","DateFormat=P","Fill=—","Direction=H","UseDPDF=Y")</f>
        <v>730.3</v>
      </c>
      <c r="H40" s="13">
        <f>_xll.BDH("FIS US Equity","ACCT_PAYABLE_&amp;_ACCRUALS_DETAILED","FY 2015","FY 2015","Currency=USD","Period=FY","BEST_FPERIOD_OVERRIDE=FY","FILING_STATUS=MR","SCALING_FORMAT=MLN","Sort=A","Dates=H","DateFormat=P","Fill=—","Direction=H","UseDPDF=Y")</f>
        <v>1196</v>
      </c>
      <c r="I40" s="13">
        <f>_xll.BDH("FIS US Equity","ACCT_PAYABLE_&amp;_ACCRUALS_DETAILED","FY 2016","FY 2016","Currency=USD","Period=FY","BEST_FPERIOD_OVERRIDE=FY","FILING_STATUS=MR","SCALING_FORMAT=MLN","Sort=A","Dates=H","DateFormat=P","Fill=—","Direction=H","UseDPDF=Y")</f>
        <v>1146</v>
      </c>
      <c r="J40" s="13">
        <f>_xll.BDH("FIS US Equity","ACCT_PAYABLE_&amp;_ACCRUALS_DETAILED","FY 2017","FY 2017","Currency=USD","Period=FY","BEST_FPERIOD_OVERRIDE=FY","FILING_STATUS=MR","SCALING_FORMAT=MLN","Sort=A","Dates=H","DateFormat=P","Fill=—","Direction=H","UseDPDF=Y")</f>
        <v>1241</v>
      </c>
      <c r="K40" s="13">
        <f>_xll.BDH("FIS US Equity","ACCT_PAYABLE_&amp;_ACCRUALS_DETAILED","FY 2018","FY 2018","Currency=USD","Period=FY","BEST_FPERIOD_OVERRIDE=FY","FILING_STATUS=MR","SCALING_FORMAT=MLN","Sort=A","Dates=H","DateFormat=P","Fill=—","Direction=H","UseDPDF=Y")</f>
        <v>1099</v>
      </c>
      <c r="L40" s="13">
        <f>_xll.BDH("FIS US Equity","ACCT_PAYABLE_&amp;_ACCRUALS_DETAILED","FY 2019","FY 2019","Currency=USD","Period=FY","BEST_FPERIOD_OVERRIDE=FY","FILING_STATUS=MR","SCALING_FORMAT=MLN","Sort=A","Dates=H","DateFormat=P","Fill=—","Direction=H","UseDPDF=Y")</f>
        <v>2245</v>
      </c>
    </row>
    <row r="41" spans="1:12" x14ac:dyDescent="0.45">
      <c r="A41" s="10" t="s">
        <v>88</v>
      </c>
      <c r="B41" s="10" t="s">
        <v>89</v>
      </c>
      <c r="C41" s="13">
        <f>_xll.BDH("FIS US Equity","BS_ACCT_PAYABLE","FY 2010","FY 2010","Currency=USD","Period=FY","BEST_FPERIOD_OVERRIDE=FY","FILING_STATUS=MR","SCALING_FORMAT=MLN","Sort=A","Dates=H","DateFormat=P","Fill=—","Direction=H","UseDPDF=Y")</f>
        <v>119</v>
      </c>
      <c r="D41" s="13">
        <f>_xll.BDH("FIS US Equity","BS_ACCT_PAYABLE","FY 2011","FY 2011","Currency=USD","Period=FY","BEST_FPERIOD_OVERRIDE=FY","FILING_STATUS=MR","SCALING_FORMAT=MLN","Sort=A","Dates=H","DateFormat=P","Fill=—","Direction=H","UseDPDF=Y")</f>
        <v>100.6</v>
      </c>
      <c r="E41" s="13">
        <f>_xll.BDH("FIS US Equity","BS_ACCT_PAYABLE","FY 2012","FY 2012","Currency=USD","Period=FY","BEST_FPERIOD_OVERRIDE=FY","FILING_STATUS=MR","SCALING_FORMAT=MLN","Sort=A","Dates=H","DateFormat=P","Fill=—","Direction=H","UseDPDF=Y")</f>
        <v>93.4</v>
      </c>
      <c r="F41" s="13">
        <f>_xll.BDH("FIS US Equity","BS_ACCT_PAYABLE","FY 2013","FY 2013","Currency=USD","Period=FY","BEST_FPERIOD_OVERRIDE=FY","FILING_STATUS=MR","SCALING_FORMAT=MLN","Sort=A","Dates=H","DateFormat=P","Fill=—","Direction=H","UseDPDF=Y")</f>
        <v>147</v>
      </c>
      <c r="G41" s="13">
        <f>_xll.BDH("FIS US Equity","BS_ACCT_PAYABLE","FY 2014","FY 2014","Currency=USD","Period=FY","BEST_FPERIOD_OVERRIDE=FY","FILING_STATUS=MR","SCALING_FORMAT=MLN","Sort=A","Dates=H","DateFormat=P","Fill=—","Direction=H","UseDPDF=Y")</f>
        <v>186.8</v>
      </c>
      <c r="H41" s="13">
        <f>_xll.BDH("FIS US Equity","BS_ACCT_PAYABLE","FY 2015","FY 2015","Currency=USD","Period=FY","BEST_FPERIOD_OVERRIDE=FY","FILING_STATUS=MR","SCALING_FORMAT=MLN","Sort=A","Dates=H","DateFormat=P","Fill=—","Direction=H","UseDPDF=Y")</f>
        <v>564</v>
      </c>
      <c r="I41" s="13">
        <f>_xll.BDH("FIS US Equity","BS_ACCT_PAYABLE","FY 2016","FY 2016","Currency=USD","Period=FY","BEST_FPERIOD_OVERRIDE=FY","FILING_STATUS=MR","SCALING_FORMAT=MLN","Sort=A","Dates=H","DateFormat=P","Fill=—","Direction=H","UseDPDF=Y")</f>
        <v>512</v>
      </c>
      <c r="J41" s="13">
        <f>_xll.BDH("FIS US Equity","BS_ACCT_PAYABLE","FY 2017","FY 2017","Currency=USD","Period=FY","BEST_FPERIOD_OVERRIDE=FY","FILING_STATUS=MR","SCALING_FORMAT=MLN","Sort=A","Dates=H","DateFormat=P","Fill=—","Direction=H","UseDPDF=Y")</f>
        <v>776</v>
      </c>
      <c r="K41" s="13">
        <f>_xll.BDH("FIS US Equity","BS_ACCT_PAYABLE","FY 2018","FY 2018","Currency=USD","Period=FY","BEST_FPERIOD_OVERRIDE=FY","FILING_STATUS=MR","SCALING_FORMAT=MLN","Sort=A","Dates=H","DateFormat=P","Fill=—","Direction=H","UseDPDF=Y")</f>
        <v>687</v>
      </c>
      <c r="L41" s="13">
        <f>_xll.BDH("FIS US Equity","BS_ACCT_PAYABLE","FY 2019","FY 2019","Currency=USD","Period=FY","BEST_FPERIOD_OVERRIDE=FY","FILING_STATUS=MR","SCALING_FORMAT=MLN","Sort=A","Dates=H","DateFormat=P","Fill=—","Direction=H","UseDPDF=Y")</f>
        <v>1386</v>
      </c>
    </row>
    <row r="42" spans="1:12" x14ac:dyDescent="0.45">
      <c r="A42" s="10" t="s">
        <v>90</v>
      </c>
      <c r="B42" s="10" t="s">
        <v>91</v>
      </c>
      <c r="C42" s="13">
        <f>_xll.BDH("FIS US Equity","BS_TAXES_PAYABLE","FY 2010","FY 2010","Currency=USD","Period=FY","BEST_FPERIOD_OVERRIDE=FY","FILING_STATUS=MR","SCALING_FORMAT=MLN","Sort=A","Dates=H","DateFormat=P","Fill=—","Direction=H","UseDPDF=Y")</f>
        <v>0</v>
      </c>
      <c r="D42" s="13">
        <f>_xll.BDH("FIS US Equity","BS_TAXES_PAYABLE","FY 2011","FY 2011","Currency=USD","Period=FY","BEST_FPERIOD_OVERRIDE=FY","FILING_STATUS=MR","SCALING_FORMAT=MLN","Sort=A","Dates=H","DateFormat=P","Fill=—","Direction=H","UseDPDF=Y")</f>
        <v>0</v>
      </c>
      <c r="E42" s="13">
        <f>_xll.BDH("FIS US Equity","BS_TAXES_PAYABLE","FY 2012","FY 2012","Currency=USD","Period=FY","BEST_FPERIOD_OVERRIDE=FY","FILING_STATUS=MR","SCALING_FORMAT=MLN","Sort=A","Dates=H","DateFormat=P","Fill=—","Direction=H","UseDPDF=Y")</f>
        <v>0</v>
      </c>
      <c r="F42" s="13">
        <f>_xll.BDH("FIS US Equity","BS_TAXES_PAYABLE","FY 2013","FY 2013","Currency=USD","Period=FY","BEST_FPERIOD_OVERRIDE=FY","FILING_STATUS=MR","SCALING_FORMAT=MLN","Sort=A","Dates=H","DateFormat=P","Fill=—","Direction=H","UseDPDF=Y")</f>
        <v>0</v>
      </c>
      <c r="G42" s="13">
        <f>_xll.BDH("FIS US Equity","BS_TAXES_PAYABLE","FY 2014","FY 2014","Currency=USD","Period=FY","BEST_FPERIOD_OVERRIDE=FY","FILING_STATUS=MR","SCALING_FORMAT=MLN","Sort=A","Dates=H","DateFormat=P","Fill=—","Direction=H","UseDPDF=Y")</f>
        <v>0</v>
      </c>
      <c r="H42" s="13">
        <f>_xll.BDH("FIS US Equity","BS_TAXES_PAYABLE","FY 2015","FY 2015","Currency=USD","Period=FY","BEST_FPERIOD_OVERRIDE=FY","FILING_STATUS=MR","SCALING_FORMAT=MLN","Sort=A","Dates=H","DateFormat=P","Fill=—","Direction=H","UseDPDF=Y")</f>
        <v>0</v>
      </c>
      <c r="I42" s="13" t="str">
        <f>_xll.BDH("FIS US Equity","BS_TAXES_PAYABLE","FY 2016","FY 2016","Currency=USD","Period=FY","BEST_FPERIOD_OVERRIDE=FY","FILING_STATUS=MR","SCALING_FORMAT=MLN","Sort=A","Dates=H","DateFormat=P","Fill=—","Direction=H","UseDPDF=Y")</f>
        <v>—</v>
      </c>
      <c r="J42" s="13">
        <f>_xll.BDH("FIS US Equity","BS_TAXES_PAYABLE","FY 2017","FY 2017","Currency=USD","Period=FY","BEST_FPERIOD_OVERRIDE=FY","FILING_STATUS=MR","SCALING_FORMAT=MLN","Sort=A","Dates=H","DateFormat=P","Fill=—","Direction=H","UseDPDF=Y")</f>
        <v>0</v>
      </c>
      <c r="K42" s="13" t="str">
        <f>_xll.BDH("FIS US Equity","BS_TAXES_PAYABLE","FY 2018","FY 2018","Currency=USD","Period=FY","BEST_FPERIOD_OVERRIDE=FY","FILING_STATUS=MR","SCALING_FORMAT=MLN","Sort=A","Dates=H","DateFormat=P","Fill=—","Direction=H","UseDPDF=Y")</f>
        <v>—</v>
      </c>
      <c r="L42" s="13" t="str">
        <f>_xll.BDH("FIS US Equity","BS_TAXES_PAYABLE","FY 2019","FY 2019","Currency=USD","Period=FY","BEST_FPERIOD_OVERRIDE=FY","FILING_STATUS=MR","SCALING_FORMAT=MLN","Sort=A","Dates=H","DateFormat=P","Fill=—","Direction=H","UseDPDF=Y")</f>
        <v>—</v>
      </c>
    </row>
    <row r="43" spans="1:12" x14ac:dyDescent="0.45">
      <c r="A43" s="10" t="s">
        <v>92</v>
      </c>
      <c r="B43" s="10" t="s">
        <v>93</v>
      </c>
      <c r="C43" s="13">
        <f>_xll.BDH("FIS US Equity","BS_INTEREST_&amp;_DIVIDENDS_PAYABLE","FY 2010","FY 2010","Currency=USD","Period=FY","BEST_FPERIOD_OVERRIDE=FY","FILING_STATUS=MR","SCALING_FORMAT=MLN","Sort=A","Dates=H","DateFormat=P","Fill=—","Direction=H","UseDPDF=Y")</f>
        <v>0</v>
      </c>
      <c r="D43" s="13">
        <f>_xll.BDH("FIS US Equity","BS_INTEREST_&amp;_DIVIDENDS_PAYABLE","FY 2011","FY 2011","Currency=USD","Period=FY","BEST_FPERIOD_OVERRIDE=FY","FILING_STATUS=MR","SCALING_FORMAT=MLN","Sort=A","Dates=H","DateFormat=P","Fill=—","Direction=H","UseDPDF=Y")</f>
        <v>0</v>
      </c>
      <c r="E43" s="13">
        <f>_xll.BDH("FIS US Equity","BS_INTEREST_&amp;_DIVIDENDS_PAYABLE","FY 2012","FY 2012","Currency=USD","Period=FY","BEST_FPERIOD_OVERRIDE=FY","FILING_STATUS=MR","SCALING_FORMAT=MLN","Sort=A","Dates=H","DateFormat=P","Fill=—","Direction=H","UseDPDF=Y")</f>
        <v>0</v>
      </c>
      <c r="F43" s="13">
        <f>_xll.BDH("FIS US Equity","BS_INTEREST_&amp;_DIVIDENDS_PAYABLE","FY 2013","FY 2013","Currency=USD","Period=FY","BEST_FPERIOD_OVERRIDE=FY","FILING_STATUS=MR","SCALING_FORMAT=MLN","Sort=A","Dates=H","DateFormat=P","Fill=—","Direction=H","UseDPDF=Y")</f>
        <v>0</v>
      </c>
      <c r="G43" s="13">
        <f>_xll.BDH("FIS US Equity","BS_INTEREST_&amp;_DIVIDENDS_PAYABLE","FY 2014","FY 2014","Currency=USD","Period=FY","BEST_FPERIOD_OVERRIDE=FY","FILING_STATUS=MR","SCALING_FORMAT=MLN","Sort=A","Dates=H","DateFormat=P","Fill=—","Direction=H","UseDPDF=Y")</f>
        <v>0</v>
      </c>
      <c r="H43" s="13">
        <f>_xll.BDH("FIS US Equity","BS_INTEREST_&amp;_DIVIDENDS_PAYABLE","FY 2015","FY 2015","Currency=USD","Period=FY","BEST_FPERIOD_OVERRIDE=FY","FILING_STATUS=MR","SCALING_FORMAT=MLN","Sort=A","Dates=H","DateFormat=P","Fill=—","Direction=H","UseDPDF=Y")</f>
        <v>0</v>
      </c>
      <c r="I43" s="13" t="str">
        <f>_xll.BDH("FIS US Equity","BS_INTEREST_&amp;_DIVIDENDS_PAYABLE","FY 2016","FY 2016","Currency=USD","Period=FY","BEST_FPERIOD_OVERRIDE=FY","FILING_STATUS=MR","SCALING_FORMAT=MLN","Sort=A","Dates=H","DateFormat=P","Fill=—","Direction=H","UseDPDF=Y")</f>
        <v>—</v>
      </c>
      <c r="J43" s="13">
        <f>_xll.BDH("FIS US Equity","BS_INTEREST_&amp;_DIVIDENDS_PAYABLE","FY 2017","FY 2017","Currency=USD","Period=FY","BEST_FPERIOD_OVERRIDE=FY","FILING_STATUS=MR","SCALING_FORMAT=MLN","Sort=A","Dates=H","DateFormat=P","Fill=—","Direction=H","UseDPDF=Y")</f>
        <v>0</v>
      </c>
      <c r="K43" s="13" t="str">
        <f>_xll.BDH("FIS US Equity","BS_INTEREST_&amp;_DIVIDENDS_PAYABLE","FY 2018","FY 2018","Currency=USD","Period=FY","BEST_FPERIOD_OVERRIDE=FY","FILING_STATUS=MR","SCALING_FORMAT=MLN","Sort=A","Dates=H","DateFormat=P","Fill=—","Direction=H","UseDPDF=Y")</f>
        <v>—</v>
      </c>
      <c r="L43" s="13" t="str">
        <f>_xll.BDH("FIS US Equity","BS_INTEREST_&amp;_DIVIDENDS_PAYABLE","FY 2019","FY 2019","Currency=USD","Period=FY","BEST_FPERIOD_OVERRIDE=FY","FILING_STATUS=MR","SCALING_FORMAT=MLN","Sort=A","Dates=H","DateFormat=P","Fill=—","Direction=H","UseDPDF=Y")</f>
        <v>—</v>
      </c>
    </row>
    <row r="44" spans="1:12" x14ac:dyDescent="0.45">
      <c r="A44" s="10" t="s">
        <v>94</v>
      </c>
      <c r="B44" s="10" t="s">
        <v>95</v>
      </c>
      <c r="C44" s="13">
        <f>_xll.BDH("FIS US Equity","BS_ACCRUAL","FY 2010","FY 2010","Currency=USD","Period=FY","BEST_FPERIOD_OVERRIDE=FY","FILING_STATUS=MR","SCALING_FORMAT=MLN","Sort=A","Dates=H","DateFormat=P","Fill=—","Direction=H","UseDPDF=Y")</f>
        <v>472.8</v>
      </c>
      <c r="D44" s="13">
        <f>_xll.BDH("FIS US Equity","BS_ACCRUAL","FY 2011","FY 2011","Currency=USD","Period=FY","BEST_FPERIOD_OVERRIDE=FY","FILING_STATUS=MR","SCALING_FORMAT=MLN","Sort=A","Dates=H","DateFormat=P","Fill=—","Direction=H","UseDPDF=Y")</f>
        <v>542.29999999999995</v>
      </c>
      <c r="E44" s="13">
        <f>_xll.BDH("FIS US Equity","BS_ACCRUAL","FY 2012","FY 2012","Currency=USD","Period=FY","BEST_FPERIOD_OVERRIDE=FY","FILING_STATUS=MR","SCALING_FORMAT=MLN","Sort=A","Dates=H","DateFormat=P","Fill=—","Direction=H","UseDPDF=Y")</f>
        <v>531.20000000000005</v>
      </c>
      <c r="F44" s="13">
        <f>_xll.BDH("FIS US Equity","BS_ACCRUAL","FY 2013","FY 2013","Currency=USD","Period=FY","BEST_FPERIOD_OVERRIDE=FY","FILING_STATUS=MR","SCALING_FORMAT=MLN","Sort=A","Dates=H","DateFormat=P","Fill=—","Direction=H","UseDPDF=Y")</f>
        <v>621</v>
      </c>
      <c r="G44" s="13">
        <f>_xll.BDH("FIS US Equity","BS_ACCRUAL","FY 2014","FY 2014","Currency=USD","Period=FY","BEST_FPERIOD_OVERRIDE=FY","FILING_STATUS=MR","SCALING_FORMAT=MLN","Sort=A","Dates=H","DateFormat=P","Fill=—","Direction=H","UseDPDF=Y")</f>
        <v>543.5</v>
      </c>
      <c r="H44" s="13">
        <f>_xll.BDH("FIS US Equity","BS_ACCRUAL","FY 2015","FY 2015","Currency=USD","Period=FY","BEST_FPERIOD_OVERRIDE=FY","FILING_STATUS=MR","SCALING_FORMAT=MLN","Sort=A","Dates=H","DateFormat=P","Fill=—","Direction=H","UseDPDF=Y")</f>
        <v>632</v>
      </c>
      <c r="I44" s="13">
        <f>_xll.BDH("FIS US Equity","BS_ACCRUAL","FY 2016","FY 2016","Currency=USD","Period=FY","BEST_FPERIOD_OVERRIDE=FY","FILING_STATUS=MR","SCALING_FORMAT=MLN","Sort=A","Dates=H","DateFormat=P","Fill=—","Direction=H","UseDPDF=Y")</f>
        <v>634</v>
      </c>
      <c r="J44" s="13">
        <f>_xll.BDH("FIS US Equity","BS_ACCRUAL","FY 2017","FY 2017","Currency=USD","Period=FY","BEST_FPERIOD_OVERRIDE=FY","FILING_STATUS=MR","SCALING_FORMAT=MLN","Sort=A","Dates=H","DateFormat=P","Fill=—","Direction=H","UseDPDF=Y")</f>
        <v>465</v>
      </c>
      <c r="K44" s="13">
        <f>_xll.BDH("FIS US Equity","BS_ACCRUAL","FY 2018","FY 2018","Currency=USD","Period=FY","BEST_FPERIOD_OVERRIDE=FY","FILING_STATUS=MR","SCALING_FORMAT=MLN","Sort=A","Dates=H","DateFormat=P","Fill=—","Direction=H","UseDPDF=Y")</f>
        <v>412</v>
      </c>
      <c r="L44" s="13">
        <f>_xll.BDH("FIS US Equity","BS_ACCRUAL","FY 2019","FY 2019","Currency=USD","Period=FY","BEST_FPERIOD_OVERRIDE=FY","FILING_STATUS=MR","SCALING_FORMAT=MLN","Sort=A","Dates=H","DateFormat=P","Fill=—","Direction=H","UseDPDF=Y")</f>
        <v>859</v>
      </c>
    </row>
    <row r="45" spans="1:12" x14ac:dyDescent="0.45">
      <c r="A45" s="10" t="s">
        <v>96</v>
      </c>
      <c r="B45" s="10" t="s">
        <v>97</v>
      </c>
      <c r="C45" s="13">
        <f>_xll.BDH("FIS US Equity","BS_ST_BORROW","FY 2010","FY 2010","Currency=USD","Period=FY","BEST_FPERIOD_OVERRIDE=FY","FILING_STATUS=MR","SCALING_FORMAT=MLN","Sort=A","Dates=H","DateFormat=P","Fill=—","Direction=H","UseDPDF=Y")</f>
        <v>397.5</v>
      </c>
      <c r="D45" s="13">
        <f>_xll.BDH("FIS US Equity","BS_ST_BORROW","FY 2011","FY 2011","Currency=USD","Period=FY","BEST_FPERIOD_OVERRIDE=FY","FILING_STATUS=MR","SCALING_FORMAT=MLN","Sort=A","Dates=H","DateFormat=P","Fill=—","Direction=H","UseDPDF=Y")</f>
        <v>400.4</v>
      </c>
      <c r="E45" s="13">
        <f>_xll.BDH("FIS US Equity","BS_ST_BORROW","FY 2012","FY 2012","Currency=USD","Period=FY","BEST_FPERIOD_OVERRIDE=FY","FILING_STATUS=MR","SCALING_FORMAT=MLN","Sort=A","Dates=H","DateFormat=P","Fill=—","Direction=H","UseDPDF=Y")</f>
        <v>153.9</v>
      </c>
      <c r="F45" s="13">
        <f>_xll.BDH("FIS US Equity","BS_ST_BORROW","FY 2013","FY 2013","Currency=USD","Period=FY","BEST_FPERIOD_OVERRIDE=FY","FILING_STATUS=MR","SCALING_FORMAT=MLN","Sort=A","Dates=H","DateFormat=P","Fill=—","Direction=H","UseDPDF=Y")</f>
        <v>128.80000000000001</v>
      </c>
      <c r="G45" s="13">
        <f>_xll.BDH("FIS US Equity","BS_ST_BORROW","FY 2014","FY 2014","Currency=USD","Period=FY","BEST_FPERIOD_OVERRIDE=FY","FILING_STATUS=MR","SCALING_FORMAT=MLN","Sort=A","Dates=H","DateFormat=P","Fill=—","Direction=H","UseDPDF=Y")</f>
        <v>13.1</v>
      </c>
      <c r="H45" s="13">
        <f>_xll.BDH("FIS US Equity","BS_ST_BORROW","FY 2015","FY 2015","Currency=USD","Period=FY","BEST_FPERIOD_OVERRIDE=FY","FILING_STATUS=MR","SCALING_FORMAT=MLN","Sort=A","Dates=H","DateFormat=P","Fill=—","Direction=H","UseDPDF=Y")</f>
        <v>15</v>
      </c>
      <c r="I45" s="13">
        <f>_xll.BDH("FIS US Equity","BS_ST_BORROW","FY 2016","FY 2016","Currency=USD","Period=FY","BEST_FPERIOD_OVERRIDE=FY","FILING_STATUS=MR","SCALING_FORMAT=MLN","Sort=A","Dates=H","DateFormat=P","Fill=—","Direction=H","UseDPDF=Y")</f>
        <v>332</v>
      </c>
      <c r="J45" s="13">
        <f>_xll.BDH("FIS US Equity","BS_ST_BORROW","FY 2017","FY 2017","Currency=USD","Period=FY","BEST_FPERIOD_OVERRIDE=FY","FILING_STATUS=MR","SCALING_FORMAT=MLN","Sort=A","Dates=H","DateFormat=P","Fill=—","Direction=H","UseDPDF=Y")</f>
        <v>1045</v>
      </c>
      <c r="K45" s="13">
        <f>_xll.BDH("FIS US Equity","BS_ST_BORROW","FY 2018","FY 2018","Currency=USD","Period=FY","BEST_FPERIOD_OVERRIDE=FY","FILING_STATUS=MR","SCALING_FORMAT=MLN","Sort=A","Dates=H","DateFormat=P","Fill=—","Direction=H","UseDPDF=Y")</f>
        <v>315</v>
      </c>
      <c r="L45" s="13">
        <f>_xll.BDH("FIS US Equity","BS_ST_BORROW","FY 2019","FY 2019","Currency=USD","Period=FY","BEST_FPERIOD_OVERRIDE=FY","FILING_STATUS=MR","SCALING_FORMAT=MLN","Sort=A","Dates=H","DateFormat=P","Fill=—","Direction=H","UseDPDF=Y")</f>
        <v>3092</v>
      </c>
    </row>
    <row r="46" spans="1:12" x14ac:dyDescent="0.45">
      <c r="A46" s="10" t="s">
        <v>98</v>
      </c>
      <c r="B46" s="10" t="s">
        <v>99</v>
      </c>
      <c r="C46" s="13">
        <f>_xll.BDH("FIS US Equity","SHORT_TERM_DEBT_DETAILED","FY 2010","FY 2010","Currency=USD","Period=FY","BEST_FPERIOD_OVERRIDE=FY","FILING_STATUS=MR","SCALING_FORMAT=MLN","Sort=A","Dates=H","DateFormat=P","Fill=—","Direction=H","UseDPDF=Y")</f>
        <v>140.6</v>
      </c>
      <c r="D46" s="13">
        <f>_xll.BDH("FIS US Equity","SHORT_TERM_DEBT_DETAILED","FY 2011","FY 2011","Currency=USD","Period=FY","BEST_FPERIOD_OVERRIDE=FY","FILING_STATUS=MR","SCALING_FORMAT=MLN","Sort=A","Dates=H","DateFormat=P","Fill=—","Direction=H","UseDPDF=Y")</f>
        <v>141.19999999999999</v>
      </c>
      <c r="E46" s="13">
        <f>_xll.BDH("FIS US Equity","SHORT_TERM_DEBT_DETAILED","FY 2012","FY 2012","Currency=USD","Period=FY","BEST_FPERIOD_OVERRIDE=FY","FILING_STATUS=MR","SCALING_FORMAT=MLN","Sort=A","Dates=H","DateFormat=P","Fill=—","Direction=H","UseDPDF=Y")</f>
        <v>0</v>
      </c>
      <c r="F46" s="13">
        <f>_xll.BDH("FIS US Equity","SHORT_TERM_DEBT_DETAILED","FY 2013","FY 2013","Currency=USD","Period=FY","BEST_FPERIOD_OVERRIDE=FY","FILING_STATUS=MR","SCALING_FORMAT=MLN","Sort=A","Dates=H","DateFormat=P","Fill=—","Direction=H","UseDPDF=Y")</f>
        <v>0</v>
      </c>
      <c r="G46" s="13">
        <f>_xll.BDH("FIS US Equity","SHORT_TERM_DEBT_DETAILED","FY 2014","FY 2014","Currency=USD","Period=FY","BEST_FPERIOD_OVERRIDE=FY","FILING_STATUS=MR","SCALING_FORMAT=MLN","Sort=A","Dates=H","DateFormat=P","Fill=—","Direction=H","UseDPDF=Y")</f>
        <v>0</v>
      </c>
      <c r="H46" s="13">
        <f>_xll.BDH("FIS US Equity","SHORT_TERM_DEBT_DETAILED","FY 2015","FY 2015","Currency=USD","Period=FY","BEST_FPERIOD_OVERRIDE=FY","FILING_STATUS=MR","SCALING_FORMAT=MLN","Sort=A","Dates=H","DateFormat=P","Fill=—","Direction=H","UseDPDF=Y")</f>
        <v>0</v>
      </c>
      <c r="I46" s="13">
        <f>_xll.BDH("FIS US Equity","SHORT_TERM_DEBT_DETAILED","FY 2016","FY 2016","Currency=USD","Period=FY","BEST_FPERIOD_OVERRIDE=FY","FILING_STATUS=MR","SCALING_FORMAT=MLN","Sort=A","Dates=H","DateFormat=P","Fill=—","Direction=H","UseDPDF=Y")</f>
        <v>0</v>
      </c>
      <c r="J46" s="13">
        <f>_xll.BDH("FIS US Equity","SHORT_TERM_DEBT_DETAILED","FY 2017","FY 2017","Currency=USD","Period=FY","BEST_FPERIOD_OVERRIDE=FY","FILING_STATUS=MR","SCALING_FORMAT=MLN","Sort=A","Dates=H","DateFormat=P","Fill=—","Direction=H","UseDPDF=Y")</f>
        <v>0</v>
      </c>
      <c r="K46" s="13">
        <f>_xll.BDH("FIS US Equity","SHORT_TERM_DEBT_DETAILED","FY 2018","FY 2018","Currency=USD","Period=FY","BEST_FPERIOD_OVERRIDE=FY","FILING_STATUS=MR","SCALING_FORMAT=MLN","Sort=A","Dates=H","DateFormat=P","Fill=—","Direction=H","UseDPDF=Y")</f>
        <v>267</v>
      </c>
      <c r="L46" s="13">
        <f>_xll.BDH("FIS US Equity","SHORT_TERM_DEBT_DETAILED","FY 2019","FY 2019","Currency=USD","Period=FY","BEST_FPERIOD_OVERRIDE=FY","FILING_STATUS=MR","SCALING_FORMAT=MLN","Sort=A","Dates=H","DateFormat=P","Fill=—","Direction=H","UseDPDF=Y")</f>
        <v>2823</v>
      </c>
    </row>
    <row r="47" spans="1:12" x14ac:dyDescent="0.45">
      <c r="A47" s="10" t="s">
        <v>100</v>
      </c>
      <c r="B47" s="10" t="s">
        <v>101</v>
      </c>
      <c r="C47" s="13">
        <f>_xll.BDH("FIS US Equity","ST_CAPITALIZED_LEASE_LIABILITIES","FY 2010","FY 2010","Currency=USD","Period=FY","BEST_FPERIOD_OVERRIDE=FY","FILING_STATUS=MR","SCALING_FORMAT=MLN","Sort=A","Dates=H","DateFormat=P","Fill=—","Direction=H","UseDPDF=Y")</f>
        <v>0</v>
      </c>
      <c r="D47" s="13">
        <f>_xll.BDH("FIS US Equity","ST_CAPITALIZED_LEASE_LIABILITIES","FY 2011","FY 2011","Currency=USD","Period=FY","BEST_FPERIOD_OVERRIDE=FY","FILING_STATUS=MR","SCALING_FORMAT=MLN","Sort=A","Dates=H","DateFormat=P","Fill=—","Direction=H","UseDPDF=Y")</f>
        <v>0</v>
      </c>
      <c r="E47" s="13">
        <f>_xll.BDH("FIS US Equity","ST_CAPITALIZED_LEASE_LIABILITIES","FY 2012","FY 2012","Currency=USD","Period=FY","BEST_FPERIOD_OVERRIDE=FY","FILING_STATUS=MR","SCALING_FORMAT=MLN","Sort=A","Dates=H","DateFormat=P","Fill=—","Direction=H","UseDPDF=Y")</f>
        <v>0</v>
      </c>
      <c r="F47" s="13" t="str">
        <f>_xll.BDH("FIS US Equity","ST_CAPITALIZED_LEASE_LIABILITIES","FY 2013","FY 2013","Currency=USD","Period=FY","BEST_FPERIOD_OVERRIDE=FY","FILING_STATUS=MR","SCALING_FORMAT=MLN","Sort=A","Dates=H","DateFormat=P","Fill=—","Direction=H","UseDPDF=Y")</f>
        <v>—</v>
      </c>
      <c r="G47" s="13" t="str">
        <f>_xll.BDH("FIS US Equity","ST_CAPITALIZED_LEASE_LIABILITIES","FY 2014","FY 2014","Currency=USD","Period=FY","BEST_FPERIOD_OVERRIDE=FY","FILING_STATUS=MR","SCALING_FORMAT=MLN","Sort=A","Dates=H","DateFormat=P","Fill=—","Direction=H","UseDPDF=Y")</f>
        <v>—</v>
      </c>
      <c r="H47" s="13" t="str">
        <f>_xll.BDH("FIS US Equity","ST_CAPITALIZED_LEASE_LIABILITIES","FY 2015","FY 2015","Currency=USD","Period=FY","BEST_FPERIOD_OVERRIDE=FY","FILING_STATUS=MR","SCALING_FORMAT=MLN","Sort=A","Dates=H","DateFormat=P","Fill=—","Direction=H","UseDPDF=Y")</f>
        <v>—</v>
      </c>
      <c r="I47" s="13" t="str">
        <f>_xll.BDH("FIS US Equity","ST_CAPITALIZED_LEASE_LIABILITIES","FY 2016","FY 2016","Currency=USD","Period=FY","BEST_FPERIOD_OVERRIDE=FY","FILING_STATUS=MR","SCALING_FORMAT=MLN","Sort=A","Dates=H","DateFormat=P","Fill=—","Direction=H","UseDPDF=Y")</f>
        <v>—</v>
      </c>
      <c r="J47" s="13" t="str">
        <f>_xll.BDH("FIS US Equity","ST_CAPITALIZED_LEASE_LIABILITIES","FY 2017","FY 2017","Currency=USD","Period=FY","BEST_FPERIOD_OVERRIDE=FY","FILING_STATUS=MR","SCALING_FORMAT=MLN","Sort=A","Dates=H","DateFormat=P","Fill=—","Direction=H","UseDPDF=Y")</f>
        <v>—</v>
      </c>
      <c r="K47" s="13" t="str">
        <f>_xll.BDH("FIS US Equity","ST_CAPITALIZED_LEASE_LIABILITIES","FY 2018","FY 2018","Currency=USD","Period=FY","BEST_FPERIOD_OVERRIDE=FY","FILING_STATUS=MR","SCALING_FORMAT=MLN","Sort=A","Dates=H","DateFormat=P","Fill=—","Direction=H","UseDPDF=Y")</f>
        <v>—</v>
      </c>
      <c r="L47" s="13">
        <f>_xll.BDH("FIS US Equity","ST_CAPITALIZED_LEASE_LIABILITIES","FY 2019","FY 2019","Currency=USD","Period=FY","BEST_FPERIOD_OVERRIDE=FY","FILING_STATUS=MR","SCALING_FORMAT=MLN","Sort=A","Dates=H","DateFormat=P","Fill=—","Direction=H","UseDPDF=Y")</f>
        <v>129</v>
      </c>
    </row>
    <row r="48" spans="1:12" x14ac:dyDescent="0.45">
      <c r="A48" s="11" t="s">
        <v>102</v>
      </c>
      <c r="B48" s="11" t="s">
        <v>103</v>
      </c>
      <c r="C48" s="17">
        <f>_xll.BDH("FIS US Equity","ST_CAPITAL_LEASE_OBLIGATIONS","FY 2010","FY 2010","Currency=USD","Period=FY","BEST_FPERIOD_OVERRIDE=FY","FILING_STATUS=MR","SCALING_FORMAT=MLN","Sort=A","Dates=H","DateFormat=P","Fill=—","Direction=H","UseDPDF=Y")</f>
        <v>0</v>
      </c>
      <c r="D48" s="17">
        <f>_xll.BDH("FIS US Equity","ST_CAPITAL_LEASE_OBLIGATIONS","FY 2011","FY 2011","Currency=USD","Period=FY","BEST_FPERIOD_OVERRIDE=FY","FILING_STATUS=MR","SCALING_FORMAT=MLN","Sort=A","Dates=H","DateFormat=P","Fill=—","Direction=H","UseDPDF=Y")</f>
        <v>0</v>
      </c>
      <c r="E48" s="17">
        <f>_xll.BDH("FIS US Equity","ST_CAPITAL_LEASE_OBLIGATIONS","FY 2012","FY 2012","Currency=USD","Period=FY","BEST_FPERIOD_OVERRIDE=FY","FILING_STATUS=MR","SCALING_FORMAT=MLN","Sort=A","Dates=H","DateFormat=P","Fill=—","Direction=H","UseDPDF=Y")</f>
        <v>0</v>
      </c>
      <c r="F48" s="17" t="str">
        <f>_xll.BDH("FIS US Equity","ST_CAPITAL_LEASE_OBLIGATIONS","FY 2013","FY 2013","Currency=USD","Period=FY","BEST_FPERIOD_OVERRIDE=FY","FILING_STATUS=MR","SCALING_FORMAT=MLN","Sort=A","Dates=H","DateFormat=P","Fill=—","Direction=H","UseDPDF=Y")</f>
        <v>—</v>
      </c>
      <c r="G48" s="17" t="str">
        <f>_xll.BDH("FIS US Equity","ST_CAPITAL_LEASE_OBLIGATIONS","FY 2014","FY 2014","Currency=USD","Period=FY","BEST_FPERIOD_OVERRIDE=FY","FILING_STATUS=MR","SCALING_FORMAT=MLN","Sort=A","Dates=H","DateFormat=P","Fill=—","Direction=H","UseDPDF=Y")</f>
        <v>—</v>
      </c>
      <c r="H48" s="17" t="str">
        <f>_xll.BDH("FIS US Equity","ST_CAPITAL_LEASE_OBLIGATIONS","FY 2015","FY 2015","Currency=USD","Period=FY","BEST_FPERIOD_OVERRIDE=FY","FILING_STATUS=MR","SCALING_FORMAT=MLN","Sort=A","Dates=H","DateFormat=P","Fill=—","Direction=H","UseDPDF=Y")</f>
        <v>—</v>
      </c>
      <c r="I48" s="17" t="str">
        <f>_xll.BDH("FIS US Equity","ST_CAPITAL_LEASE_OBLIGATIONS","FY 2016","FY 2016","Currency=USD","Period=FY","BEST_FPERIOD_OVERRIDE=FY","FILING_STATUS=MR","SCALING_FORMAT=MLN","Sort=A","Dates=H","DateFormat=P","Fill=—","Direction=H","UseDPDF=Y")</f>
        <v>—</v>
      </c>
      <c r="J48" s="17" t="str">
        <f>_xll.BDH("FIS US Equity","ST_CAPITAL_LEASE_OBLIGATIONS","FY 2017","FY 2017","Currency=USD","Period=FY","BEST_FPERIOD_OVERRIDE=FY","FILING_STATUS=MR","SCALING_FORMAT=MLN","Sort=A","Dates=H","DateFormat=P","Fill=—","Direction=H","UseDPDF=Y")</f>
        <v>—</v>
      </c>
      <c r="K48" s="17" t="str">
        <f>_xll.BDH("FIS US Equity","ST_CAPITAL_LEASE_OBLIGATIONS","FY 2018","FY 2018","Currency=USD","Period=FY","BEST_FPERIOD_OVERRIDE=FY","FILING_STATUS=MR","SCALING_FORMAT=MLN","Sort=A","Dates=H","DateFormat=P","Fill=—","Direction=H","UseDPDF=Y")</f>
        <v>—</v>
      </c>
      <c r="L48" s="17" t="str">
        <f>_xll.BDH("FIS US Equity","ST_CAPITAL_LEASE_OBLIGATIONS","FY 2019","FY 2019","Currency=USD","Period=FY","BEST_FPERIOD_OVERRIDE=FY","FILING_STATUS=MR","SCALING_FORMAT=MLN","Sort=A","Dates=H","DateFormat=P","Fill=—","Direction=H","UseDPDF=Y")</f>
        <v>—</v>
      </c>
    </row>
    <row r="49" spans="1:12" x14ac:dyDescent="0.45">
      <c r="A49" s="11" t="s">
        <v>104</v>
      </c>
      <c r="B49" s="11" t="s">
        <v>105</v>
      </c>
      <c r="C49" s="17" t="str">
        <f>_xll.BDH("FIS US Equity","BS_ST_OPERATING_LEASE_LIABS","FY 2010","FY 2010","Currency=USD","Period=FY","BEST_FPERIOD_OVERRIDE=FY","FILING_STATUS=MR","SCALING_FORMAT=MLN","Sort=A","Dates=H","DateFormat=P","Fill=—","Direction=H","UseDPDF=Y")</f>
        <v>—</v>
      </c>
      <c r="D49" s="17" t="str">
        <f>_xll.BDH("FIS US Equity","BS_ST_OPERATING_LEASE_LIABS","FY 2011","FY 2011","Currency=USD","Period=FY","BEST_FPERIOD_OVERRIDE=FY","FILING_STATUS=MR","SCALING_FORMAT=MLN","Sort=A","Dates=H","DateFormat=P","Fill=—","Direction=H","UseDPDF=Y")</f>
        <v>—</v>
      </c>
      <c r="E49" s="17" t="str">
        <f>_xll.BDH("FIS US Equity","BS_ST_OPERATING_LEASE_LIABS","FY 2012","FY 2012","Currency=USD","Period=FY","BEST_FPERIOD_OVERRIDE=FY","FILING_STATUS=MR","SCALING_FORMAT=MLN","Sort=A","Dates=H","DateFormat=P","Fill=—","Direction=H","UseDPDF=Y")</f>
        <v>—</v>
      </c>
      <c r="F49" s="17" t="str">
        <f>_xll.BDH("FIS US Equity","BS_ST_OPERATING_LEASE_LIABS","FY 2013","FY 2013","Currency=USD","Period=FY","BEST_FPERIOD_OVERRIDE=FY","FILING_STATUS=MR","SCALING_FORMAT=MLN","Sort=A","Dates=H","DateFormat=P","Fill=—","Direction=H","UseDPDF=Y")</f>
        <v>—</v>
      </c>
      <c r="G49" s="17" t="str">
        <f>_xll.BDH("FIS US Equity","BS_ST_OPERATING_LEASE_LIABS","FY 2014","FY 2014","Currency=USD","Period=FY","BEST_FPERIOD_OVERRIDE=FY","FILING_STATUS=MR","SCALING_FORMAT=MLN","Sort=A","Dates=H","DateFormat=P","Fill=—","Direction=H","UseDPDF=Y")</f>
        <v>—</v>
      </c>
      <c r="H49" s="17" t="str">
        <f>_xll.BDH("FIS US Equity","BS_ST_OPERATING_LEASE_LIABS","FY 2015","FY 2015","Currency=USD","Period=FY","BEST_FPERIOD_OVERRIDE=FY","FILING_STATUS=MR","SCALING_FORMAT=MLN","Sort=A","Dates=H","DateFormat=P","Fill=—","Direction=H","UseDPDF=Y")</f>
        <v>—</v>
      </c>
      <c r="I49" s="17" t="str">
        <f>_xll.BDH("FIS US Equity","BS_ST_OPERATING_LEASE_LIABS","FY 2016","FY 2016","Currency=USD","Period=FY","BEST_FPERIOD_OVERRIDE=FY","FILING_STATUS=MR","SCALING_FORMAT=MLN","Sort=A","Dates=H","DateFormat=P","Fill=—","Direction=H","UseDPDF=Y")</f>
        <v>—</v>
      </c>
      <c r="J49" s="17" t="str">
        <f>_xll.BDH("FIS US Equity","BS_ST_OPERATING_LEASE_LIABS","FY 2017","FY 2017","Currency=USD","Period=FY","BEST_FPERIOD_OVERRIDE=FY","FILING_STATUS=MR","SCALING_FORMAT=MLN","Sort=A","Dates=H","DateFormat=P","Fill=—","Direction=H","UseDPDF=Y")</f>
        <v>—</v>
      </c>
      <c r="K49" s="17" t="str">
        <f>_xll.BDH("FIS US Equity","BS_ST_OPERATING_LEASE_LIABS","FY 2018","FY 2018","Currency=USD","Period=FY","BEST_FPERIOD_OVERRIDE=FY","FILING_STATUS=MR","SCALING_FORMAT=MLN","Sort=A","Dates=H","DateFormat=P","Fill=—","Direction=H","UseDPDF=Y")</f>
        <v>—</v>
      </c>
      <c r="L49" s="17">
        <f>_xll.BDH("FIS US Equity","BS_ST_OPERATING_LEASE_LIABS","FY 2019","FY 2019","Currency=USD","Period=FY","BEST_FPERIOD_OVERRIDE=FY","FILING_STATUS=MR","SCALING_FORMAT=MLN","Sort=A","Dates=H","DateFormat=P","Fill=—","Direction=H","UseDPDF=Y")</f>
        <v>129</v>
      </c>
    </row>
    <row r="50" spans="1:12" x14ac:dyDescent="0.45">
      <c r="A50" s="10" t="s">
        <v>106</v>
      </c>
      <c r="B50" s="10" t="s">
        <v>107</v>
      </c>
      <c r="C50" s="13">
        <f>_xll.BDH("FIS US Equity","BS_CURR_PORTION_LT_DEBT","FY 2010","FY 2010","Currency=USD","Period=FY","BEST_FPERIOD_OVERRIDE=FY","FILING_STATUS=MR","SCALING_FORMAT=MLN","Sort=A","Dates=H","DateFormat=P","Fill=—","Direction=H","UseDPDF=Y")</f>
        <v>256.89999999999998</v>
      </c>
      <c r="D50" s="13">
        <f>_xll.BDH("FIS US Equity","BS_CURR_PORTION_LT_DEBT","FY 2011","FY 2011","Currency=USD","Period=FY","BEST_FPERIOD_OVERRIDE=FY","FILING_STATUS=MR","SCALING_FORMAT=MLN","Sort=A","Dates=H","DateFormat=P","Fill=—","Direction=H","UseDPDF=Y")</f>
        <v>259.2</v>
      </c>
      <c r="E50" s="13">
        <f>_xll.BDH("FIS US Equity","BS_CURR_PORTION_LT_DEBT","FY 2012","FY 2012","Currency=USD","Period=FY","BEST_FPERIOD_OVERRIDE=FY","FILING_STATUS=MR","SCALING_FORMAT=MLN","Sort=A","Dates=H","DateFormat=P","Fill=—","Direction=H","UseDPDF=Y")</f>
        <v>153.9</v>
      </c>
      <c r="F50" s="13">
        <f>_xll.BDH("FIS US Equity","BS_CURR_PORTION_LT_DEBT","FY 2013","FY 2013","Currency=USD","Period=FY","BEST_FPERIOD_OVERRIDE=FY","FILING_STATUS=MR","SCALING_FORMAT=MLN","Sort=A","Dates=H","DateFormat=P","Fill=—","Direction=H","UseDPDF=Y")</f>
        <v>128.80000000000001</v>
      </c>
      <c r="G50" s="13">
        <f>_xll.BDH("FIS US Equity","BS_CURR_PORTION_LT_DEBT","FY 2014","FY 2014","Currency=USD","Period=FY","BEST_FPERIOD_OVERRIDE=FY","FILING_STATUS=MR","SCALING_FORMAT=MLN","Sort=A","Dates=H","DateFormat=P","Fill=—","Direction=H","UseDPDF=Y")</f>
        <v>13.1</v>
      </c>
      <c r="H50" s="13">
        <f>_xll.BDH("FIS US Equity","BS_CURR_PORTION_LT_DEBT","FY 2015","FY 2015","Currency=USD","Period=FY","BEST_FPERIOD_OVERRIDE=FY","FILING_STATUS=MR","SCALING_FORMAT=MLN","Sort=A","Dates=H","DateFormat=P","Fill=—","Direction=H","UseDPDF=Y")</f>
        <v>15</v>
      </c>
      <c r="I50" s="13">
        <f>_xll.BDH("FIS US Equity","BS_CURR_PORTION_LT_DEBT","FY 2016","FY 2016","Currency=USD","Period=FY","BEST_FPERIOD_OVERRIDE=FY","FILING_STATUS=MR","SCALING_FORMAT=MLN","Sort=A","Dates=H","DateFormat=P","Fill=—","Direction=H","UseDPDF=Y")</f>
        <v>332</v>
      </c>
      <c r="J50" s="13">
        <f>_xll.BDH("FIS US Equity","BS_CURR_PORTION_LT_DEBT","FY 2017","FY 2017","Currency=USD","Period=FY","BEST_FPERIOD_OVERRIDE=FY","FILING_STATUS=MR","SCALING_FORMAT=MLN","Sort=A","Dates=H","DateFormat=P","Fill=—","Direction=H","UseDPDF=Y")</f>
        <v>1045</v>
      </c>
      <c r="K50" s="13">
        <f>_xll.BDH("FIS US Equity","BS_CURR_PORTION_LT_DEBT","FY 2018","FY 2018","Currency=USD","Period=FY","BEST_FPERIOD_OVERRIDE=FY","FILING_STATUS=MR","SCALING_FORMAT=MLN","Sort=A","Dates=H","DateFormat=P","Fill=—","Direction=H","UseDPDF=Y")</f>
        <v>48</v>
      </c>
      <c r="L50" s="13">
        <f>_xll.BDH("FIS US Equity","BS_CURR_PORTION_LT_DEBT","FY 2019","FY 2019","Currency=USD","Period=FY","BEST_FPERIOD_OVERRIDE=FY","FILING_STATUS=MR","SCALING_FORMAT=MLN","Sort=A","Dates=H","DateFormat=P","Fill=—","Direction=H","UseDPDF=Y")</f>
        <v>140</v>
      </c>
    </row>
    <row r="51" spans="1:12" x14ac:dyDescent="0.45">
      <c r="A51" s="10" t="s">
        <v>108</v>
      </c>
      <c r="B51" s="10" t="s">
        <v>109</v>
      </c>
      <c r="C51" s="13">
        <f>_xll.BDH("FIS US Equity","OTHER_CURRENT_LIABS_SUB_DETAILED","FY 2010","FY 2010","Currency=USD","Period=FY","BEST_FPERIOD_OVERRIDE=FY","FILING_STATUS=MR","SCALING_FORMAT=MLN","Sort=A","Dates=H","DateFormat=P","Fill=—","Direction=H","UseDPDF=Y")</f>
        <v>311.10000000000002</v>
      </c>
      <c r="D51" s="13">
        <f>_xll.BDH("FIS US Equity","OTHER_CURRENT_LIABS_SUB_DETAILED","FY 2011","FY 2011","Currency=USD","Period=FY","BEST_FPERIOD_OVERRIDE=FY","FILING_STATUS=MR","SCALING_FORMAT=MLN","Sort=A","Dates=H","DateFormat=P","Fill=—","Direction=H","UseDPDF=Y")</f>
        <v>313</v>
      </c>
      <c r="E51" s="13">
        <f>_xll.BDH("FIS US Equity","OTHER_CURRENT_LIABS_SUB_DETAILED","FY 2012","FY 2012","Currency=USD","Period=FY","BEST_FPERIOD_OVERRIDE=FY","FILING_STATUS=MR","SCALING_FORMAT=MLN","Sort=A","Dates=H","DateFormat=P","Fill=—","Direction=H","UseDPDF=Y")</f>
        <v>478.3</v>
      </c>
      <c r="F51" s="13">
        <f>_xll.BDH("FIS US Equity","OTHER_CURRENT_LIABS_SUB_DETAILED","FY 2013","FY 2013","Currency=USD","Period=FY","BEST_FPERIOD_OVERRIDE=FY","FILING_STATUS=MR","SCALING_FORMAT=MLN","Sort=A","Dates=H","DateFormat=P","Fill=—","Direction=H","UseDPDF=Y")</f>
        <v>775.9</v>
      </c>
      <c r="G51" s="13">
        <f>_xll.BDH("FIS US Equity","OTHER_CURRENT_LIABS_SUB_DETAILED","FY 2014","FY 2014","Currency=USD","Period=FY","BEST_FPERIOD_OVERRIDE=FY","FILING_STATUS=MR","SCALING_FORMAT=MLN","Sort=A","Dates=H","DateFormat=P","Fill=—","Direction=H","UseDPDF=Y")</f>
        <v>855.5</v>
      </c>
      <c r="H51" s="13">
        <f>_xll.BDH("FIS US Equity","OTHER_CURRENT_LIABS_SUB_DETAILED","FY 2015","FY 2015","Currency=USD","Period=FY","BEST_FPERIOD_OVERRIDE=FY","FILING_STATUS=MR","SCALING_FORMAT=MLN","Sort=A","Dates=H","DateFormat=P","Fill=—","Direction=H","UseDPDF=Y")</f>
        <v>1153</v>
      </c>
      <c r="I51" s="13">
        <f>_xll.BDH("FIS US Equity","OTHER_CURRENT_LIABS_SUB_DETAILED","FY 2016","FY 2016","Currency=USD","Period=FY","BEST_FPERIOD_OVERRIDE=FY","FILING_STATUS=MR","SCALING_FORMAT=MLN","Sort=A","Dates=H","DateFormat=P","Fill=—","Direction=H","UseDPDF=Y")</f>
        <v>1673</v>
      </c>
      <c r="J51" s="13">
        <f>_xll.BDH("FIS US Equity","OTHER_CURRENT_LIABS_SUB_DETAILED","FY 2017","FY 2017","Currency=USD","Period=FY","BEST_FPERIOD_OVERRIDE=FY","FILING_STATUS=MR","SCALING_FORMAT=MLN","Sort=A","Dates=H","DateFormat=P","Fill=—","Direction=H","UseDPDF=Y")</f>
        <v>1725</v>
      </c>
      <c r="K51" s="13">
        <f>_xll.BDH("FIS US Equity","OTHER_CURRENT_LIABS_SUB_DETAILED","FY 2018","FY 2018","Currency=USD","Period=FY","BEST_FPERIOD_OVERRIDE=FY","FILING_STATUS=MR","SCALING_FORMAT=MLN","Sort=A","Dates=H","DateFormat=P","Fill=—","Direction=H","UseDPDF=Y")</f>
        <v>1711</v>
      </c>
      <c r="L51" s="13">
        <f>_xll.BDH("FIS US Equity","OTHER_CURRENT_LIABS_SUB_DETAILED","FY 2019","FY 2019","Currency=USD","Period=FY","BEST_FPERIOD_OVERRIDE=FY","FILING_STATUS=MR","SCALING_FORMAT=MLN","Sort=A","Dates=H","DateFormat=P","Fill=—","Direction=H","UseDPDF=Y")</f>
        <v>5045</v>
      </c>
    </row>
    <row r="52" spans="1:12" x14ac:dyDescent="0.45">
      <c r="A52" s="10" t="s">
        <v>110</v>
      </c>
      <c r="B52" s="10" t="s">
        <v>111</v>
      </c>
      <c r="C52" s="13">
        <f>_xll.BDH("FIS US Equity","ST_DEFERRED_REVENUE","FY 2010","FY 2010","Currency=USD","Period=FY","BEST_FPERIOD_OVERRIDE=FY","FILING_STATUS=MR","SCALING_FORMAT=MLN","Sort=A","Dates=H","DateFormat=P","Fill=—","Direction=H","UseDPDF=Y")</f>
        <v>268.60000000000002</v>
      </c>
      <c r="D52" s="13">
        <f>_xll.BDH("FIS US Equity","ST_DEFERRED_REVENUE","FY 2011","FY 2011","Currency=USD","Period=FY","BEST_FPERIOD_OVERRIDE=FY","FILING_STATUS=MR","SCALING_FORMAT=MLN","Sort=A","Dates=H","DateFormat=P","Fill=—","Direction=H","UseDPDF=Y")</f>
        <v>276.5</v>
      </c>
      <c r="E52" s="13">
        <f>_xll.BDH("FIS US Equity","ST_DEFERRED_REVENUE","FY 2012","FY 2012","Currency=USD","Period=FY","BEST_FPERIOD_OVERRIDE=FY","FILING_STATUS=MR","SCALING_FORMAT=MLN","Sort=A","Dates=H","DateFormat=P","Fill=—","Direction=H","UseDPDF=Y")</f>
        <v>287.3</v>
      </c>
      <c r="F52" s="13">
        <f>_xll.BDH("FIS US Equity","ST_DEFERRED_REVENUE","FY 2013","FY 2013","Currency=USD","Period=FY","BEST_FPERIOD_OVERRIDE=FY","FILING_STATUS=MR","SCALING_FORMAT=MLN","Sort=A","Dates=H","DateFormat=P","Fill=—","Direction=H","UseDPDF=Y")</f>
        <v>243.6</v>
      </c>
      <c r="G52" s="13">
        <f>_xll.BDH("FIS US Equity","ST_DEFERRED_REVENUE","FY 2014","FY 2014","Currency=USD","Period=FY","BEST_FPERIOD_OVERRIDE=FY","FILING_STATUS=MR","SCALING_FORMAT=MLN","Sort=A","Dates=H","DateFormat=P","Fill=—","Direction=H","UseDPDF=Y")</f>
        <v>279.39999999999998</v>
      </c>
      <c r="H52" s="13">
        <f>_xll.BDH("FIS US Equity","ST_DEFERRED_REVENUE","FY 2015","FY 2015","Currency=USD","Period=FY","BEST_FPERIOD_OVERRIDE=FY","FILING_STATUS=MR","SCALING_FORMAT=MLN","Sort=A","Dates=H","DateFormat=P","Fill=—","Direction=H","UseDPDF=Y")</f>
        <v>615</v>
      </c>
      <c r="I52" s="13">
        <f>_xll.BDH("FIS US Equity","ST_DEFERRED_REVENUE","FY 2016","FY 2016","Currency=USD","Period=FY","BEST_FPERIOD_OVERRIDE=FY","FILING_STATUS=MR","SCALING_FORMAT=MLN","Sort=A","Dates=H","DateFormat=P","Fill=—","Direction=H","UseDPDF=Y")</f>
        <v>680</v>
      </c>
      <c r="J52" s="13">
        <f>_xll.BDH("FIS US Equity","ST_DEFERRED_REVENUE","FY 2017","FY 2017","Currency=USD","Period=FY","BEST_FPERIOD_OVERRIDE=FY","FILING_STATUS=MR","SCALING_FORMAT=MLN","Sort=A","Dates=H","DateFormat=P","Fill=—","Direction=H","UseDPDF=Y")</f>
        <v>776</v>
      </c>
      <c r="K52" s="13">
        <f>_xll.BDH("FIS US Equity","ST_DEFERRED_REVENUE","FY 2018","FY 2018","Currency=USD","Period=FY","BEST_FPERIOD_OVERRIDE=FY","FILING_STATUS=MR","SCALING_FORMAT=MLN","Sort=A","Dates=H","DateFormat=P","Fill=—","Direction=H","UseDPDF=Y")</f>
        <v>739</v>
      </c>
      <c r="L52" s="13">
        <f>_xll.BDH("FIS US Equity","ST_DEFERRED_REVENUE","FY 2019","FY 2019","Currency=USD","Period=FY","BEST_FPERIOD_OVERRIDE=FY","FILING_STATUS=MR","SCALING_FORMAT=MLN","Sort=A","Dates=H","DateFormat=P","Fill=—","Direction=H","UseDPDF=Y")</f>
        <v>817</v>
      </c>
    </row>
    <row r="53" spans="1:12" x14ac:dyDescent="0.45">
      <c r="A53" s="10" t="s">
        <v>112</v>
      </c>
      <c r="B53" s="10" t="s">
        <v>113</v>
      </c>
      <c r="C53" s="13">
        <f>_xll.BDH("FIS US Equity","BS_DERIVATIVE_&amp;_HEDGING_LIABS_ST","FY 2010","FY 2010","Currency=USD","Period=FY","BEST_FPERIOD_OVERRIDE=FY","FILING_STATUS=MR","SCALING_FORMAT=MLN","Sort=A","Dates=H","DateFormat=P","Fill=—","Direction=H","UseDPDF=Y")</f>
        <v>3.4</v>
      </c>
      <c r="D53" s="13">
        <f>_xll.BDH("FIS US Equity","BS_DERIVATIVE_&amp;_HEDGING_LIABS_ST","FY 2011","FY 2011","Currency=USD","Period=FY","BEST_FPERIOD_OVERRIDE=FY","FILING_STATUS=MR","SCALING_FORMAT=MLN","Sort=A","Dates=H","DateFormat=P","Fill=—","Direction=H","UseDPDF=Y")</f>
        <v>3.4</v>
      </c>
      <c r="E53" s="13">
        <f>_xll.BDH("FIS US Equity","BS_DERIVATIVE_&amp;_HEDGING_LIABS_ST","FY 2012","FY 2012","Currency=USD","Period=FY","BEST_FPERIOD_OVERRIDE=FY","FILING_STATUS=MR","SCALING_FORMAT=MLN","Sort=A","Dates=H","DateFormat=P","Fill=—","Direction=H","UseDPDF=Y")</f>
        <v>1</v>
      </c>
      <c r="F53" s="13" t="str">
        <f>_xll.BDH("FIS US Equity","BS_DERIVATIVE_&amp;_HEDGING_LIABS_ST","FY 2013","FY 2013","Currency=USD","Period=FY","BEST_FPERIOD_OVERRIDE=FY","FILING_STATUS=MR","SCALING_FORMAT=MLN","Sort=A","Dates=H","DateFormat=P","Fill=—","Direction=H","UseDPDF=Y")</f>
        <v>—</v>
      </c>
      <c r="G53" s="13">
        <f>_xll.BDH("FIS US Equity","BS_DERIVATIVE_&amp;_HEDGING_LIABS_ST","FY 2014","FY 2014","Currency=USD","Period=FY","BEST_FPERIOD_OVERRIDE=FY","FILING_STATUS=MR","SCALING_FORMAT=MLN","Sort=A","Dates=H","DateFormat=P","Fill=—","Direction=H","UseDPDF=Y")</f>
        <v>0.7</v>
      </c>
      <c r="H53" s="13">
        <f>_xll.BDH("FIS US Equity","BS_DERIVATIVE_&amp;_HEDGING_LIABS_ST","FY 2015","FY 2015","Currency=USD","Period=FY","BEST_FPERIOD_OVERRIDE=FY","FILING_STATUS=MR","SCALING_FORMAT=MLN","Sort=A","Dates=H","DateFormat=P","Fill=—","Direction=H","UseDPDF=Y")</f>
        <v>0</v>
      </c>
      <c r="I53" s="13" t="str">
        <f>_xll.BDH("FIS US Equity","BS_DERIVATIVE_&amp;_HEDGING_LIABS_ST","FY 2016","FY 2016","Currency=USD","Period=FY","BEST_FPERIOD_OVERRIDE=FY","FILING_STATUS=MR","SCALING_FORMAT=MLN","Sort=A","Dates=H","DateFormat=P","Fill=—","Direction=H","UseDPDF=Y")</f>
        <v>—</v>
      </c>
      <c r="J53" s="13">
        <f>_xll.BDH("FIS US Equity","BS_DERIVATIVE_&amp;_HEDGING_LIABS_ST","FY 2017","FY 2017","Currency=USD","Period=FY","BEST_FPERIOD_OVERRIDE=FY","FILING_STATUS=MR","SCALING_FORMAT=MLN","Sort=A","Dates=H","DateFormat=P","Fill=—","Direction=H","UseDPDF=Y")</f>
        <v>0</v>
      </c>
      <c r="K53" s="13">
        <f>_xll.BDH("FIS US Equity","BS_DERIVATIVE_&amp;_HEDGING_LIABS_ST","FY 2018","FY 2018","Currency=USD","Period=FY","BEST_FPERIOD_OVERRIDE=FY","FILING_STATUS=MR","SCALING_FORMAT=MLN","Sort=A","Dates=H","DateFormat=P","Fill=—","Direction=H","UseDPDF=Y")</f>
        <v>0</v>
      </c>
      <c r="L53" s="13" t="str">
        <f>_xll.BDH("FIS US Equity","BS_DERIVATIVE_&amp;_HEDGING_LIABS_ST","FY 2019","FY 2019","Currency=USD","Period=FY","BEST_FPERIOD_OVERRIDE=FY","FILING_STATUS=MR","SCALING_FORMAT=MLN","Sort=A","Dates=H","DateFormat=P","Fill=—","Direction=H","UseDPDF=Y")</f>
        <v>—</v>
      </c>
    </row>
    <row r="54" spans="1:12" x14ac:dyDescent="0.45">
      <c r="A54" s="10" t="s">
        <v>114</v>
      </c>
      <c r="B54" s="10" t="s">
        <v>115</v>
      </c>
      <c r="C54" s="13" t="str">
        <f>_xll.BDH("FIS US Equity","BS_DEFERRED_TAX_LIABS_ST","FY 2010","FY 2010","Currency=USD","Period=FY","BEST_FPERIOD_OVERRIDE=FY","FILING_STATUS=MR","SCALING_FORMAT=MLN","Sort=A","Dates=H","DateFormat=P","Fill=—","Direction=H","UseDPDF=Y")</f>
        <v>—</v>
      </c>
      <c r="D54" s="13" t="str">
        <f>_xll.BDH("FIS US Equity","BS_DEFERRED_TAX_LIABS_ST","FY 2011","FY 2011","Currency=USD","Period=FY","BEST_FPERIOD_OVERRIDE=FY","FILING_STATUS=MR","SCALING_FORMAT=MLN","Sort=A","Dates=H","DateFormat=P","Fill=—","Direction=H","UseDPDF=Y")</f>
        <v>—</v>
      </c>
      <c r="E54" s="13" t="str">
        <f>_xll.BDH("FIS US Equity","BS_DEFERRED_TAX_LIABS_ST","FY 2012","FY 2012","Currency=USD","Period=FY","BEST_FPERIOD_OVERRIDE=FY","FILING_STATUS=MR","SCALING_FORMAT=MLN","Sort=A","Dates=H","DateFormat=P","Fill=—","Direction=H","UseDPDF=Y")</f>
        <v>—</v>
      </c>
      <c r="F54" s="13" t="str">
        <f>_xll.BDH("FIS US Equity","BS_DEFERRED_TAX_LIABS_ST","FY 2013","FY 2013","Currency=USD","Period=FY","BEST_FPERIOD_OVERRIDE=FY","FILING_STATUS=MR","SCALING_FORMAT=MLN","Sort=A","Dates=H","DateFormat=P","Fill=—","Direction=H","UseDPDF=Y")</f>
        <v>—</v>
      </c>
      <c r="G54" s="13">
        <f>_xll.BDH("FIS US Equity","BS_DEFERRED_TAX_LIABS_ST","FY 2014","FY 2014","Currency=USD","Period=FY","BEST_FPERIOD_OVERRIDE=FY","FILING_STATUS=MR","SCALING_FORMAT=MLN","Sort=A","Dates=H","DateFormat=P","Fill=—","Direction=H","UseDPDF=Y")</f>
        <v>3.7</v>
      </c>
      <c r="H54" s="13">
        <f>_xll.BDH("FIS US Equity","BS_DEFERRED_TAX_LIABS_ST","FY 2015","FY 2015","Currency=USD","Period=FY","BEST_FPERIOD_OVERRIDE=FY","FILING_STATUS=MR","SCALING_FORMAT=MLN","Sort=A","Dates=H","DateFormat=P","Fill=—","Direction=H","UseDPDF=Y")</f>
        <v>2</v>
      </c>
      <c r="I54" s="13">
        <f>_xll.BDH("FIS US Equity","BS_DEFERRED_TAX_LIABS_ST","FY 2016","FY 2016","Currency=USD","Period=FY","BEST_FPERIOD_OVERRIDE=FY","FILING_STATUS=MR","SCALING_FORMAT=MLN","Sort=A","Dates=H","DateFormat=P","Fill=—","Direction=H","UseDPDF=Y")</f>
        <v>4</v>
      </c>
      <c r="J54" s="13">
        <f>_xll.BDH("FIS US Equity","BS_DEFERRED_TAX_LIABS_ST","FY 2017","FY 2017","Currency=USD","Period=FY","BEST_FPERIOD_OVERRIDE=FY","FILING_STATUS=MR","SCALING_FORMAT=MLN","Sort=A","Dates=H","DateFormat=P","Fill=—","Direction=H","UseDPDF=Y")</f>
        <v>0</v>
      </c>
      <c r="K54" s="13">
        <f>_xll.BDH("FIS US Equity","BS_DEFERRED_TAX_LIABS_ST","FY 2018","FY 2018","Currency=USD","Period=FY","BEST_FPERIOD_OVERRIDE=FY","FILING_STATUS=MR","SCALING_FORMAT=MLN","Sort=A","Dates=H","DateFormat=P","Fill=—","Direction=H","UseDPDF=Y")</f>
        <v>0</v>
      </c>
      <c r="L54" s="13">
        <f>_xll.BDH("FIS US Equity","BS_DEFERRED_TAX_LIABS_ST","FY 2019","FY 2019","Currency=USD","Period=FY","BEST_FPERIOD_OVERRIDE=FY","FILING_STATUS=MR","SCALING_FORMAT=MLN","Sort=A","Dates=H","DateFormat=P","Fill=—","Direction=H","UseDPDF=Y")</f>
        <v>0</v>
      </c>
    </row>
    <row r="55" spans="1:12" x14ac:dyDescent="0.45">
      <c r="A55" s="10" t="s">
        <v>116</v>
      </c>
      <c r="B55" s="10" t="s">
        <v>117</v>
      </c>
      <c r="C55" s="13">
        <f>_xll.BDH("FIS US Equity","OTHER_CURRENT_LIABS_DETAILED","FY 2010","FY 2010","Currency=USD","Period=FY","BEST_FPERIOD_OVERRIDE=FY","FILING_STATUS=MR","SCALING_FORMAT=MLN","Sort=A","Dates=H","DateFormat=P","Fill=—","Direction=H","UseDPDF=Y")</f>
        <v>39.1</v>
      </c>
      <c r="D55" s="13">
        <f>_xll.BDH("FIS US Equity","OTHER_CURRENT_LIABS_DETAILED","FY 2011","FY 2011","Currency=USD","Period=FY","BEST_FPERIOD_OVERRIDE=FY","FILING_STATUS=MR","SCALING_FORMAT=MLN","Sort=A","Dates=H","DateFormat=P","Fill=—","Direction=H","UseDPDF=Y")</f>
        <v>33.1</v>
      </c>
      <c r="E55" s="13">
        <f>_xll.BDH("FIS US Equity","OTHER_CURRENT_LIABS_DETAILED","FY 2012","FY 2012","Currency=USD","Period=FY","BEST_FPERIOD_OVERRIDE=FY","FILING_STATUS=MR","SCALING_FORMAT=MLN","Sort=A","Dates=H","DateFormat=P","Fill=—","Direction=H","UseDPDF=Y")</f>
        <v>190</v>
      </c>
      <c r="F55" s="13">
        <f>_xll.BDH("FIS US Equity","OTHER_CURRENT_LIABS_DETAILED","FY 2013","FY 2013","Currency=USD","Period=FY","BEST_FPERIOD_OVERRIDE=FY","FILING_STATUS=MR","SCALING_FORMAT=MLN","Sort=A","Dates=H","DateFormat=P","Fill=—","Direction=H","UseDPDF=Y")</f>
        <v>532.29999999999995</v>
      </c>
      <c r="G55" s="13">
        <f>_xll.BDH("FIS US Equity","OTHER_CURRENT_LIABS_DETAILED","FY 2014","FY 2014","Currency=USD","Period=FY","BEST_FPERIOD_OVERRIDE=FY","FILING_STATUS=MR","SCALING_FORMAT=MLN","Sort=A","Dates=H","DateFormat=P","Fill=—","Direction=H","UseDPDF=Y")</f>
        <v>571.70000000000005</v>
      </c>
      <c r="H55" s="13">
        <f>_xll.BDH("FIS US Equity","OTHER_CURRENT_LIABS_DETAILED","FY 2015","FY 2015","Currency=USD","Period=FY","BEST_FPERIOD_OVERRIDE=FY","FILING_STATUS=MR","SCALING_FORMAT=MLN","Sort=A","Dates=H","DateFormat=P","Fill=—","Direction=H","UseDPDF=Y")</f>
        <v>536</v>
      </c>
      <c r="I55" s="13">
        <f>_xll.BDH("FIS US Equity","OTHER_CURRENT_LIABS_DETAILED","FY 2016","FY 2016","Currency=USD","Period=FY","BEST_FPERIOD_OVERRIDE=FY","FILING_STATUS=MR","SCALING_FORMAT=MLN","Sort=A","Dates=H","DateFormat=P","Fill=—","Direction=H","UseDPDF=Y")</f>
        <v>989</v>
      </c>
      <c r="J55" s="13">
        <f>_xll.BDH("FIS US Equity","OTHER_CURRENT_LIABS_DETAILED","FY 2017","FY 2017","Currency=USD","Period=FY","BEST_FPERIOD_OVERRIDE=FY","FILING_STATUS=MR","SCALING_FORMAT=MLN","Sort=A","Dates=H","DateFormat=P","Fill=—","Direction=H","UseDPDF=Y")</f>
        <v>949</v>
      </c>
      <c r="K55" s="13">
        <f>_xll.BDH("FIS US Equity","OTHER_CURRENT_LIABS_DETAILED","FY 2018","FY 2018","Currency=USD","Period=FY","BEST_FPERIOD_OVERRIDE=FY","FILING_STATUS=MR","SCALING_FORMAT=MLN","Sort=A","Dates=H","DateFormat=P","Fill=—","Direction=H","UseDPDF=Y")</f>
        <v>972</v>
      </c>
      <c r="L55" s="13">
        <f>_xll.BDH("FIS US Equity","OTHER_CURRENT_LIABS_DETAILED","FY 2019","FY 2019","Currency=USD","Period=FY","BEST_FPERIOD_OVERRIDE=FY","FILING_STATUS=MR","SCALING_FORMAT=MLN","Sort=A","Dates=H","DateFormat=P","Fill=—","Direction=H","UseDPDF=Y")</f>
        <v>4228</v>
      </c>
    </row>
    <row r="56" spans="1:12" x14ac:dyDescent="0.45">
      <c r="A56" s="6" t="s">
        <v>118</v>
      </c>
      <c r="B56" s="6" t="s">
        <v>119</v>
      </c>
      <c r="C56" s="16">
        <f>_xll.BDH("FIS US Equity","BS_CUR_LIAB","FY 2010","FY 2010","Currency=USD","Period=FY","BEST_FPERIOD_OVERRIDE=FY","FILING_STATUS=MR","SCALING_FORMAT=MLN","Sort=A","Dates=H","DateFormat=P","Fill=—","Direction=H","UseDPDF=Y")</f>
        <v>1300.4000000000001</v>
      </c>
      <c r="D56" s="16">
        <f>_xll.BDH("FIS US Equity","BS_CUR_LIAB","FY 2011","FY 2011","Currency=USD","Period=FY","BEST_FPERIOD_OVERRIDE=FY","FILING_STATUS=MR","SCALING_FORMAT=MLN","Sort=A","Dates=H","DateFormat=P","Fill=—","Direction=H","UseDPDF=Y")</f>
        <v>1356.3</v>
      </c>
      <c r="E56" s="16">
        <f>_xll.BDH("FIS US Equity","BS_CUR_LIAB","FY 2012","FY 2012","Currency=USD","Period=FY","BEST_FPERIOD_OVERRIDE=FY","FILING_STATUS=MR","SCALING_FORMAT=MLN","Sort=A","Dates=H","DateFormat=P","Fill=—","Direction=H","UseDPDF=Y")</f>
        <v>1256.8</v>
      </c>
      <c r="F56" s="16">
        <f>_xll.BDH("FIS US Equity","BS_CUR_LIAB","FY 2013","FY 2013","Currency=USD","Period=FY","BEST_FPERIOD_OVERRIDE=FY","FILING_STATUS=MR","SCALING_FORMAT=MLN","Sort=A","Dates=H","DateFormat=P","Fill=—","Direction=H","UseDPDF=Y")</f>
        <v>1672.7</v>
      </c>
      <c r="G56" s="16">
        <f>_xll.BDH("FIS US Equity","BS_CUR_LIAB","FY 2014","FY 2014","Currency=USD","Period=FY","BEST_FPERIOD_OVERRIDE=FY","FILING_STATUS=MR","SCALING_FORMAT=MLN","Sort=A","Dates=H","DateFormat=P","Fill=—","Direction=H","UseDPDF=Y")</f>
        <v>1598.9</v>
      </c>
      <c r="H56" s="16">
        <f>_xll.BDH("FIS US Equity","BS_CUR_LIAB","FY 2015","FY 2015","Currency=USD","Period=FY","BEST_FPERIOD_OVERRIDE=FY","FILING_STATUS=MR","SCALING_FORMAT=MLN","Sort=A","Dates=H","DateFormat=P","Fill=—","Direction=H","UseDPDF=Y")</f>
        <v>2364</v>
      </c>
      <c r="I56" s="16">
        <f>_xll.BDH("FIS US Equity","BS_CUR_LIAB","FY 2016","FY 2016","Currency=USD","Period=FY","BEST_FPERIOD_OVERRIDE=FY","FILING_STATUS=MR","SCALING_FORMAT=MLN","Sort=A","Dates=H","DateFormat=P","Fill=—","Direction=H","UseDPDF=Y")</f>
        <v>3151</v>
      </c>
      <c r="J56" s="16">
        <f>_xll.BDH("FIS US Equity","BS_CUR_LIAB","FY 2017","FY 2017","Currency=USD","Period=FY","BEST_FPERIOD_OVERRIDE=FY","FILING_STATUS=MR","SCALING_FORMAT=MLN","Sort=A","Dates=H","DateFormat=P","Fill=—","Direction=H","UseDPDF=Y")</f>
        <v>4011</v>
      </c>
      <c r="K56" s="16">
        <f>_xll.BDH("FIS US Equity","BS_CUR_LIAB","FY 2018","FY 2018","Currency=USD","Period=FY","BEST_FPERIOD_OVERRIDE=FY","FILING_STATUS=MR","SCALING_FORMAT=MLN","Sort=A","Dates=H","DateFormat=P","Fill=—","Direction=H","UseDPDF=Y")</f>
        <v>3125</v>
      </c>
      <c r="L56" s="16">
        <f>_xll.BDH("FIS US Equity","BS_CUR_LIAB","FY 2019","FY 2019","Currency=USD","Period=FY","BEST_FPERIOD_OVERRIDE=FY","FILING_STATUS=MR","SCALING_FORMAT=MLN","Sort=A","Dates=H","DateFormat=P","Fill=—","Direction=H","UseDPDF=Y")</f>
        <v>10382</v>
      </c>
    </row>
    <row r="57" spans="1:12" x14ac:dyDescent="0.45">
      <c r="A57" s="10" t="s">
        <v>120</v>
      </c>
      <c r="B57" s="10" t="s">
        <v>121</v>
      </c>
      <c r="C57" s="13">
        <f>_xll.BDH("FIS US Equity","BS_LT_BORROW","FY 2010","FY 2010","Currency=USD","Period=FY","BEST_FPERIOD_OVERRIDE=FY","FILING_STATUS=MR","SCALING_FORMAT=MLN","Sort=A","Dates=H","DateFormat=P","Fill=—","Direction=H","UseDPDF=Y")</f>
        <v>4935.2</v>
      </c>
      <c r="D57" s="13">
        <f>_xll.BDH("FIS US Equity","BS_LT_BORROW","FY 2011","FY 2011","Currency=USD","Period=FY","BEST_FPERIOD_OVERRIDE=FY","FILING_STATUS=MR","SCALING_FORMAT=MLN","Sort=A","Dates=H","DateFormat=P","Fill=—","Direction=H","UseDPDF=Y")</f>
        <v>4550.6000000000004</v>
      </c>
      <c r="E57" s="13">
        <f>_xll.BDH("FIS US Equity","BS_LT_BORROW","FY 2012","FY 2012","Currency=USD","Period=FY","BEST_FPERIOD_OVERRIDE=FY","FILING_STATUS=MR","SCALING_FORMAT=MLN","Sort=A","Dates=H","DateFormat=P","Fill=—","Direction=H","UseDPDF=Y")</f>
        <v>4231.6000000000004</v>
      </c>
      <c r="F57" s="13">
        <f>_xll.BDH("FIS US Equity","BS_LT_BORROW","FY 2013","FY 2013","Currency=USD","Period=FY","BEST_FPERIOD_OVERRIDE=FY","FILING_STATUS=MR","SCALING_FORMAT=MLN","Sort=A","Dates=H","DateFormat=P","Fill=—","Direction=H","UseDPDF=Y")</f>
        <v>4339.8</v>
      </c>
      <c r="G57" s="13">
        <f>_xll.BDH("FIS US Equity","BS_LT_BORROW","FY 2014","FY 2014","Currency=USD","Period=FY","BEST_FPERIOD_OVERRIDE=FY","FILING_STATUS=MR","SCALING_FORMAT=MLN","Sort=A","Dates=H","DateFormat=P","Fill=—","Direction=H","UseDPDF=Y")</f>
        <v>5054.6000000000004</v>
      </c>
      <c r="H57" s="13">
        <f>_xll.BDH("FIS US Equity","BS_LT_BORROW","FY 2015","FY 2015","Currency=USD","Period=FY","BEST_FPERIOD_OVERRIDE=FY","FILING_STATUS=MR","SCALING_FORMAT=MLN","Sort=A","Dates=H","DateFormat=P","Fill=—","Direction=H","UseDPDF=Y")</f>
        <v>11429</v>
      </c>
      <c r="I57" s="13">
        <f>_xll.BDH("FIS US Equity","BS_LT_BORROW","FY 2016","FY 2016","Currency=USD","Period=FY","BEST_FPERIOD_OVERRIDE=FY","FILING_STATUS=MR","SCALING_FORMAT=MLN","Sort=A","Dates=H","DateFormat=P","Fill=—","Direction=H","UseDPDF=Y")</f>
        <v>10146</v>
      </c>
      <c r="J57" s="13">
        <f>_xll.BDH("FIS US Equity","BS_LT_BORROW","FY 2017","FY 2017","Currency=USD","Period=FY","BEST_FPERIOD_OVERRIDE=FY","FILING_STATUS=MR","SCALING_FORMAT=MLN","Sort=A","Dates=H","DateFormat=P","Fill=—","Direction=H","UseDPDF=Y")</f>
        <v>7718</v>
      </c>
      <c r="K57" s="13">
        <f>_xll.BDH("FIS US Equity","BS_LT_BORROW","FY 2018","FY 2018","Currency=USD","Period=FY","BEST_FPERIOD_OVERRIDE=FY","FILING_STATUS=MR","SCALING_FORMAT=MLN","Sort=A","Dates=H","DateFormat=P","Fill=—","Direction=H","UseDPDF=Y")</f>
        <v>8670</v>
      </c>
      <c r="L57" s="13">
        <f>_xll.BDH("FIS US Equity","BS_LT_BORROW","FY 2019","FY 2019","Currency=USD","Period=FY","BEST_FPERIOD_OVERRIDE=FY","FILING_STATUS=MR","SCALING_FORMAT=MLN","Sort=A","Dates=H","DateFormat=P","Fill=—","Direction=H","UseDPDF=Y")</f>
        <v>17695</v>
      </c>
    </row>
    <row r="58" spans="1:12" x14ac:dyDescent="0.45">
      <c r="A58" s="10" t="s">
        <v>122</v>
      </c>
      <c r="B58" s="10" t="s">
        <v>123</v>
      </c>
      <c r="C58" s="13">
        <f>_xll.BDH("FIS US Equity","LONG_TERM_BORROWINGS_DETAILED","FY 2010","FY 2010","Currency=USD","Period=FY","BEST_FPERIOD_OVERRIDE=FY","FILING_STATUS=MR","SCALING_FORMAT=MLN","Sort=A","Dates=H","DateFormat=P","Fill=—","Direction=H","UseDPDF=Y")</f>
        <v>4935.2</v>
      </c>
      <c r="D58" s="13">
        <f>_xll.BDH("FIS US Equity","LONG_TERM_BORROWINGS_DETAILED","FY 2011","FY 2011","Currency=USD","Period=FY","BEST_FPERIOD_OVERRIDE=FY","FILING_STATUS=MR","SCALING_FORMAT=MLN","Sort=A","Dates=H","DateFormat=P","Fill=—","Direction=H","UseDPDF=Y")</f>
        <v>4550.6000000000004</v>
      </c>
      <c r="E58" s="13">
        <f>_xll.BDH("FIS US Equity","LONG_TERM_BORROWINGS_DETAILED","FY 2012","FY 2012","Currency=USD","Period=FY","BEST_FPERIOD_OVERRIDE=FY","FILING_STATUS=MR","SCALING_FORMAT=MLN","Sort=A","Dates=H","DateFormat=P","Fill=—","Direction=H","UseDPDF=Y")</f>
        <v>4231.6000000000004</v>
      </c>
      <c r="F58" s="13">
        <f>_xll.BDH("FIS US Equity","LONG_TERM_BORROWINGS_DETAILED","FY 2013","FY 2013","Currency=USD","Period=FY","BEST_FPERIOD_OVERRIDE=FY","FILING_STATUS=MR","SCALING_FORMAT=MLN","Sort=A","Dates=H","DateFormat=P","Fill=—","Direction=H","UseDPDF=Y")</f>
        <v>4339.8</v>
      </c>
      <c r="G58" s="13">
        <f>_xll.BDH("FIS US Equity","LONG_TERM_BORROWINGS_DETAILED","FY 2014","FY 2014","Currency=USD","Period=FY","BEST_FPERIOD_OVERRIDE=FY","FILING_STATUS=MR","SCALING_FORMAT=MLN","Sort=A","Dates=H","DateFormat=P","Fill=—","Direction=H","UseDPDF=Y")</f>
        <v>5054.6000000000004</v>
      </c>
      <c r="H58" s="13">
        <f>_xll.BDH("FIS US Equity","LONG_TERM_BORROWINGS_DETAILED","FY 2015","FY 2015","Currency=USD","Period=FY","BEST_FPERIOD_OVERRIDE=FY","FILING_STATUS=MR","SCALING_FORMAT=MLN","Sort=A","Dates=H","DateFormat=P","Fill=—","Direction=H","UseDPDF=Y")</f>
        <v>11420</v>
      </c>
      <c r="I58" s="13">
        <f>_xll.BDH("FIS US Equity","LONG_TERM_BORROWINGS_DETAILED","FY 2016","FY 2016","Currency=USD","Period=FY","BEST_FPERIOD_OVERRIDE=FY","FILING_STATUS=MR","SCALING_FORMAT=MLN","Sort=A","Dates=H","DateFormat=P","Fill=—","Direction=H","UseDPDF=Y")</f>
        <v>10103</v>
      </c>
      <c r="J58" s="13">
        <f>_xll.BDH("FIS US Equity","LONG_TERM_BORROWINGS_DETAILED","FY 2017","FY 2017","Currency=USD","Period=FY","BEST_FPERIOD_OVERRIDE=FY","FILING_STATUS=MR","SCALING_FORMAT=MLN","Sort=A","Dates=H","DateFormat=P","Fill=—","Direction=H","UseDPDF=Y")</f>
        <v>7718</v>
      </c>
      <c r="K58" s="13">
        <f>_xll.BDH("FIS US Equity","LONG_TERM_BORROWINGS_DETAILED","FY 2018","FY 2018","Currency=USD","Period=FY","BEST_FPERIOD_OVERRIDE=FY","FILING_STATUS=MR","SCALING_FORMAT=MLN","Sort=A","Dates=H","DateFormat=P","Fill=—","Direction=H","UseDPDF=Y")</f>
        <v>8579</v>
      </c>
      <c r="L58" s="13">
        <f>_xll.BDH("FIS US Equity","LONG_TERM_BORROWINGS_DETAILED","FY 2019","FY 2019","Currency=USD","Period=FY","BEST_FPERIOD_OVERRIDE=FY","FILING_STATUS=MR","SCALING_FORMAT=MLN","Sort=A","Dates=H","DateFormat=P","Fill=—","Direction=H","UseDPDF=Y")</f>
        <v>17229</v>
      </c>
    </row>
    <row r="59" spans="1:12" x14ac:dyDescent="0.45">
      <c r="A59" s="10" t="s">
        <v>124</v>
      </c>
      <c r="B59" s="10" t="s">
        <v>125</v>
      </c>
      <c r="C59" s="13">
        <f>_xll.BDH("FIS US Equity","LT_CAPITALIZED_LEASE_LIABILITIES","FY 2010","FY 2010","Currency=USD","Period=FY","BEST_FPERIOD_OVERRIDE=FY","FILING_STATUS=MR","SCALING_FORMAT=MLN","Sort=A","Dates=H","DateFormat=P","Fill=—","Direction=H","UseDPDF=Y")</f>
        <v>0</v>
      </c>
      <c r="D59" s="13">
        <f>_xll.BDH("FIS US Equity","LT_CAPITALIZED_LEASE_LIABILITIES","FY 2011","FY 2011","Currency=USD","Period=FY","BEST_FPERIOD_OVERRIDE=FY","FILING_STATUS=MR","SCALING_FORMAT=MLN","Sort=A","Dates=H","DateFormat=P","Fill=—","Direction=H","UseDPDF=Y")</f>
        <v>0</v>
      </c>
      <c r="E59" s="13">
        <f>_xll.BDH("FIS US Equity","LT_CAPITALIZED_LEASE_LIABILITIES","FY 2012","FY 2012","Currency=USD","Period=FY","BEST_FPERIOD_OVERRIDE=FY","FILING_STATUS=MR","SCALING_FORMAT=MLN","Sort=A","Dates=H","DateFormat=P","Fill=—","Direction=H","UseDPDF=Y")</f>
        <v>0</v>
      </c>
      <c r="F59" s="13" t="str">
        <f>_xll.BDH("FIS US Equity","LT_CAPITALIZED_LEASE_LIABILITIES","FY 2013","FY 2013","Currency=USD","Period=FY","BEST_FPERIOD_OVERRIDE=FY","FILING_STATUS=MR","SCALING_FORMAT=MLN","Sort=A","Dates=H","DateFormat=P","Fill=—","Direction=H","UseDPDF=Y")</f>
        <v>—</v>
      </c>
      <c r="G59" s="13" t="str">
        <f>_xll.BDH("FIS US Equity","LT_CAPITALIZED_LEASE_LIABILITIES","FY 2014","FY 2014","Currency=USD","Period=FY","BEST_FPERIOD_OVERRIDE=FY","FILING_STATUS=MR","SCALING_FORMAT=MLN","Sort=A","Dates=H","DateFormat=P","Fill=—","Direction=H","UseDPDF=Y")</f>
        <v>—</v>
      </c>
      <c r="H59" s="13">
        <f>_xll.BDH("FIS US Equity","LT_CAPITALIZED_LEASE_LIABILITIES","FY 2015","FY 2015","Currency=USD","Period=FY","BEST_FPERIOD_OVERRIDE=FY","FILING_STATUS=MR","SCALING_FORMAT=MLN","Sort=A","Dates=H","DateFormat=P","Fill=—","Direction=H","UseDPDF=Y")</f>
        <v>9</v>
      </c>
      <c r="I59" s="13">
        <f>_xll.BDH("FIS US Equity","LT_CAPITALIZED_LEASE_LIABILITIES","FY 2016","FY 2016","Currency=USD","Period=FY","BEST_FPERIOD_OVERRIDE=FY","FILING_STATUS=MR","SCALING_FORMAT=MLN","Sort=A","Dates=H","DateFormat=P","Fill=—","Direction=H","UseDPDF=Y")</f>
        <v>43</v>
      </c>
      <c r="J59" s="13" t="str">
        <f>_xll.BDH("FIS US Equity","LT_CAPITALIZED_LEASE_LIABILITIES","FY 2017","FY 2017","Currency=USD","Period=FY","BEST_FPERIOD_OVERRIDE=FY","FILING_STATUS=MR","SCALING_FORMAT=MLN","Sort=A","Dates=H","DateFormat=P","Fill=—","Direction=H","UseDPDF=Y")</f>
        <v>—</v>
      </c>
      <c r="K59" s="13">
        <f>_xll.BDH("FIS US Equity","LT_CAPITALIZED_LEASE_LIABILITIES","FY 2018","FY 2018","Currency=USD","Period=FY","BEST_FPERIOD_OVERRIDE=FY","FILING_STATUS=MR","SCALING_FORMAT=MLN","Sort=A","Dates=H","DateFormat=P","Fill=—","Direction=H","UseDPDF=Y")</f>
        <v>91</v>
      </c>
      <c r="L59" s="13">
        <f>_xll.BDH("FIS US Equity","LT_CAPITALIZED_LEASE_LIABILITIES","FY 2019","FY 2019","Currency=USD","Period=FY","BEST_FPERIOD_OVERRIDE=FY","FILING_STATUS=MR","SCALING_FORMAT=MLN","Sort=A","Dates=H","DateFormat=P","Fill=—","Direction=H","UseDPDF=Y")</f>
        <v>466</v>
      </c>
    </row>
    <row r="60" spans="1:12" x14ac:dyDescent="0.45">
      <c r="A60" s="11" t="s">
        <v>126</v>
      </c>
      <c r="B60" s="11" t="s">
        <v>127</v>
      </c>
      <c r="C60" s="17">
        <f>_xll.BDH("FIS US Equity","LT_CAPITAL_LEASE_OBLIGATIONS","FY 2010","FY 2010","Currency=USD","Period=FY","BEST_FPERIOD_OVERRIDE=FY","FILING_STATUS=MR","SCALING_FORMAT=MLN","Sort=A","Dates=H","DateFormat=P","Fill=—","Direction=H","UseDPDF=Y")</f>
        <v>0</v>
      </c>
      <c r="D60" s="17">
        <f>_xll.BDH("FIS US Equity","LT_CAPITAL_LEASE_OBLIGATIONS","FY 2011","FY 2011","Currency=USD","Period=FY","BEST_FPERIOD_OVERRIDE=FY","FILING_STATUS=MR","SCALING_FORMAT=MLN","Sort=A","Dates=H","DateFormat=P","Fill=—","Direction=H","UseDPDF=Y")</f>
        <v>0</v>
      </c>
      <c r="E60" s="17">
        <f>_xll.BDH("FIS US Equity","LT_CAPITAL_LEASE_OBLIGATIONS","FY 2012","FY 2012","Currency=USD","Period=FY","BEST_FPERIOD_OVERRIDE=FY","FILING_STATUS=MR","SCALING_FORMAT=MLN","Sort=A","Dates=H","DateFormat=P","Fill=—","Direction=H","UseDPDF=Y")</f>
        <v>0</v>
      </c>
      <c r="F60" s="17" t="str">
        <f>_xll.BDH("FIS US Equity","LT_CAPITAL_LEASE_OBLIGATIONS","FY 2013","FY 2013","Currency=USD","Period=FY","BEST_FPERIOD_OVERRIDE=FY","FILING_STATUS=MR","SCALING_FORMAT=MLN","Sort=A","Dates=H","DateFormat=P","Fill=—","Direction=H","UseDPDF=Y")</f>
        <v>—</v>
      </c>
      <c r="G60" s="17" t="str">
        <f>_xll.BDH("FIS US Equity","LT_CAPITAL_LEASE_OBLIGATIONS","FY 2014","FY 2014","Currency=USD","Period=FY","BEST_FPERIOD_OVERRIDE=FY","FILING_STATUS=MR","SCALING_FORMAT=MLN","Sort=A","Dates=H","DateFormat=P","Fill=—","Direction=H","UseDPDF=Y")</f>
        <v>—</v>
      </c>
      <c r="H60" s="17">
        <f>_xll.BDH("FIS US Equity","LT_CAPITAL_LEASE_OBLIGATIONS","FY 2015","FY 2015","Currency=USD","Period=FY","BEST_FPERIOD_OVERRIDE=FY","FILING_STATUS=MR","SCALING_FORMAT=MLN","Sort=A","Dates=H","DateFormat=P","Fill=—","Direction=H","UseDPDF=Y")</f>
        <v>9</v>
      </c>
      <c r="I60" s="17">
        <f>_xll.BDH("FIS US Equity","LT_CAPITAL_LEASE_OBLIGATIONS","FY 2016","FY 2016","Currency=USD","Period=FY","BEST_FPERIOD_OVERRIDE=FY","FILING_STATUS=MR","SCALING_FORMAT=MLN","Sort=A","Dates=H","DateFormat=P","Fill=—","Direction=H","UseDPDF=Y")</f>
        <v>43</v>
      </c>
      <c r="J60" s="17" t="str">
        <f>_xll.BDH("FIS US Equity","LT_CAPITAL_LEASE_OBLIGATIONS","FY 2017","FY 2017","Currency=USD","Period=FY","BEST_FPERIOD_OVERRIDE=FY","FILING_STATUS=MR","SCALING_FORMAT=MLN","Sort=A","Dates=H","DateFormat=P","Fill=—","Direction=H","UseDPDF=Y")</f>
        <v>—</v>
      </c>
      <c r="K60" s="17">
        <f>_xll.BDH("FIS US Equity","LT_CAPITAL_LEASE_OBLIGATIONS","FY 2018","FY 2018","Currency=USD","Period=FY","BEST_FPERIOD_OVERRIDE=FY","FILING_STATUS=MR","SCALING_FORMAT=MLN","Sort=A","Dates=H","DateFormat=P","Fill=—","Direction=H","UseDPDF=Y")</f>
        <v>91</v>
      </c>
      <c r="L60" s="17" t="str">
        <f>_xll.BDH("FIS US Equity","LT_CAPITAL_LEASE_OBLIGATIONS","FY 2019","FY 2019","Currency=USD","Period=FY","BEST_FPERIOD_OVERRIDE=FY","FILING_STATUS=MR","SCALING_FORMAT=MLN","Sort=A","Dates=H","DateFormat=P","Fill=—","Direction=H","UseDPDF=Y")</f>
        <v>—</v>
      </c>
    </row>
    <row r="61" spans="1:12" x14ac:dyDescent="0.45">
      <c r="A61" s="11" t="s">
        <v>128</v>
      </c>
      <c r="B61" s="11" t="s">
        <v>129</v>
      </c>
      <c r="C61" s="17" t="str">
        <f>_xll.BDH("FIS US Equity","BS_LT_OPERATING_LEASE_LIABS","FY 2010","FY 2010","Currency=USD","Period=FY","BEST_FPERIOD_OVERRIDE=FY","FILING_STATUS=MR","SCALING_FORMAT=MLN","Sort=A","Dates=H","DateFormat=P","Fill=—","Direction=H","UseDPDF=Y")</f>
        <v>—</v>
      </c>
      <c r="D61" s="17" t="str">
        <f>_xll.BDH("FIS US Equity","BS_LT_OPERATING_LEASE_LIABS","FY 2011","FY 2011","Currency=USD","Period=FY","BEST_FPERIOD_OVERRIDE=FY","FILING_STATUS=MR","SCALING_FORMAT=MLN","Sort=A","Dates=H","DateFormat=P","Fill=—","Direction=H","UseDPDF=Y")</f>
        <v>—</v>
      </c>
      <c r="E61" s="17" t="str">
        <f>_xll.BDH("FIS US Equity","BS_LT_OPERATING_LEASE_LIABS","FY 2012","FY 2012","Currency=USD","Period=FY","BEST_FPERIOD_OVERRIDE=FY","FILING_STATUS=MR","SCALING_FORMAT=MLN","Sort=A","Dates=H","DateFormat=P","Fill=—","Direction=H","UseDPDF=Y")</f>
        <v>—</v>
      </c>
      <c r="F61" s="17" t="str">
        <f>_xll.BDH("FIS US Equity","BS_LT_OPERATING_LEASE_LIABS","FY 2013","FY 2013","Currency=USD","Period=FY","BEST_FPERIOD_OVERRIDE=FY","FILING_STATUS=MR","SCALING_FORMAT=MLN","Sort=A","Dates=H","DateFormat=P","Fill=—","Direction=H","UseDPDF=Y")</f>
        <v>—</v>
      </c>
      <c r="G61" s="17" t="str">
        <f>_xll.BDH("FIS US Equity","BS_LT_OPERATING_LEASE_LIABS","FY 2014","FY 2014","Currency=USD","Period=FY","BEST_FPERIOD_OVERRIDE=FY","FILING_STATUS=MR","SCALING_FORMAT=MLN","Sort=A","Dates=H","DateFormat=P","Fill=—","Direction=H","UseDPDF=Y")</f>
        <v>—</v>
      </c>
      <c r="H61" s="17" t="str">
        <f>_xll.BDH("FIS US Equity","BS_LT_OPERATING_LEASE_LIABS","FY 2015","FY 2015","Currency=USD","Period=FY","BEST_FPERIOD_OVERRIDE=FY","FILING_STATUS=MR","SCALING_FORMAT=MLN","Sort=A","Dates=H","DateFormat=P","Fill=—","Direction=H","UseDPDF=Y")</f>
        <v>—</v>
      </c>
      <c r="I61" s="17" t="str">
        <f>_xll.BDH("FIS US Equity","BS_LT_OPERATING_LEASE_LIABS","FY 2016","FY 2016","Currency=USD","Period=FY","BEST_FPERIOD_OVERRIDE=FY","FILING_STATUS=MR","SCALING_FORMAT=MLN","Sort=A","Dates=H","DateFormat=P","Fill=—","Direction=H","UseDPDF=Y")</f>
        <v>—</v>
      </c>
      <c r="J61" s="17" t="str">
        <f>_xll.BDH("FIS US Equity","BS_LT_OPERATING_LEASE_LIABS","FY 2017","FY 2017","Currency=USD","Period=FY","BEST_FPERIOD_OVERRIDE=FY","FILING_STATUS=MR","SCALING_FORMAT=MLN","Sort=A","Dates=H","DateFormat=P","Fill=—","Direction=H","UseDPDF=Y")</f>
        <v>—</v>
      </c>
      <c r="K61" s="17" t="str">
        <f>_xll.BDH("FIS US Equity","BS_LT_OPERATING_LEASE_LIABS","FY 2018","FY 2018","Currency=USD","Period=FY","BEST_FPERIOD_OVERRIDE=FY","FILING_STATUS=MR","SCALING_FORMAT=MLN","Sort=A","Dates=H","DateFormat=P","Fill=—","Direction=H","UseDPDF=Y")</f>
        <v>—</v>
      </c>
      <c r="L61" s="17">
        <f>_xll.BDH("FIS US Equity","BS_LT_OPERATING_LEASE_LIABS","FY 2019","FY 2019","Currency=USD","Period=FY","BEST_FPERIOD_OVERRIDE=FY","FILING_STATUS=MR","SCALING_FORMAT=MLN","Sort=A","Dates=H","DateFormat=P","Fill=—","Direction=H","UseDPDF=Y")</f>
        <v>466</v>
      </c>
    </row>
    <row r="62" spans="1:12" x14ac:dyDescent="0.45">
      <c r="A62" s="10" t="s">
        <v>130</v>
      </c>
      <c r="B62" s="10" t="s">
        <v>131</v>
      </c>
      <c r="C62" s="13">
        <f>_xll.BDH("FIS US Equity","OTHER_NONCUR_LIABS_SUB_DETAILED","FY 2010","FY 2010","Currency=USD","Period=FY","BEST_FPERIOD_OVERRIDE=FY","FILING_STATUS=MR","SCALING_FORMAT=MLN","Sort=A","Dates=H","DateFormat=P","Fill=—","Direction=H","UseDPDF=Y")</f>
        <v>1379.1</v>
      </c>
      <c r="D62" s="13">
        <f>_xll.BDH("FIS US Equity","OTHER_NONCUR_LIABS_SUB_DETAILED","FY 2011","FY 2011","Currency=USD","Period=FY","BEST_FPERIOD_OVERRIDE=FY","FILING_STATUS=MR","SCALING_FORMAT=MLN","Sort=A","Dates=H","DateFormat=P","Fill=—","Direction=H","UseDPDF=Y")</f>
        <v>1315.1</v>
      </c>
      <c r="E62" s="13">
        <f>_xll.BDH("FIS US Equity","OTHER_NONCUR_LIABS_SUB_DETAILED","FY 2012","FY 2012","Currency=USD","Period=FY","BEST_FPERIOD_OVERRIDE=FY","FILING_STATUS=MR","SCALING_FORMAT=MLN","Sort=A","Dates=H","DateFormat=P","Fill=—","Direction=H","UseDPDF=Y")</f>
        <v>1267.7</v>
      </c>
      <c r="F62" s="13">
        <f>_xll.BDH("FIS US Equity","OTHER_NONCUR_LIABS_SUB_DETAILED","FY 2013","FY 2013","Currency=USD","Period=FY","BEST_FPERIOD_OVERRIDE=FY","FILING_STATUS=MR","SCALING_FORMAT=MLN","Sort=A","Dates=H","DateFormat=P","Fill=—","Direction=H","UseDPDF=Y")</f>
        <v>1210.3</v>
      </c>
      <c r="G62" s="13">
        <f>_xll.BDH("FIS US Equity","OTHER_NONCUR_LIABS_SUB_DETAILED","FY 2014","FY 2014","Currency=USD","Period=FY","BEST_FPERIOD_OVERRIDE=FY","FILING_STATUS=MR","SCALING_FORMAT=MLN","Sort=A","Dates=H","DateFormat=P","Fill=—","Direction=H","UseDPDF=Y")</f>
        <v>1175.5</v>
      </c>
      <c r="H62" s="13">
        <f>_xll.BDH("FIS US Equity","OTHER_NONCUR_LIABS_SUB_DETAILED","FY 2015","FY 2015","Currency=USD","Period=FY","BEST_FPERIOD_OVERRIDE=FY","FILING_STATUS=MR","SCALING_FORMAT=MLN","Sort=A","Dates=H","DateFormat=P","Fill=—","Direction=H","UseDPDF=Y")</f>
        <v>3000</v>
      </c>
      <c r="I62" s="13">
        <f>_xll.BDH("FIS US Equity","OTHER_NONCUR_LIABS_SUB_DETAILED","FY 2016","FY 2016","Currency=USD","Period=FY","BEST_FPERIOD_OVERRIDE=FY","FILING_STATUS=MR","SCALING_FORMAT=MLN","Sort=A","Dates=H","DateFormat=P","Fill=—","Direction=H","UseDPDF=Y")</f>
        <v>2889</v>
      </c>
      <c r="J62" s="13">
        <f>_xll.BDH("FIS US Equity","OTHER_NONCUR_LIABS_SUB_DETAILED","FY 2017","FY 2017","Currency=USD","Period=FY","BEST_FPERIOD_OVERRIDE=FY","FILING_STATUS=MR","SCALING_FORMAT=MLN","Sort=A","Dates=H","DateFormat=P","Fill=—","Direction=H","UseDPDF=Y")</f>
        <v>1977</v>
      </c>
      <c r="K62" s="13">
        <f>_xll.BDH("FIS US Equity","OTHER_NONCUR_LIABS_SUB_DETAILED","FY 2018","FY 2018","Currency=USD","Period=FY","BEST_FPERIOD_OVERRIDE=FY","FILING_STATUS=MR","SCALING_FORMAT=MLN","Sort=A","Dates=H","DateFormat=P","Fill=—","Direction=H","UseDPDF=Y")</f>
        <v>1753</v>
      </c>
      <c r="L62" s="13">
        <f>_xll.BDH("FIS US Equity","OTHER_NONCUR_LIABS_SUB_DETAILED","FY 2019","FY 2019","Currency=USD","Period=FY","BEST_FPERIOD_OVERRIDE=FY","FILING_STATUS=MR","SCALING_FORMAT=MLN","Sort=A","Dates=H","DateFormat=P","Fill=—","Direction=H","UseDPDF=Y")</f>
        <v>6273</v>
      </c>
    </row>
    <row r="63" spans="1:12" x14ac:dyDescent="0.45">
      <c r="A63" s="10" t="s">
        <v>132</v>
      </c>
      <c r="B63" s="10" t="s">
        <v>133</v>
      </c>
      <c r="C63" s="13">
        <f>_xll.BDH("FIS US Equity","BS_ACCRUED_LIABILITIES","FY 2010","FY 2010","Currency=USD","Period=FY","BEST_FPERIOD_OVERRIDE=FY","FILING_STATUS=MR","SCALING_FORMAT=MLN","Sort=A","Dates=H","DateFormat=P","Fill=—","Direction=H","UseDPDF=Y")</f>
        <v>0</v>
      </c>
      <c r="D63" s="13">
        <f>_xll.BDH("FIS US Equity","BS_ACCRUED_LIABILITIES","FY 2011","FY 2011","Currency=USD","Period=FY","BEST_FPERIOD_OVERRIDE=FY","FILING_STATUS=MR","SCALING_FORMAT=MLN","Sort=A","Dates=H","DateFormat=P","Fill=—","Direction=H","UseDPDF=Y")</f>
        <v>0</v>
      </c>
      <c r="E63" s="13">
        <f>_xll.BDH("FIS US Equity","BS_ACCRUED_LIABILITIES","FY 2012","FY 2012","Currency=USD","Period=FY","BEST_FPERIOD_OVERRIDE=FY","FILING_STATUS=MR","SCALING_FORMAT=MLN","Sort=A","Dates=H","DateFormat=P","Fill=—","Direction=H","UseDPDF=Y")</f>
        <v>0</v>
      </c>
      <c r="F63" s="13">
        <f>_xll.BDH("FIS US Equity","BS_ACCRUED_LIABILITIES","FY 2013","FY 2013","Currency=USD","Period=FY","BEST_FPERIOD_OVERRIDE=FY","FILING_STATUS=MR","SCALING_FORMAT=MLN","Sort=A","Dates=H","DateFormat=P","Fill=—","Direction=H","UseDPDF=Y")</f>
        <v>0</v>
      </c>
      <c r="G63" s="13">
        <f>_xll.BDH("FIS US Equity","BS_ACCRUED_LIABILITIES","FY 2014","FY 2014","Currency=USD","Period=FY","BEST_FPERIOD_OVERRIDE=FY","FILING_STATUS=MR","SCALING_FORMAT=MLN","Sort=A","Dates=H","DateFormat=P","Fill=—","Direction=H","UseDPDF=Y")</f>
        <v>0</v>
      </c>
      <c r="H63" s="13">
        <f>_xll.BDH("FIS US Equity","BS_ACCRUED_LIABILITIES","FY 2015","FY 2015","Currency=USD","Period=FY","BEST_FPERIOD_OVERRIDE=FY","FILING_STATUS=MR","SCALING_FORMAT=MLN","Sort=A","Dates=H","DateFormat=P","Fill=—","Direction=H","UseDPDF=Y")</f>
        <v>0</v>
      </c>
      <c r="I63" s="13">
        <f>_xll.BDH("FIS US Equity","BS_ACCRUED_LIABILITIES","FY 2016","FY 2016","Currency=USD","Period=FY","BEST_FPERIOD_OVERRIDE=FY","FILING_STATUS=MR","SCALING_FORMAT=MLN","Sort=A","Dates=H","DateFormat=P","Fill=—","Direction=H","UseDPDF=Y")</f>
        <v>0</v>
      </c>
      <c r="J63" s="13">
        <f>_xll.BDH("FIS US Equity","BS_ACCRUED_LIABILITIES","FY 2017","FY 2017","Currency=USD","Period=FY","BEST_FPERIOD_OVERRIDE=FY","FILING_STATUS=MR","SCALING_FORMAT=MLN","Sort=A","Dates=H","DateFormat=P","Fill=—","Direction=H","UseDPDF=Y")</f>
        <v>0</v>
      </c>
      <c r="K63" s="13">
        <f>_xll.BDH("FIS US Equity","BS_ACCRUED_LIABILITIES","FY 2018","FY 2018","Currency=USD","Period=FY","BEST_FPERIOD_OVERRIDE=FY","FILING_STATUS=MR","SCALING_FORMAT=MLN","Sort=A","Dates=H","DateFormat=P","Fill=—","Direction=H","UseDPDF=Y")</f>
        <v>0</v>
      </c>
      <c r="L63" s="13">
        <f>_xll.BDH("FIS US Equity","BS_ACCRUED_LIABILITIES","FY 2019","FY 2019","Currency=USD","Period=FY","BEST_FPERIOD_OVERRIDE=FY","FILING_STATUS=MR","SCALING_FORMAT=MLN","Sort=A","Dates=H","DateFormat=P","Fill=—","Direction=H","UseDPDF=Y")</f>
        <v>0</v>
      </c>
    </row>
    <row r="64" spans="1:12" x14ac:dyDescent="0.45">
      <c r="A64" s="10" t="s">
        <v>134</v>
      </c>
      <c r="B64" s="10" t="s">
        <v>135</v>
      </c>
      <c r="C64" s="13">
        <f>_xll.BDH("FIS US Equity","PENSION_LIABILITIES","FY 2010","FY 2010","Currency=USD","Period=FY","BEST_FPERIOD_OVERRIDE=FY","FILING_STATUS=MR","SCALING_FORMAT=MLN","Sort=A","Dates=H","DateFormat=P","Fill=—","Direction=H","UseDPDF=Y")</f>
        <v>31.1</v>
      </c>
      <c r="D64" s="13">
        <f>_xll.BDH("FIS US Equity","PENSION_LIABILITIES","FY 2011","FY 2011","Currency=USD","Period=FY","BEST_FPERIOD_OVERRIDE=FY","FILING_STATUS=MR","SCALING_FORMAT=MLN","Sort=A","Dates=H","DateFormat=P","Fill=—","Direction=H","UseDPDF=Y")</f>
        <v>33</v>
      </c>
      <c r="E64" s="13">
        <f>_xll.BDH("FIS US Equity","PENSION_LIABILITIES","FY 2012","FY 2012","Currency=USD","Period=FY","BEST_FPERIOD_OVERRIDE=FY","FILING_STATUS=MR","SCALING_FORMAT=MLN","Sort=A","Dates=H","DateFormat=P","Fill=—","Direction=H","UseDPDF=Y")</f>
        <v>40.6</v>
      </c>
      <c r="F64" s="13">
        <f>_xll.BDH("FIS US Equity","PENSION_LIABILITIES","FY 2013","FY 2013","Currency=USD","Period=FY","BEST_FPERIOD_OVERRIDE=FY","FILING_STATUS=MR","SCALING_FORMAT=MLN","Sort=A","Dates=H","DateFormat=P","Fill=—","Direction=H","UseDPDF=Y")</f>
        <v>45.9</v>
      </c>
      <c r="G64" s="13">
        <f>_xll.BDH("FIS US Equity","PENSION_LIABILITIES","FY 2014","FY 2014","Currency=USD","Period=FY","BEST_FPERIOD_OVERRIDE=FY","FILING_STATUS=MR","SCALING_FORMAT=MLN","Sort=A","Dates=H","DateFormat=P","Fill=—","Direction=H","UseDPDF=Y")</f>
        <v>51.6</v>
      </c>
      <c r="H64" s="13">
        <f>_xll.BDH("FIS US Equity","PENSION_LIABILITIES","FY 2015","FY 2015","Currency=USD","Period=FY","BEST_FPERIOD_OVERRIDE=FY","FILING_STATUS=MR","SCALING_FORMAT=MLN","Sort=A","Dates=H","DateFormat=P","Fill=—","Direction=H","UseDPDF=Y")</f>
        <v>49</v>
      </c>
      <c r="I64" s="13">
        <f>_xll.BDH("FIS US Equity","PENSION_LIABILITIES","FY 2016","FY 2016","Currency=USD","Period=FY","BEST_FPERIOD_OVERRIDE=FY","FILING_STATUS=MR","SCALING_FORMAT=MLN","Sort=A","Dates=H","DateFormat=P","Fill=—","Direction=H","UseDPDF=Y")</f>
        <v>50</v>
      </c>
      <c r="J64" s="13">
        <f>_xll.BDH("FIS US Equity","PENSION_LIABILITIES","FY 2017","FY 2017","Currency=USD","Period=FY","BEST_FPERIOD_OVERRIDE=FY","FILING_STATUS=MR","SCALING_FORMAT=MLN","Sort=A","Dates=H","DateFormat=P","Fill=—","Direction=H","UseDPDF=Y")</f>
        <v>57</v>
      </c>
      <c r="K64" s="13">
        <f>_xll.BDH("FIS US Equity","PENSION_LIABILITIES","FY 2018","FY 2018","Currency=USD","Period=FY","BEST_FPERIOD_OVERRIDE=FY","FILING_STATUS=MR","SCALING_FORMAT=MLN","Sort=A","Dates=H","DateFormat=P","Fill=—","Direction=H","UseDPDF=Y")</f>
        <v>54</v>
      </c>
      <c r="L64" s="13">
        <f>_xll.BDH("FIS US Equity","PENSION_LIABILITIES","FY 2019","FY 2019","Currency=USD","Period=FY","BEST_FPERIOD_OVERRIDE=FY","FILING_STATUS=MR","SCALING_FORMAT=MLN","Sort=A","Dates=H","DateFormat=P","Fill=—","Direction=H","UseDPDF=Y")</f>
        <v>0</v>
      </c>
    </row>
    <row r="65" spans="1:12" x14ac:dyDescent="0.45">
      <c r="A65" s="11" t="s">
        <v>136</v>
      </c>
      <c r="B65" s="11" t="s">
        <v>137</v>
      </c>
      <c r="C65" s="17">
        <f>_xll.BDH("FIS US Equity","BS_PENSIONS_LT_LIABS","FY 2010","FY 2010","Currency=USD","Period=FY","BEST_FPERIOD_OVERRIDE=FY","FILING_STATUS=MR","SCALING_FORMAT=MLN","Sort=A","Dates=H","DateFormat=P","Fill=—","Direction=H","UseDPDF=Y")</f>
        <v>31.1</v>
      </c>
      <c r="D65" s="17">
        <f>_xll.BDH("FIS US Equity","BS_PENSIONS_LT_LIABS","FY 2011","FY 2011","Currency=USD","Period=FY","BEST_FPERIOD_OVERRIDE=FY","FILING_STATUS=MR","SCALING_FORMAT=MLN","Sort=A","Dates=H","DateFormat=P","Fill=—","Direction=H","UseDPDF=Y")</f>
        <v>33</v>
      </c>
      <c r="E65" s="17">
        <f>_xll.BDH("FIS US Equity","BS_PENSIONS_LT_LIABS","FY 2012","FY 2012","Currency=USD","Period=FY","BEST_FPERIOD_OVERRIDE=FY","FILING_STATUS=MR","SCALING_FORMAT=MLN","Sort=A","Dates=H","DateFormat=P","Fill=—","Direction=H","UseDPDF=Y")</f>
        <v>40.6</v>
      </c>
      <c r="F65" s="17">
        <f>_xll.BDH("FIS US Equity","BS_PENSIONS_LT_LIABS","FY 2013","FY 2013","Currency=USD","Period=FY","BEST_FPERIOD_OVERRIDE=FY","FILING_STATUS=MR","SCALING_FORMAT=MLN","Sort=A","Dates=H","DateFormat=P","Fill=—","Direction=H","UseDPDF=Y")</f>
        <v>45.9</v>
      </c>
      <c r="G65" s="17">
        <f>_xll.BDH("FIS US Equity","BS_PENSIONS_LT_LIABS","FY 2014","FY 2014","Currency=USD","Period=FY","BEST_FPERIOD_OVERRIDE=FY","FILING_STATUS=MR","SCALING_FORMAT=MLN","Sort=A","Dates=H","DateFormat=P","Fill=—","Direction=H","UseDPDF=Y")</f>
        <v>51.6</v>
      </c>
      <c r="H65" s="17">
        <f>_xll.BDH("FIS US Equity","BS_PENSIONS_LT_LIABS","FY 2015","FY 2015","Currency=USD","Period=FY","BEST_FPERIOD_OVERRIDE=FY","FILING_STATUS=MR","SCALING_FORMAT=MLN","Sort=A","Dates=H","DateFormat=P","Fill=—","Direction=H","UseDPDF=Y")</f>
        <v>49</v>
      </c>
      <c r="I65" s="17">
        <f>_xll.BDH("FIS US Equity","BS_PENSIONS_LT_LIABS","FY 2016","FY 2016","Currency=USD","Period=FY","BEST_FPERIOD_OVERRIDE=FY","FILING_STATUS=MR","SCALING_FORMAT=MLN","Sort=A","Dates=H","DateFormat=P","Fill=—","Direction=H","UseDPDF=Y")</f>
        <v>50</v>
      </c>
      <c r="J65" s="17">
        <f>_xll.BDH("FIS US Equity","BS_PENSIONS_LT_LIABS","FY 2017","FY 2017","Currency=USD","Period=FY","BEST_FPERIOD_OVERRIDE=FY","FILING_STATUS=MR","SCALING_FORMAT=MLN","Sort=A","Dates=H","DateFormat=P","Fill=—","Direction=H","UseDPDF=Y")</f>
        <v>57</v>
      </c>
      <c r="K65" s="17">
        <f>_xll.BDH("FIS US Equity","BS_PENSIONS_LT_LIABS","FY 2018","FY 2018","Currency=USD","Period=FY","BEST_FPERIOD_OVERRIDE=FY","FILING_STATUS=MR","SCALING_FORMAT=MLN","Sort=A","Dates=H","DateFormat=P","Fill=—","Direction=H","UseDPDF=Y")</f>
        <v>54</v>
      </c>
      <c r="L65" s="17">
        <f>_xll.BDH("FIS US Equity","BS_PENSIONS_LT_LIABS","FY 2019","FY 2019","Currency=USD","Period=FY","BEST_FPERIOD_OVERRIDE=FY","FILING_STATUS=MR","SCALING_FORMAT=MLN","Sort=A","Dates=H","DateFormat=P","Fill=—","Direction=H","UseDPDF=Y")</f>
        <v>0</v>
      </c>
    </row>
    <row r="66" spans="1:12" x14ac:dyDescent="0.45">
      <c r="A66" s="11" t="s">
        <v>138</v>
      </c>
      <c r="B66" s="11" t="s">
        <v>139</v>
      </c>
      <c r="C66" s="17">
        <f>_xll.BDH("FIS US Equity","BS_OPRB_LT_LIABS","FY 2010","FY 2010","Currency=USD","Period=FY","BEST_FPERIOD_OVERRIDE=FY","FILING_STATUS=MR","SCALING_FORMAT=MLN","Sort=A","Dates=H","DateFormat=P","Fill=—","Direction=H","UseDPDF=Y")</f>
        <v>0</v>
      </c>
      <c r="D66" s="17">
        <f>_xll.BDH("FIS US Equity","BS_OPRB_LT_LIABS","FY 2011","FY 2011","Currency=USD","Period=FY","BEST_FPERIOD_OVERRIDE=FY","FILING_STATUS=MR","SCALING_FORMAT=MLN","Sort=A","Dates=H","DateFormat=P","Fill=—","Direction=H","UseDPDF=Y")</f>
        <v>0</v>
      </c>
      <c r="E66" s="17">
        <f>_xll.BDH("FIS US Equity","BS_OPRB_LT_LIABS","FY 2012","FY 2012","Currency=USD","Period=FY","BEST_FPERIOD_OVERRIDE=FY","FILING_STATUS=MR","SCALING_FORMAT=MLN","Sort=A","Dates=H","DateFormat=P","Fill=—","Direction=H","UseDPDF=Y")</f>
        <v>0</v>
      </c>
      <c r="F66" s="17">
        <f>_xll.BDH("FIS US Equity","BS_OPRB_LT_LIABS","FY 2013","FY 2013","Currency=USD","Period=FY","BEST_FPERIOD_OVERRIDE=FY","FILING_STATUS=MR","SCALING_FORMAT=MLN","Sort=A","Dates=H","DateFormat=P","Fill=—","Direction=H","UseDPDF=Y")</f>
        <v>0</v>
      </c>
      <c r="G66" s="17">
        <f>_xll.BDH("FIS US Equity","BS_OPRB_LT_LIABS","FY 2014","FY 2014","Currency=USD","Period=FY","BEST_FPERIOD_OVERRIDE=FY","FILING_STATUS=MR","SCALING_FORMAT=MLN","Sort=A","Dates=H","DateFormat=P","Fill=—","Direction=H","UseDPDF=Y")</f>
        <v>0</v>
      </c>
      <c r="H66" s="17">
        <f>_xll.BDH("FIS US Equity","BS_OPRB_LT_LIABS","FY 2015","FY 2015","Currency=USD","Period=FY","BEST_FPERIOD_OVERRIDE=FY","FILING_STATUS=MR","SCALING_FORMAT=MLN","Sort=A","Dates=H","DateFormat=P","Fill=—","Direction=H","UseDPDF=Y")</f>
        <v>0</v>
      </c>
      <c r="I66" s="17">
        <f>_xll.BDH("FIS US Equity","BS_OPRB_LT_LIABS","FY 2016","FY 2016","Currency=USD","Period=FY","BEST_FPERIOD_OVERRIDE=FY","FILING_STATUS=MR","SCALING_FORMAT=MLN","Sort=A","Dates=H","DateFormat=P","Fill=—","Direction=H","UseDPDF=Y")</f>
        <v>0</v>
      </c>
      <c r="J66" s="17">
        <f>_xll.BDH("FIS US Equity","BS_OPRB_LT_LIABS","FY 2017","FY 2017","Currency=USD","Period=FY","BEST_FPERIOD_OVERRIDE=FY","FILING_STATUS=MR","SCALING_FORMAT=MLN","Sort=A","Dates=H","DateFormat=P","Fill=—","Direction=H","UseDPDF=Y")</f>
        <v>0</v>
      </c>
      <c r="K66" s="17">
        <f>_xll.BDH("FIS US Equity","BS_OPRB_LT_LIABS","FY 2018","FY 2018","Currency=USD","Period=FY","BEST_FPERIOD_OVERRIDE=FY","FILING_STATUS=MR","SCALING_FORMAT=MLN","Sort=A","Dates=H","DateFormat=P","Fill=—","Direction=H","UseDPDF=Y")</f>
        <v>0</v>
      </c>
      <c r="L66" s="17">
        <f>_xll.BDH("FIS US Equity","BS_OPRB_LT_LIABS","FY 2019","FY 2019","Currency=USD","Period=FY","BEST_FPERIOD_OVERRIDE=FY","FILING_STATUS=MR","SCALING_FORMAT=MLN","Sort=A","Dates=H","DateFormat=P","Fill=—","Direction=H","UseDPDF=Y")</f>
        <v>0</v>
      </c>
    </row>
    <row r="67" spans="1:12" x14ac:dyDescent="0.45">
      <c r="A67" s="10" t="s">
        <v>110</v>
      </c>
      <c r="B67" s="10" t="s">
        <v>140</v>
      </c>
      <c r="C67" s="13">
        <f>_xll.BDH("FIS US Equity","LT_DEFERRED_REVENUE","FY 2010","FY 2010","Currency=USD","Period=FY","BEST_FPERIOD_OVERRIDE=FY","FILING_STATUS=MR","SCALING_FORMAT=MLN","Sort=A","Dates=H","DateFormat=P","Fill=—","Direction=H","UseDPDF=Y")</f>
        <v>86.3</v>
      </c>
      <c r="D67" s="13">
        <f>_xll.BDH("FIS US Equity","LT_DEFERRED_REVENUE","FY 2011","FY 2011","Currency=USD","Period=FY","BEST_FPERIOD_OVERRIDE=FY","FILING_STATUS=MR","SCALING_FORMAT=MLN","Sort=A","Dates=H","DateFormat=P","Fill=—","Direction=H","UseDPDF=Y")</f>
        <v>884.1</v>
      </c>
      <c r="E67" s="13">
        <f>_xll.BDH("FIS US Equity","LT_DEFERRED_REVENUE","FY 2012","FY 2012","Currency=USD","Period=FY","BEST_FPERIOD_OVERRIDE=FY","FILING_STATUS=MR","SCALING_FORMAT=MLN","Sort=A","Dates=H","DateFormat=P","Fill=—","Direction=H","UseDPDF=Y")</f>
        <v>42.2</v>
      </c>
      <c r="F67" s="13">
        <f>_xll.BDH("FIS US Equity","LT_DEFERRED_REVENUE","FY 2013","FY 2013","Currency=USD","Period=FY","BEST_FPERIOD_OVERRIDE=FY","FILING_STATUS=MR","SCALING_FORMAT=MLN","Sort=A","Dates=H","DateFormat=P","Fill=—","Direction=H","UseDPDF=Y")</f>
        <v>27.2</v>
      </c>
      <c r="G67" s="13">
        <f>_xll.BDH("FIS US Equity","LT_DEFERRED_REVENUE","FY 2014","FY 2014","Currency=USD","Period=FY","BEST_FPERIOD_OVERRIDE=FY","FILING_STATUS=MR","SCALING_FORMAT=MLN","Sort=A","Dates=H","DateFormat=P","Fill=—","Direction=H","UseDPDF=Y")</f>
        <v>26.1</v>
      </c>
      <c r="H67" s="13">
        <f>_xll.BDH("FIS US Equity","LT_DEFERRED_REVENUE","FY 2015","FY 2015","Currency=USD","Period=FY","BEST_FPERIOD_OVERRIDE=FY","FILING_STATUS=MR","SCALING_FORMAT=MLN","Sort=A","Dates=H","DateFormat=P","Fill=—","Direction=H","UseDPDF=Y")</f>
        <v>30</v>
      </c>
      <c r="I67" s="13">
        <f>_xll.BDH("FIS US Equity","LT_DEFERRED_REVENUE","FY 2016","FY 2016","Currency=USD","Period=FY","BEST_FPERIOD_OVERRIDE=FY","FILING_STATUS=MR","SCALING_FORMAT=MLN","Sort=A","Dates=H","DateFormat=P","Fill=—","Direction=H","UseDPDF=Y")</f>
        <v>19</v>
      </c>
      <c r="J67" s="13">
        <f>_xll.BDH("FIS US Equity","LT_DEFERRED_REVENUE","FY 2017","FY 2017","Currency=USD","Period=FY","BEST_FPERIOD_OVERRIDE=FY","FILING_STATUS=MR","SCALING_FORMAT=MLN","Sort=A","Dates=H","DateFormat=P","Fill=—","Direction=H","UseDPDF=Y")</f>
        <v>106</v>
      </c>
      <c r="K67" s="13">
        <f>_xll.BDH("FIS US Equity","LT_DEFERRED_REVENUE","FY 2018","FY 2018","Currency=USD","Period=FY","BEST_FPERIOD_OVERRIDE=FY","FILING_STATUS=MR","SCALING_FORMAT=MLN","Sort=A","Dates=H","DateFormat=P","Fill=—","Direction=H","UseDPDF=Y")</f>
        <v>67</v>
      </c>
      <c r="L67" s="13">
        <f>_xll.BDH("FIS US Equity","LT_DEFERRED_REVENUE","FY 2019","FY 2019","Currency=USD","Period=FY","BEST_FPERIOD_OVERRIDE=FY","FILING_STATUS=MR","SCALING_FORMAT=MLN","Sort=A","Dates=H","DateFormat=P","Fill=—","Direction=H","UseDPDF=Y")</f>
        <v>52</v>
      </c>
    </row>
    <row r="68" spans="1:12" x14ac:dyDescent="0.45">
      <c r="A68" s="10" t="s">
        <v>114</v>
      </c>
      <c r="B68" s="10" t="s">
        <v>141</v>
      </c>
      <c r="C68" s="13">
        <f>_xll.BDH("FIS US Equity","BS_DEFERRED_TAX_LIABILITIES_LT","FY 2010","FY 2010","Currency=USD","Period=FY","BEST_FPERIOD_OVERRIDE=FY","FILING_STATUS=MR","SCALING_FORMAT=MLN","Sort=A","Dates=H","DateFormat=P","Fill=—","Direction=H","UseDPDF=Y")</f>
        <v>859.3</v>
      </c>
      <c r="D68" s="13">
        <f>_xll.BDH("FIS US Equity","BS_DEFERRED_TAX_LIABILITIES_LT","FY 2011","FY 2011","Currency=USD","Period=FY","BEST_FPERIOD_OVERRIDE=FY","FILING_STATUS=MR","SCALING_FORMAT=MLN","Sort=A","Dates=H","DateFormat=P","Fill=—","Direction=H","UseDPDF=Y")</f>
        <v>55.9</v>
      </c>
      <c r="E68" s="13">
        <f>_xll.BDH("FIS US Equity","BS_DEFERRED_TAX_LIABILITIES_LT","FY 2012","FY 2012","Currency=USD","Period=FY","BEST_FPERIOD_OVERRIDE=FY","FILING_STATUS=MR","SCALING_FORMAT=MLN","Sort=A","Dates=H","DateFormat=P","Fill=—","Direction=H","UseDPDF=Y")</f>
        <v>821.8</v>
      </c>
      <c r="F68" s="13">
        <f>_xll.BDH("FIS US Equity","BS_DEFERRED_TAX_LIABILITIES_LT","FY 2013","FY 2013","Currency=USD","Period=FY","BEST_FPERIOD_OVERRIDE=FY","FILING_STATUS=MR","SCALING_FORMAT=MLN","Sort=A","Dates=H","DateFormat=P","Fill=—","Direction=H","UseDPDF=Y")</f>
        <v>823.6</v>
      </c>
      <c r="G68" s="13">
        <f>_xll.BDH("FIS US Equity","BS_DEFERRED_TAX_LIABILITIES_LT","FY 2014","FY 2014","Currency=USD","Period=FY","BEST_FPERIOD_OVERRIDE=FY","FILING_STATUS=MR","SCALING_FORMAT=MLN","Sort=A","Dates=H","DateFormat=P","Fill=—","Direction=H","UseDPDF=Y")</f>
        <v>874.4</v>
      </c>
      <c r="H68" s="13">
        <f>_xll.BDH("FIS US Equity","BS_DEFERRED_TAX_LIABILITIES_LT","FY 2015","FY 2015","Currency=USD","Period=FY","BEST_FPERIOD_OVERRIDE=FY","FILING_STATUS=MR","SCALING_FORMAT=MLN","Sort=A","Dates=H","DateFormat=P","Fill=—","Direction=H","UseDPDF=Y")</f>
        <v>2658</v>
      </c>
      <c r="I68" s="13">
        <f>_xll.BDH("FIS US Equity","BS_DEFERRED_TAX_LIABILITIES_LT","FY 2016","FY 2016","Currency=USD","Period=FY","BEST_FPERIOD_OVERRIDE=FY","FILING_STATUS=MR","SCALING_FORMAT=MLN","Sort=A","Dates=H","DateFormat=P","Fill=—","Direction=H","UseDPDF=Y")</f>
        <v>2484</v>
      </c>
      <c r="J68" s="13">
        <f>_xll.BDH("FIS US Equity","BS_DEFERRED_TAX_LIABILITIES_LT","FY 2017","FY 2017","Currency=USD","Period=FY","BEST_FPERIOD_OVERRIDE=FY","FILING_STATUS=MR","SCALING_FORMAT=MLN","Sort=A","Dates=H","DateFormat=P","Fill=—","Direction=H","UseDPDF=Y")</f>
        <v>1468</v>
      </c>
      <c r="K68" s="13">
        <f>_xll.BDH("FIS US Equity","BS_DEFERRED_TAX_LIABILITIES_LT","FY 2018","FY 2018","Currency=USD","Period=FY","BEST_FPERIOD_OVERRIDE=FY","FILING_STATUS=MR","SCALING_FORMAT=MLN","Sort=A","Dates=H","DateFormat=P","Fill=—","Direction=H","UseDPDF=Y")</f>
        <v>1360</v>
      </c>
      <c r="L68" s="13">
        <f>_xll.BDH("FIS US Equity","BS_DEFERRED_TAX_LIABILITIES_LT","FY 2019","FY 2019","Currency=USD","Period=FY","BEST_FPERIOD_OVERRIDE=FY","FILING_STATUS=MR","SCALING_FORMAT=MLN","Sort=A","Dates=H","DateFormat=P","Fill=—","Direction=H","UseDPDF=Y")</f>
        <v>4281</v>
      </c>
    </row>
    <row r="69" spans="1:12" x14ac:dyDescent="0.45">
      <c r="A69" s="10" t="s">
        <v>112</v>
      </c>
      <c r="B69" s="10" t="s">
        <v>142</v>
      </c>
      <c r="C69" s="13">
        <f>_xll.BDH("FIS US Equity","BS_DERIVATIVE_&amp;_HEDGING_LIABS_LT","FY 2010","FY 2010","Currency=USD","Period=FY","BEST_FPERIOD_OVERRIDE=FY","FILING_STATUS=MR","SCALING_FORMAT=MLN","Sort=A","Dates=H","DateFormat=P","Fill=—","Direction=H","UseDPDF=Y")</f>
        <v>18.3</v>
      </c>
      <c r="D69" s="13">
        <f>_xll.BDH("FIS US Equity","BS_DERIVATIVE_&amp;_HEDGING_LIABS_LT","FY 2011","FY 2011","Currency=USD","Period=FY","BEST_FPERIOD_OVERRIDE=FY","FILING_STATUS=MR","SCALING_FORMAT=MLN","Sort=A","Dates=H","DateFormat=P","Fill=—","Direction=H","UseDPDF=Y")</f>
        <v>4</v>
      </c>
      <c r="E69" s="13">
        <f>_xll.BDH("FIS US Equity","BS_DERIVATIVE_&amp;_HEDGING_LIABS_LT","FY 2012","FY 2012","Currency=USD","Period=FY","BEST_FPERIOD_OVERRIDE=FY","FILING_STATUS=MR","SCALING_FORMAT=MLN","Sort=A","Dates=H","DateFormat=P","Fill=—","Direction=H","UseDPDF=Y")</f>
        <v>9.4</v>
      </c>
      <c r="F69" s="13" t="str">
        <f>_xll.BDH("FIS US Equity","BS_DERIVATIVE_&amp;_HEDGING_LIABS_LT","FY 2013","FY 2013","Currency=USD","Period=FY","BEST_FPERIOD_OVERRIDE=FY","FILING_STATUS=MR","SCALING_FORMAT=MLN","Sort=A","Dates=H","DateFormat=P","Fill=—","Direction=H","UseDPDF=Y")</f>
        <v>—</v>
      </c>
      <c r="G69" s="13">
        <f>_xll.BDH("FIS US Equity","BS_DERIVATIVE_&amp;_HEDGING_LIABS_LT","FY 2014","FY 2014","Currency=USD","Period=FY","BEST_FPERIOD_OVERRIDE=FY","FILING_STATUS=MR","SCALING_FORMAT=MLN","Sort=A","Dates=H","DateFormat=P","Fill=—","Direction=H","UseDPDF=Y")</f>
        <v>0.9</v>
      </c>
      <c r="H69" s="13">
        <f>_xll.BDH("FIS US Equity","BS_DERIVATIVE_&amp;_HEDGING_LIABS_LT","FY 2015","FY 2015","Currency=USD","Period=FY","BEST_FPERIOD_OVERRIDE=FY","FILING_STATUS=MR","SCALING_FORMAT=MLN","Sort=A","Dates=H","DateFormat=P","Fill=—","Direction=H","UseDPDF=Y")</f>
        <v>1</v>
      </c>
      <c r="I69" s="13" t="str">
        <f>_xll.BDH("FIS US Equity","BS_DERIVATIVE_&amp;_HEDGING_LIABS_LT","FY 2016","FY 2016","Currency=USD","Period=FY","BEST_FPERIOD_OVERRIDE=FY","FILING_STATUS=MR","SCALING_FORMAT=MLN","Sort=A","Dates=H","DateFormat=P","Fill=—","Direction=H","UseDPDF=Y")</f>
        <v>—</v>
      </c>
      <c r="J69" s="13">
        <f>_xll.BDH("FIS US Equity","BS_DERIVATIVE_&amp;_HEDGING_LIABS_LT","FY 2017","FY 2017","Currency=USD","Period=FY","BEST_FPERIOD_OVERRIDE=FY","FILING_STATUS=MR","SCALING_FORMAT=MLN","Sort=A","Dates=H","DateFormat=P","Fill=—","Direction=H","UseDPDF=Y")</f>
        <v>0</v>
      </c>
      <c r="K69" s="13">
        <f>_xll.BDH("FIS US Equity","BS_DERIVATIVE_&amp;_HEDGING_LIABS_LT","FY 2018","FY 2018","Currency=USD","Period=FY","BEST_FPERIOD_OVERRIDE=FY","FILING_STATUS=MR","SCALING_FORMAT=MLN","Sort=A","Dates=H","DateFormat=P","Fill=—","Direction=H","UseDPDF=Y")</f>
        <v>0</v>
      </c>
      <c r="L69" s="13" t="str">
        <f>_xll.BDH("FIS US Equity","BS_DERIVATIVE_&amp;_HEDGING_LIABS_LT","FY 2019","FY 2019","Currency=USD","Period=FY","BEST_FPERIOD_OVERRIDE=FY","FILING_STATUS=MR","SCALING_FORMAT=MLN","Sort=A","Dates=H","DateFormat=P","Fill=—","Direction=H","UseDPDF=Y")</f>
        <v>—</v>
      </c>
    </row>
    <row r="70" spans="1:12" x14ac:dyDescent="0.45">
      <c r="A70" s="10" t="s">
        <v>143</v>
      </c>
      <c r="B70" s="10" t="s">
        <v>144</v>
      </c>
      <c r="C70" s="13">
        <f>_xll.BDH("FIS US Equity","OTHER_NONCURRENT_LIABS_DETAILED","FY 2010","FY 2010","Currency=USD","Period=FY","BEST_FPERIOD_OVERRIDE=FY","FILING_STATUS=MR","SCALING_FORMAT=MLN","Sort=A","Dates=H","DateFormat=P","Fill=—","Direction=H","UseDPDF=Y")</f>
        <v>384.1</v>
      </c>
      <c r="D70" s="13">
        <f>_xll.BDH("FIS US Equity","OTHER_NONCURRENT_LIABS_DETAILED","FY 2011","FY 2011","Currency=USD","Period=FY","BEST_FPERIOD_OVERRIDE=FY","FILING_STATUS=MR","SCALING_FORMAT=MLN","Sort=A","Dates=H","DateFormat=P","Fill=—","Direction=H","UseDPDF=Y")</f>
        <v>338.1</v>
      </c>
      <c r="E70" s="13">
        <f>_xll.BDH("FIS US Equity","OTHER_NONCURRENT_LIABS_DETAILED","FY 2012","FY 2012","Currency=USD","Period=FY","BEST_FPERIOD_OVERRIDE=FY","FILING_STATUS=MR","SCALING_FORMAT=MLN","Sort=A","Dates=H","DateFormat=P","Fill=—","Direction=H","UseDPDF=Y")</f>
        <v>353.7</v>
      </c>
      <c r="F70" s="13">
        <f>_xll.BDH("FIS US Equity","OTHER_NONCURRENT_LIABS_DETAILED","FY 2013","FY 2013","Currency=USD","Period=FY","BEST_FPERIOD_OVERRIDE=FY","FILING_STATUS=MR","SCALING_FORMAT=MLN","Sort=A","Dates=H","DateFormat=P","Fill=—","Direction=H","UseDPDF=Y")</f>
        <v>313.60000000000002</v>
      </c>
      <c r="G70" s="13">
        <f>_xll.BDH("FIS US Equity","OTHER_NONCURRENT_LIABS_DETAILED","FY 2014","FY 2014","Currency=USD","Period=FY","BEST_FPERIOD_OVERRIDE=FY","FILING_STATUS=MR","SCALING_FORMAT=MLN","Sort=A","Dates=H","DateFormat=P","Fill=—","Direction=H","UseDPDF=Y")</f>
        <v>222.5</v>
      </c>
      <c r="H70" s="13">
        <f>_xll.BDH("FIS US Equity","OTHER_NONCURRENT_LIABS_DETAILED","FY 2015","FY 2015","Currency=USD","Period=FY","BEST_FPERIOD_OVERRIDE=FY","FILING_STATUS=MR","SCALING_FORMAT=MLN","Sort=A","Dates=H","DateFormat=P","Fill=—","Direction=H","UseDPDF=Y")</f>
        <v>262</v>
      </c>
      <c r="I70" s="13">
        <f>_xll.BDH("FIS US Equity","OTHER_NONCURRENT_LIABS_DETAILED","FY 2016","FY 2016","Currency=USD","Period=FY","BEST_FPERIOD_OVERRIDE=FY","FILING_STATUS=MR","SCALING_FORMAT=MLN","Sort=A","Dates=H","DateFormat=P","Fill=—","Direction=H","UseDPDF=Y")</f>
        <v>336</v>
      </c>
      <c r="J70" s="13">
        <f>_xll.BDH("FIS US Equity","OTHER_NONCURRENT_LIABS_DETAILED","FY 2017","FY 2017","Currency=USD","Period=FY","BEST_FPERIOD_OVERRIDE=FY","FILING_STATUS=MR","SCALING_FORMAT=MLN","Sort=A","Dates=H","DateFormat=P","Fill=—","Direction=H","UseDPDF=Y")</f>
        <v>346</v>
      </c>
      <c r="K70" s="13">
        <f>_xll.BDH("FIS US Equity","OTHER_NONCURRENT_LIABS_DETAILED","FY 2018","FY 2018","Currency=USD","Period=FY","BEST_FPERIOD_OVERRIDE=FY","FILING_STATUS=MR","SCALING_FORMAT=MLN","Sort=A","Dates=H","DateFormat=P","Fill=—","Direction=H","UseDPDF=Y")</f>
        <v>272</v>
      </c>
      <c r="L70" s="13">
        <f>_xll.BDH("FIS US Equity","OTHER_NONCURRENT_LIABS_DETAILED","FY 2019","FY 2019","Currency=USD","Period=FY","BEST_FPERIOD_OVERRIDE=FY","FILING_STATUS=MR","SCALING_FORMAT=MLN","Sort=A","Dates=H","DateFormat=P","Fill=—","Direction=H","UseDPDF=Y")</f>
        <v>1940</v>
      </c>
    </row>
    <row r="71" spans="1:12" x14ac:dyDescent="0.45">
      <c r="A71" s="6" t="s">
        <v>145</v>
      </c>
      <c r="B71" s="6" t="s">
        <v>146</v>
      </c>
      <c r="C71" s="16">
        <f>_xll.BDH("FIS US Equity","NON_CUR_LIAB","FY 2010","FY 2010","Currency=USD","Period=FY","BEST_FPERIOD_OVERRIDE=FY","FILING_STATUS=MR","SCALING_FORMAT=MLN","Sort=A","Dates=H","DateFormat=P","Fill=—","Direction=H","UseDPDF=Y")</f>
        <v>6314.3</v>
      </c>
      <c r="D71" s="16">
        <f>_xll.BDH("FIS US Equity","NON_CUR_LIAB","FY 2011","FY 2011","Currency=USD","Period=FY","BEST_FPERIOD_OVERRIDE=FY","FILING_STATUS=MR","SCALING_FORMAT=MLN","Sort=A","Dates=H","DateFormat=P","Fill=—","Direction=H","UseDPDF=Y")</f>
        <v>5865.7</v>
      </c>
      <c r="E71" s="16">
        <f>_xll.BDH("FIS US Equity","NON_CUR_LIAB","FY 2012","FY 2012","Currency=USD","Period=FY","BEST_FPERIOD_OVERRIDE=FY","FILING_STATUS=MR","SCALING_FORMAT=MLN","Sort=A","Dates=H","DateFormat=P","Fill=—","Direction=H","UseDPDF=Y")</f>
        <v>5499.3</v>
      </c>
      <c r="F71" s="16">
        <f>_xll.BDH("FIS US Equity","NON_CUR_LIAB","FY 2013","FY 2013","Currency=USD","Period=FY","BEST_FPERIOD_OVERRIDE=FY","FILING_STATUS=MR","SCALING_FORMAT=MLN","Sort=A","Dates=H","DateFormat=P","Fill=—","Direction=H","UseDPDF=Y")</f>
        <v>5550.1</v>
      </c>
      <c r="G71" s="16">
        <f>_xll.BDH("FIS US Equity","NON_CUR_LIAB","FY 2014","FY 2014","Currency=USD","Period=FY","BEST_FPERIOD_OVERRIDE=FY","FILING_STATUS=MR","SCALING_FORMAT=MLN","Sort=A","Dates=H","DateFormat=P","Fill=—","Direction=H","UseDPDF=Y")</f>
        <v>6230.1</v>
      </c>
      <c r="H71" s="16">
        <f>_xll.BDH("FIS US Equity","NON_CUR_LIAB","FY 2015","FY 2015","Currency=USD","Period=FY","BEST_FPERIOD_OVERRIDE=FY","FILING_STATUS=MR","SCALING_FORMAT=MLN","Sort=A","Dates=H","DateFormat=P","Fill=—","Direction=H","UseDPDF=Y")</f>
        <v>14429</v>
      </c>
      <c r="I71" s="16">
        <f>_xll.BDH("FIS US Equity","NON_CUR_LIAB","FY 2016","FY 2016","Currency=USD","Period=FY","BEST_FPERIOD_OVERRIDE=FY","FILING_STATUS=MR","SCALING_FORMAT=MLN","Sort=A","Dates=H","DateFormat=P","Fill=—","Direction=H","UseDPDF=Y")</f>
        <v>13035</v>
      </c>
      <c r="J71" s="16">
        <f>_xll.BDH("FIS US Equity","NON_CUR_LIAB","FY 2017","FY 2017","Currency=USD","Period=FY","BEST_FPERIOD_OVERRIDE=FY","FILING_STATUS=MR","SCALING_FORMAT=MLN","Sort=A","Dates=H","DateFormat=P","Fill=—","Direction=H","UseDPDF=Y")</f>
        <v>9695</v>
      </c>
      <c r="K71" s="16">
        <f>_xll.BDH("FIS US Equity","NON_CUR_LIAB","FY 2018","FY 2018","Currency=USD","Period=FY","BEST_FPERIOD_OVERRIDE=FY","FILING_STATUS=MR","SCALING_FORMAT=MLN","Sort=A","Dates=H","DateFormat=P","Fill=—","Direction=H","UseDPDF=Y")</f>
        <v>10423</v>
      </c>
      <c r="L71" s="16">
        <f>_xll.BDH("FIS US Equity","NON_CUR_LIAB","FY 2019","FY 2019","Currency=USD","Period=FY","BEST_FPERIOD_OVERRIDE=FY","FILING_STATUS=MR","SCALING_FORMAT=MLN","Sort=A","Dates=H","DateFormat=P","Fill=—","Direction=H","UseDPDF=Y")</f>
        <v>23968</v>
      </c>
    </row>
    <row r="72" spans="1:12" x14ac:dyDescent="0.45">
      <c r="A72" s="6" t="s">
        <v>147</v>
      </c>
      <c r="B72" s="6" t="s">
        <v>148</v>
      </c>
      <c r="C72" s="16">
        <f>_xll.BDH("FIS US Equity","BS_TOT_LIAB2","FY 2010","FY 2010","Currency=USD","Period=FY","BEST_FPERIOD_OVERRIDE=FY","FILING_STATUS=MR","SCALING_FORMAT=MLN","Sort=A","Dates=H","DateFormat=P","Fill=—","Direction=H","UseDPDF=Y")</f>
        <v>7614.7</v>
      </c>
      <c r="D72" s="16">
        <f>_xll.BDH("FIS US Equity","BS_TOT_LIAB2","FY 2011","FY 2011","Currency=USD","Period=FY","BEST_FPERIOD_OVERRIDE=FY","FILING_STATUS=MR","SCALING_FORMAT=MLN","Sort=A","Dates=H","DateFormat=P","Fill=—","Direction=H","UseDPDF=Y")</f>
        <v>7222</v>
      </c>
      <c r="E72" s="16">
        <f>_xll.BDH("FIS US Equity","BS_TOT_LIAB2","FY 2012","FY 2012","Currency=USD","Period=FY","BEST_FPERIOD_OVERRIDE=FY","FILING_STATUS=MR","SCALING_FORMAT=MLN","Sort=A","Dates=H","DateFormat=P","Fill=—","Direction=H","UseDPDF=Y")</f>
        <v>6756.1</v>
      </c>
      <c r="F72" s="16">
        <f>_xll.BDH("FIS US Equity","BS_TOT_LIAB2","FY 2013","FY 2013","Currency=USD","Period=FY","BEST_FPERIOD_OVERRIDE=FY","FILING_STATUS=MR","SCALING_FORMAT=MLN","Sort=A","Dates=H","DateFormat=P","Fill=—","Direction=H","UseDPDF=Y")</f>
        <v>7222.8</v>
      </c>
      <c r="G72" s="16">
        <f>_xll.BDH("FIS US Equity","BS_TOT_LIAB2","FY 2014","FY 2014","Currency=USD","Period=FY","BEST_FPERIOD_OVERRIDE=FY","FILING_STATUS=MR","SCALING_FORMAT=MLN","Sort=A","Dates=H","DateFormat=P","Fill=—","Direction=H","UseDPDF=Y")</f>
        <v>7829</v>
      </c>
      <c r="H72" s="16">
        <f>_xll.BDH("FIS US Equity","BS_TOT_LIAB2","FY 2015","FY 2015","Currency=USD","Period=FY","BEST_FPERIOD_OVERRIDE=FY","FILING_STATUS=MR","SCALING_FORMAT=MLN","Sort=A","Dates=H","DateFormat=P","Fill=—","Direction=H","UseDPDF=Y")</f>
        <v>16793</v>
      </c>
      <c r="I72" s="16">
        <f>_xll.BDH("FIS US Equity","BS_TOT_LIAB2","FY 2016","FY 2016","Currency=USD","Period=FY","BEST_FPERIOD_OVERRIDE=FY","FILING_STATUS=MR","SCALING_FORMAT=MLN","Sort=A","Dates=H","DateFormat=P","Fill=—","Direction=H","UseDPDF=Y")</f>
        <v>16186</v>
      </c>
      <c r="J72" s="16">
        <f>_xll.BDH("FIS US Equity","BS_TOT_LIAB2","FY 2017","FY 2017","Currency=USD","Period=FY","BEST_FPERIOD_OVERRIDE=FY","FILING_STATUS=MR","SCALING_FORMAT=MLN","Sort=A","Dates=H","DateFormat=P","Fill=—","Direction=H","UseDPDF=Y")</f>
        <v>13706</v>
      </c>
      <c r="K72" s="16">
        <f>_xll.BDH("FIS US Equity","BS_TOT_LIAB2","FY 2018","FY 2018","Currency=USD","Period=FY","BEST_FPERIOD_OVERRIDE=FY","FILING_STATUS=MR","SCALING_FORMAT=MLN","Sort=A","Dates=H","DateFormat=P","Fill=—","Direction=H","UseDPDF=Y")</f>
        <v>13548</v>
      </c>
      <c r="L72" s="16">
        <f>_xll.BDH("FIS US Equity","BS_TOT_LIAB2","FY 2019","FY 2019","Currency=USD","Period=FY","BEST_FPERIOD_OVERRIDE=FY","FILING_STATUS=MR","SCALING_FORMAT=MLN","Sort=A","Dates=H","DateFormat=P","Fill=—","Direction=H","UseDPDF=Y")</f>
        <v>34350</v>
      </c>
    </row>
    <row r="73" spans="1:12" x14ac:dyDescent="0.45">
      <c r="A73" s="10" t="s">
        <v>149</v>
      </c>
      <c r="B73" s="10" t="s">
        <v>150</v>
      </c>
      <c r="C73" s="13">
        <f>_xll.BDH("FIS US Equity","BS_PFD_EQTY_&amp;_HYBRID_CPTL","FY 2010","FY 2010","Currency=USD","Period=FY","BEST_FPERIOD_OVERRIDE=FY","FILING_STATUS=MR","SCALING_FORMAT=MLN","Sort=A","Dates=H","DateFormat=P","Fill=—","Direction=H","UseDPDF=Y")</f>
        <v>0</v>
      </c>
      <c r="D73" s="13">
        <f>_xll.BDH("FIS US Equity","BS_PFD_EQTY_&amp;_HYBRID_CPTL","FY 2011","FY 2011","Currency=USD","Period=FY","BEST_FPERIOD_OVERRIDE=FY","FILING_STATUS=MR","SCALING_FORMAT=MLN","Sort=A","Dates=H","DateFormat=P","Fill=—","Direction=H","UseDPDF=Y")</f>
        <v>0</v>
      </c>
      <c r="E73" s="13">
        <f>_xll.BDH("FIS US Equity","BS_PFD_EQTY_&amp;_HYBRID_CPTL","FY 2012","FY 2012","Currency=USD","Period=FY","BEST_FPERIOD_OVERRIDE=FY","FILING_STATUS=MR","SCALING_FORMAT=MLN","Sort=A","Dates=H","DateFormat=P","Fill=—","Direction=H","UseDPDF=Y")</f>
        <v>0</v>
      </c>
      <c r="F73" s="13">
        <f>_xll.BDH("FIS US Equity","BS_PFD_EQTY_&amp;_HYBRID_CPTL","FY 2013","FY 2013","Currency=USD","Period=FY","BEST_FPERIOD_OVERRIDE=FY","FILING_STATUS=MR","SCALING_FORMAT=MLN","Sort=A","Dates=H","DateFormat=P","Fill=—","Direction=H","UseDPDF=Y")</f>
        <v>0</v>
      </c>
      <c r="G73" s="13">
        <f>_xll.BDH("FIS US Equity","BS_PFD_EQTY_&amp;_HYBRID_CPTL","FY 2014","FY 2014","Currency=USD","Period=FY","BEST_FPERIOD_OVERRIDE=FY","FILING_STATUS=MR","SCALING_FORMAT=MLN","Sort=A","Dates=H","DateFormat=P","Fill=—","Direction=H","UseDPDF=Y")</f>
        <v>0</v>
      </c>
      <c r="H73" s="13">
        <f>_xll.BDH("FIS US Equity","BS_PFD_EQTY_&amp;_HYBRID_CPTL","FY 2015","FY 2015","Currency=USD","Period=FY","BEST_FPERIOD_OVERRIDE=FY","FILING_STATUS=MR","SCALING_FORMAT=MLN","Sort=A","Dates=H","DateFormat=P","Fill=—","Direction=H","UseDPDF=Y")</f>
        <v>0</v>
      </c>
      <c r="I73" s="13">
        <f>_xll.BDH("FIS US Equity","BS_PFD_EQTY_&amp;_HYBRID_CPTL","FY 2016","FY 2016","Currency=USD","Period=FY","BEST_FPERIOD_OVERRIDE=FY","FILING_STATUS=MR","SCALING_FORMAT=MLN","Sort=A","Dates=H","DateFormat=P","Fill=—","Direction=H","UseDPDF=Y")</f>
        <v>0</v>
      </c>
      <c r="J73" s="13">
        <f>_xll.BDH("FIS US Equity","BS_PFD_EQTY_&amp;_HYBRID_CPTL","FY 2017","FY 2017","Currency=USD","Period=FY","BEST_FPERIOD_OVERRIDE=FY","FILING_STATUS=MR","SCALING_FORMAT=MLN","Sort=A","Dates=H","DateFormat=P","Fill=—","Direction=H","UseDPDF=Y")</f>
        <v>0</v>
      </c>
      <c r="K73" s="13">
        <f>_xll.BDH("FIS US Equity","BS_PFD_EQTY_&amp;_HYBRID_CPTL","FY 2018","FY 2018","Currency=USD","Period=FY","BEST_FPERIOD_OVERRIDE=FY","FILING_STATUS=MR","SCALING_FORMAT=MLN","Sort=A","Dates=H","DateFormat=P","Fill=—","Direction=H","UseDPDF=Y")</f>
        <v>0</v>
      </c>
      <c r="L73" s="13">
        <f>_xll.BDH("FIS US Equity","BS_PFD_EQTY_&amp;_HYBRID_CPTL","FY 2019","FY 2019","Currency=USD","Period=FY","BEST_FPERIOD_OVERRIDE=FY","FILING_STATUS=MR","SCALING_FORMAT=MLN","Sort=A","Dates=H","DateFormat=P","Fill=—","Direction=H","UseDPDF=Y")</f>
        <v>0</v>
      </c>
    </row>
    <row r="74" spans="1:12" x14ac:dyDescent="0.45">
      <c r="A74" s="10" t="s">
        <v>151</v>
      </c>
      <c r="B74" s="10" t="s">
        <v>152</v>
      </c>
      <c r="C74" s="13">
        <f>_xll.BDH("FIS US Equity","BS_SH_CAP_AND_APIC","FY 2010","FY 2010","Currency=USD","Period=FY","BEST_FPERIOD_OVERRIDE=FY","FILING_STATUS=MR","SCALING_FORMAT=MLN","Sort=A","Dates=H","DateFormat=P","Fill=—","Direction=H","UseDPDF=Y")</f>
        <v>7203.5</v>
      </c>
      <c r="D74" s="13">
        <f>_xll.BDH("FIS US Equity","BS_SH_CAP_AND_APIC","FY 2011","FY 2011","Currency=USD","Period=FY","BEST_FPERIOD_OVERRIDE=FY","FILING_STATUS=MR","SCALING_FORMAT=MLN","Sort=A","Dates=H","DateFormat=P","Fill=—","Direction=H","UseDPDF=Y")</f>
        <v>7228.5</v>
      </c>
      <c r="E74" s="13">
        <f>_xll.BDH("FIS US Equity","BS_SH_CAP_AND_APIC","FY 2012","FY 2012","Currency=USD","Period=FY","BEST_FPERIOD_OVERRIDE=FY","FILING_STATUS=MR","SCALING_FORMAT=MLN","Sort=A","Dates=H","DateFormat=P","Fill=—","Direction=H","UseDPDF=Y")</f>
        <v>7200.8</v>
      </c>
      <c r="F74" s="13">
        <f>_xll.BDH("FIS US Equity","BS_SH_CAP_AND_APIC","FY 2013","FY 2013","Currency=USD","Period=FY","BEST_FPERIOD_OVERRIDE=FY","FILING_STATUS=MR","SCALING_FORMAT=MLN","Sort=A","Dates=H","DateFormat=P","Fill=—","Direction=H","UseDPDF=Y")</f>
        <v>7251.5</v>
      </c>
      <c r="G74" s="13">
        <f>_xll.BDH("FIS US Equity","BS_SH_CAP_AND_APIC","FY 2014","FY 2014","Currency=USD","Period=FY","BEST_FPERIOD_OVERRIDE=FY","FILING_STATUS=MR","SCALING_FORMAT=MLN","Sort=A","Dates=H","DateFormat=P","Fill=—","Direction=H","UseDPDF=Y")</f>
        <v>7340.7</v>
      </c>
      <c r="H74" s="13">
        <f>_xll.BDH("FIS US Equity","BS_SH_CAP_AND_APIC","FY 2015","FY 2015","Currency=USD","Period=FY","BEST_FPERIOD_OVERRIDE=FY","FILING_STATUS=MR","SCALING_FORMAT=MLN","Sort=A","Dates=H","DateFormat=P","Fill=—","Direction=H","UseDPDF=Y")</f>
        <v>10214</v>
      </c>
      <c r="I74" s="13">
        <f>_xll.BDH("FIS US Equity","BS_SH_CAP_AND_APIC","FY 2016","FY 2016","Currency=USD","Period=FY","BEST_FPERIOD_OVERRIDE=FY","FILING_STATUS=MR","SCALING_FORMAT=MLN","Sort=A","Dates=H","DateFormat=P","Fill=—","Direction=H","UseDPDF=Y")</f>
        <v>10384</v>
      </c>
      <c r="J74" s="13">
        <f>_xll.BDH("FIS US Equity","BS_SH_CAP_AND_APIC","FY 2017","FY 2017","Currency=USD","Period=FY","BEST_FPERIOD_OVERRIDE=FY","FILING_STATUS=MR","SCALING_FORMAT=MLN","Sort=A","Dates=H","DateFormat=P","Fill=—","Direction=H","UseDPDF=Y")</f>
        <v>10538</v>
      </c>
      <c r="K74" s="13">
        <f>_xll.BDH("FIS US Equity","BS_SH_CAP_AND_APIC","FY 2018","FY 2018","Currency=USD","Period=FY","BEST_FPERIOD_OVERRIDE=FY","FILING_STATUS=MR","SCALING_FORMAT=MLN","Sort=A","Dates=H","DateFormat=P","Fill=—","Direction=H","UseDPDF=Y")</f>
        <v>10804</v>
      </c>
      <c r="L74" s="13">
        <f>_xll.BDH("FIS US Equity","BS_SH_CAP_AND_APIC","FY 2019","FY 2019","Currency=USD","Period=FY","BEST_FPERIOD_OVERRIDE=FY","FILING_STATUS=MR","SCALING_FORMAT=MLN","Sort=A","Dates=H","DateFormat=P","Fill=—","Direction=H","UseDPDF=Y")</f>
        <v>45364</v>
      </c>
    </row>
    <row r="75" spans="1:12" x14ac:dyDescent="0.45">
      <c r="A75" s="10" t="s">
        <v>153</v>
      </c>
      <c r="B75" s="10" t="s">
        <v>154</v>
      </c>
      <c r="C75" s="13">
        <f>_xll.BDH("FIS US Equity","BS_COMMON_STOCK","FY 2010","FY 2010","Currency=USD","Period=FY","BEST_FPERIOD_OVERRIDE=FY","FILING_STATUS=MR","SCALING_FORMAT=MLN","Sort=A","Dates=H","DateFormat=P","Fill=—","Direction=H","UseDPDF=Y")</f>
        <v>3.8</v>
      </c>
      <c r="D75" s="13">
        <f>_xll.BDH("FIS US Equity","BS_COMMON_STOCK","FY 2011","FY 2011","Currency=USD","Period=FY","BEST_FPERIOD_OVERRIDE=FY","FILING_STATUS=MR","SCALING_FORMAT=MLN","Sort=A","Dates=H","DateFormat=P","Fill=—","Direction=H","UseDPDF=Y")</f>
        <v>3.8</v>
      </c>
      <c r="E75" s="13">
        <f>_xll.BDH("FIS US Equity","BS_COMMON_STOCK","FY 2012","FY 2012","Currency=USD","Period=FY","BEST_FPERIOD_OVERRIDE=FY","FILING_STATUS=MR","SCALING_FORMAT=MLN","Sort=A","Dates=H","DateFormat=P","Fill=—","Direction=H","UseDPDF=Y")</f>
        <v>3.8</v>
      </c>
      <c r="F75" s="13">
        <f>_xll.BDH("FIS US Equity","BS_COMMON_STOCK","FY 2013","FY 2013","Currency=USD","Period=FY","BEST_FPERIOD_OVERRIDE=FY","FILING_STATUS=MR","SCALING_FORMAT=MLN","Sort=A","Dates=H","DateFormat=P","Fill=—","Direction=H","UseDPDF=Y")</f>
        <v>3.9</v>
      </c>
      <c r="G75" s="13">
        <f>_xll.BDH("FIS US Equity","BS_COMMON_STOCK","FY 2014","FY 2014","Currency=USD","Period=FY","BEST_FPERIOD_OVERRIDE=FY","FILING_STATUS=MR","SCALING_FORMAT=MLN","Sort=A","Dates=H","DateFormat=P","Fill=—","Direction=H","UseDPDF=Y")</f>
        <v>3.9</v>
      </c>
      <c r="H75" s="13">
        <f>_xll.BDH("FIS US Equity","BS_COMMON_STOCK","FY 2015","FY 2015","Currency=USD","Period=FY","BEST_FPERIOD_OVERRIDE=FY","FILING_STATUS=MR","SCALING_FORMAT=MLN","Sort=A","Dates=H","DateFormat=P","Fill=—","Direction=H","UseDPDF=Y")</f>
        <v>4</v>
      </c>
      <c r="I75" s="13">
        <f>_xll.BDH("FIS US Equity","BS_COMMON_STOCK","FY 2016","FY 2016","Currency=USD","Period=FY","BEST_FPERIOD_OVERRIDE=FY","FILING_STATUS=MR","SCALING_FORMAT=MLN","Sort=A","Dates=H","DateFormat=P","Fill=—","Direction=H","UseDPDF=Y")</f>
        <v>4</v>
      </c>
      <c r="J75" s="13">
        <f>_xll.BDH("FIS US Equity","BS_COMMON_STOCK","FY 2017","FY 2017","Currency=USD","Period=FY","BEST_FPERIOD_OVERRIDE=FY","FILING_STATUS=MR","SCALING_FORMAT=MLN","Sort=A","Dates=H","DateFormat=P","Fill=—","Direction=H","UseDPDF=Y")</f>
        <v>4</v>
      </c>
      <c r="K75" s="13">
        <f>_xll.BDH("FIS US Equity","BS_COMMON_STOCK","FY 2018","FY 2018","Currency=USD","Period=FY","BEST_FPERIOD_OVERRIDE=FY","FILING_STATUS=MR","SCALING_FORMAT=MLN","Sort=A","Dates=H","DateFormat=P","Fill=—","Direction=H","UseDPDF=Y")</f>
        <v>4</v>
      </c>
      <c r="L75" s="13">
        <f>_xll.BDH("FIS US Equity","BS_COMMON_STOCK","FY 2019","FY 2019","Currency=USD","Period=FY","BEST_FPERIOD_OVERRIDE=FY","FILING_STATUS=MR","SCALING_FORMAT=MLN","Sort=A","Dates=H","DateFormat=P","Fill=—","Direction=H","UseDPDF=Y")</f>
        <v>6</v>
      </c>
    </row>
    <row r="76" spans="1:12" x14ac:dyDescent="0.45">
      <c r="A76" s="10" t="s">
        <v>155</v>
      </c>
      <c r="B76" s="10" t="s">
        <v>156</v>
      </c>
      <c r="C76" s="13">
        <f>_xll.BDH("FIS US Equity","BS_ADD_PAID_IN_CAP","FY 2010","FY 2010","Currency=USD","Period=FY","BEST_FPERIOD_OVERRIDE=FY","FILING_STATUS=MR","SCALING_FORMAT=MLN","Sort=A","Dates=H","DateFormat=P","Fill=—","Direction=H","UseDPDF=Y")</f>
        <v>7199.7</v>
      </c>
      <c r="D76" s="13">
        <f>_xll.BDH("FIS US Equity","BS_ADD_PAID_IN_CAP","FY 2011","FY 2011","Currency=USD","Period=FY","BEST_FPERIOD_OVERRIDE=FY","FILING_STATUS=MR","SCALING_FORMAT=MLN","Sort=A","Dates=H","DateFormat=P","Fill=—","Direction=H","UseDPDF=Y")</f>
        <v>7224.7</v>
      </c>
      <c r="E76" s="13">
        <f>_xll.BDH("FIS US Equity","BS_ADD_PAID_IN_CAP","FY 2012","FY 2012","Currency=USD","Period=FY","BEST_FPERIOD_OVERRIDE=FY","FILING_STATUS=MR","SCALING_FORMAT=MLN","Sort=A","Dates=H","DateFormat=P","Fill=—","Direction=H","UseDPDF=Y")</f>
        <v>7197</v>
      </c>
      <c r="F76" s="13">
        <f>_xll.BDH("FIS US Equity","BS_ADD_PAID_IN_CAP","FY 2013","FY 2013","Currency=USD","Period=FY","BEST_FPERIOD_OVERRIDE=FY","FILING_STATUS=MR","SCALING_FORMAT=MLN","Sort=A","Dates=H","DateFormat=P","Fill=—","Direction=H","UseDPDF=Y")</f>
        <v>7247.6</v>
      </c>
      <c r="G76" s="13">
        <f>_xll.BDH("FIS US Equity","BS_ADD_PAID_IN_CAP","FY 2014","FY 2014","Currency=USD","Period=FY","BEST_FPERIOD_OVERRIDE=FY","FILING_STATUS=MR","SCALING_FORMAT=MLN","Sort=A","Dates=H","DateFormat=P","Fill=—","Direction=H","UseDPDF=Y")</f>
        <v>7336.8</v>
      </c>
      <c r="H76" s="13">
        <f>_xll.BDH("FIS US Equity","BS_ADD_PAID_IN_CAP","FY 2015","FY 2015","Currency=USD","Period=FY","BEST_FPERIOD_OVERRIDE=FY","FILING_STATUS=MR","SCALING_FORMAT=MLN","Sort=A","Dates=H","DateFormat=P","Fill=—","Direction=H","UseDPDF=Y")</f>
        <v>10210</v>
      </c>
      <c r="I76" s="13">
        <f>_xll.BDH("FIS US Equity","BS_ADD_PAID_IN_CAP","FY 2016","FY 2016","Currency=USD","Period=FY","BEST_FPERIOD_OVERRIDE=FY","FILING_STATUS=MR","SCALING_FORMAT=MLN","Sort=A","Dates=H","DateFormat=P","Fill=—","Direction=H","UseDPDF=Y")</f>
        <v>10380</v>
      </c>
      <c r="J76" s="13">
        <f>_xll.BDH("FIS US Equity","BS_ADD_PAID_IN_CAP","FY 2017","FY 2017","Currency=USD","Period=FY","BEST_FPERIOD_OVERRIDE=FY","FILING_STATUS=MR","SCALING_FORMAT=MLN","Sort=A","Dates=H","DateFormat=P","Fill=—","Direction=H","UseDPDF=Y")</f>
        <v>10534</v>
      </c>
      <c r="K76" s="13">
        <f>_xll.BDH("FIS US Equity","BS_ADD_PAID_IN_CAP","FY 2018","FY 2018","Currency=USD","Period=FY","BEST_FPERIOD_OVERRIDE=FY","FILING_STATUS=MR","SCALING_FORMAT=MLN","Sort=A","Dates=H","DateFormat=P","Fill=—","Direction=H","UseDPDF=Y")</f>
        <v>10800</v>
      </c>
      <c r="L76" s="13">
        <f>_xll.BDH("FIS US Equity","BS_ADD_PAID_IN_CAP","FY 2019","FY 2019","Currency=USD","Period=FY","BEST_FPERIOD_OVERRIDE=FY","FILING_STATUS=MR","SCALING_FORMAT=MLN","Sort=A","Dates=H","DateFormat=P","Fill=—","Direction=H","UseDPDF=Y")</f>
        <v>45358</v>
      </c>
    </row>
    <row r="77" spans="1:12" x14ac:dyDescent="0.45">
      <c r="A77" s="10" t="s">
        <v>157</v>
      </c>
      <c r="B77" s="10" t="s">
        <v>158</v>
      </c>
      <c r="C77" s="13">
        <f>_xll.BDH("FIS US Equity","BS_AMT_OF_TSY_STOCK","FY 2010","FY 2010","Currency=USD","Period=FY","BEST_FPERIOD_OVERRIDE=FY","FILING_STATUS=MR","SCALING_FORMAT=MLN","Sort=A","Dates=H","DateFormat=P","Fill=—","Direction=H","UseDPDF=Y")</f>
        <v>2359.4</v>
      </c>
      <c r="D77" s="13">
        <f>_xll.BDH("FIS US Equity","BS_AMT_OF_TSY_STOCK","FY 2011","FY 2011","Currency=USD","Period=FY","BEST_FPERIOD_OVERRIDE=FY","FILING_STATUS=MR","SCALING_FORMAT=MLN","Sort=A","Dates=H","DateFormat=P","Fill=—","Direction=H","UseDPDF=Y")</f>
        <v>2642.2</v>
      </c>
      <c r="E77" s="13">
        <f>_xll.BDH("FIS US Equity","BS_AMT_OF_TSY_STOCK","FY 2012","FY 2012","Currency=USD","Period=FY","BEST_FPERIOD_OVERRIDE=FY","FILING_STATUS=MR","SCALING_FORMAT=MLN","Sort=A","Dates=H","DateFormat=P","Fill=—","Direction=H","UseDPDF=Y")</f>
        <v>2695.7</v>
      </c>
      <c r="F77" s="13">
        <f>_xll.BDH("FIS US Equity","BS_AMT_OF_TSY_STOCK","FY 2013","FY 2013","Currency=USD","Period=FY","BEST_FPERIOD_OVERRIDE=FY","FILING_STATUS=MR","SCALING_FORMAT=MLN","Sort=A","Dates=H","DateFormat=P","Fill=—","Direction=H","UseDPDF=Y")</f>
        <v>3003</v>
      </c>
      <c r="G77" s="13">
        <f>_xll.BDH("FIS US Equity","BS_AMT_OF_TSY_STOCK","FY 2014","FY 2014","Currency=USD","Period=FY","BEST_FPERIOD_OVERRIDE=FY","FILING_STATUS=MR","SCALING_FORMAT=MLN","Sort=A","Dates=H","DateFormat=P","Fill=—","Direction=H","UseDPDF=Y")</f>
        <v>3423.6</v>
      </c>
      <c r="H77" s="13">
        <f>_xll.BDH("FIS US Equity","BS_AMT_OF_TSY_STOCK","FY 2015","FY 2015","Currency=USD","Period=FY","BEST_FPERIOD_OVERRIDE=FY","FILING_STATUS=MR","SCALING_FORMAT=MLN","Sort=A","Dates=H","DateFormat=P","Fill=—","Direction=H","UseDPDF=Y")</f>
        <v>3687</v>
      </c>
      <c r="I77" s="13">
        <f>_xll.BDH("FIS US Equity","BS_AMT_OF_TSY_STOCK","FY 2016","FY 2016","Currency=USD","Period=FY","BEST_FPERIOD_OVERRIDE=FY","FILING_STATUS=MR","SCALING_FORMAT=MLN","Sort=A","Dates=H","DateFormat=P","Fill=—","Direction=H","UseDPDF=Y")</f>
        <v>3611</v>
      </c>
      <c r="J77" s="13">
        <f>_xll.BDH("FIS US Equity","BS_AMT_OF_TSY_STOCK","FY 2017","FY 2017","Currency=USD","Period=FY","BEST_FPERIOD_OVERRIDE=FY","FILING_STATUS=MR","SCALING_FORMAT=MLN","Sort=A","Dates=H","DateFormat=P","Fill=—","Direction=H","UseDPDF=Y")</f>
        <v>3604</v>
      </c>
      <c r="K77" s="13">
        <f>_xll.BDH("FIS US Equity","BS_AMT_OF_TSY_STOCK","FY 2018","FY 2018","Currency=USD","Period=FY","BEST_FPERIOD_OVERRIDE=FY","FILING_STATUS=MR","SCALING_FORMAT=MLN","Sort=A","Dates=H","DateFormat=P","Fill=—","Direction=H","UseDPDF=Y")</f>
        <v>4687</v>
      </c>
      <c r="L77" s="13">
        <f>_xll.BDH("FIS US Equity","BS_AMT_OF_TSY_STOCK","FY 2019","FY 2019","Currency=USD","Period=FY","BEST_FPERIOD_OVERRIDE=FY","FILING_STATUS=MR","SCALING_FORMAT=MLN","Sort=A","Dates=H","DateFormat=P","Fill=—","Direction=H","UseDPDF=Y")</f>
        <v>52</v>
      </c>
    </row>
    <row r="78" spans="1:12" x14ac:dyDescent="0.45">
      <c r="A78" s="10" t="s">
        <v>159</v>
      </c>
      <c r="B78" s="10" t="s">
        <v>160</v>
      </c>
      <c r="C78" s="13">
        <f>_xll.BDH("FIS US Equity","BS_PURE_RETAINED_EARNINGS","FY 2010","FY 2010","Currency=USD","Period=FY","BEST_FPERIOD_OVERRIDE=FY","FILING_STATUS=MR","SCALING_FORMAT=MLN","Sort=A","Dates=H","DateFormat=P","Fill=—","Direction=H","UseDPDF=Y")</f>
        <v>1471.2</v>
      </c>
      <c r="D78" s="13">
        <f>_xll.BDH("FIS US Equity","BS_PURE_RETAINED_EARNINGS","FY 2011","FY 2011","Currency=USD","Period=FY","BEST_FPERIOD_OVERRIDE=FY","FILING_STATUS=MR","SCALING_FORMAT=MLN","Sort=A","Dates=H","DateFormat=P","Fill=—","Direction=H","UseDPDF=Y")</f>
        <v>1880.4</v>
      </c>
      <c r="E78" s="13">
        <f>_xll.BDH("FIS US Equity","BS_PURE_RETAINED_EARNINGS","FY 2012","FY 2012","Currency=USD","Period=FY","BEST_FPERIOD_OVERRIDE=FY","FILING_STATUS=MR","SCALING_FORMAT=MLN","Sort=A","Dates=H","DateFormat=P","Fill=—","Direction=H","UseDPDF=Y")</f>
        <v>2105.8000000000002</v>
      </c>
      <c r="F78" s="13">
        <f>_xll.BDH("FIS US Equity","BS_PURE_RETAINED_EARNINGS","FY 2013","FY 2013","Currency=USD","Period=FY","BEST_FPERIOD_OVERRIDE=FY","FILING_STATUS=MR","SCALING_FORMAT=MLN","Sort=A","Dates=H","DateFormat=P","Fill=—","Direction=H","UseDPDF=Y")</f>
        <v>2341.9</v>
      </c>
      <c r="G78" s="13">
        <f>_xll.BDH("FIS US Equity","BS_PURE_RETAINED_EARNINGS","FY 2014","FY 2014","Currency=USD","Period=FY","BEST_FPERIOD_OVERRIDE=FY","FILING_STATUS=MR","SCALING_FORMAT=MLN","Sort=A","Dates=H","DateFormat=P","Fill=—","Direction=H","UseDPDF=Y")</f>
        <v>2746.8</v>
      </c>
      <c r="H78" s="13">
        <f>_xll.BDH("FIS US Equity","BS_PURE_RETAINED_EARNINGS","FY 2015","FY 2015","Currency=USD","Period=FY","BEST_FPERIOD_OVERRIDE=FY","FILING_STATUS=MR","SCALING_FORMAT=MLN","Sort=A","Dates=H","DateFormat=P","Fill=—","Direction=H","UseDPDF=Y")</f>
        <v>3073</v>
      </c>
      <c r="I78" s="13">
        <f>_xll.BDH("FIS US Equity","BS_PURE_RETAINED_EARNINGS","FY 2016","FY 2016","Currency=USD","Period=FY","BEST_FPERIOD_OVERRIDE=FY","FILING_STATUS=MR","SCALING_FORMAT=MLN","Sort=A","Dates=H","DateFormat=P","Fill=—","Direction=H","UseDPDF=Y")</f>
        <v>3299</v>
      </c>
      <c r="J78" s="13">
        <f>_xll.BDH("FIS US Equity","BS_PURE_RETAINED_EARNINGS","FY 2017","FY 2017","Currency=USD","Period=FY","BEST_FPERIOD_OVERRIDE=FY","FILING_STATUS=MR","SCALING_FORMAT=MLN","Sort=A","Dates=H","DateFormat=P","Fill=—","Direction=H","UseDPDF=Y")</f>
        <v>4109</v>
      </c>
      <c r="K78" s="13">
        <f>_xll.BDH("FIS US Equity","BS_PURE_RETAINED_EARNINGS","FY 2018","FY 2018","Currency=USD","Period=FY","BEST_FPERIOD_OVERRIDE=FY","FILING_STATUS=MR","SCALING_FORMAT=MLN","Sort=A","Dates=H","DateFormat=P","Fill=—","Direction=H","UseDPDF=Y")</f>
        <v>4528</v>
      </c>
      <c r="L78" s="13">
        <f>_xll.BDH("FIS US Equity","BS_PURE_RETAINED_EARNINGS","FY 2019","FY 2019","Currency=USD","Period=FY","BEST_FPERIOD_OVERRIDE=FY","FILING_STATUS=MR","SCALING_FORMAT=MLN","Sort=A","Dates=H","DateFormat=P","Fill=—","Direction=H","UseDPDF=Y")</f>
        <v>4161</v>
      </c>
    </row>
    <row r="79" spans="1:12" x14ac:dyDescent="0.45">
      <c r="A79" s="10" t="s">
        <v>161</v>
      </c>
      <c r="B79" s="10" t="s">
        <v>162</v>
      </c>
      <c r="C79" s="13">
        <f>_xll.BDH("FIS US Equity","OTHER_EQUITY_RATIO","FY 2010","FY 2010","Currency=USD","Period=FY","BEST_FPERIOD_OVERRIDE=FY","FILING_STATUS=MR","SCALING_FORMAT=MLN","Sort=A","Dates=H","DateFormat=P","Fill=—","Direction=H","UseDPDF=Y")</f>
        <v>87.9</v>
      </c>
      <c r="D79" s="13">
        <f>_xll.BDH("FIS US Equity","OTHER_EQUITY_RATIO","FY 2011","FY 2011","Currency=USD","Period=FY","BEST_FPERIOD_OVERRIDE=FY","FILING_STATUS=MR","SCALING_FORMAT=MLN","Sort=A","Dates=H","DateFormat=P","Fill=—","Direction=H","UseDPDF=Y")</f>
        <v>36.299999999999997</v>
      </c>
      <c r="E79" s="13">
        <f>_xll.BDH("FIS US Equity","OTHER_EQUITY_RATIO","FY 2012","FY 2012","Currency=USD","Period=FY","BEST_FPERIOD_OVERRIDE=FY","FILING_STATUS=MR","SCALING_FORMAT=MLN","Sort=A","Dates=H","DateFormat=P","Fill=—","Direction=H","UseDPDF=Y")</f>
        <v>30</v>
      </c>
      <c r="F79" s="13">
        <f>_xll.BDH("FIS US Equity","OTHER_EQUITY_RATIO","FY 2013","FY 2013","Currency=USD","Period=FY","BEST_FPERIOD_OVERRIDE=FY","FILING_STATUS=MR","SCALING_FORMAT=MLN","Sort=A","Dates=H","DateFormat=P","Fill=—","Direction=H","UseDPDF=Y")</f>
        <v>-9.9</v>
      </c>
      <c r="G79" s="13">
        <f>_xll.BDH("FIS US Equity","OTHER_EQUITY_RATIO","FY 2014","FY 2014","Currency=USD","Period=FY","BEST_FPERIOD_OVERRIDE=FY","FILING_STATUS=MR","SCALING_FORMAT=MLN","Sort=A","Dates=H","DateFormat=P","Fill=—","Direction=H","UseDPDF=Y")</f>
        <v>-107.2</v>
      </c>
      <c r="H79" s="13">
        <f>_xll.BDH("FIS US Equity","OTHER_EQUITY_RATIO","FY 2015","FY 2015","Currency=USD","Period=FY","BEST_FPERIOD_OVERRIDE=FY","FILING_STATUS=MR","SCALING_FORMAT=MLN","Sort=A","Dates=H","DateFormat=P","Fill=—","Direction=H","UseDPDF=Y")</f>
        <v>-279</v>
      </c>
      <c r="I79" s="13">
        <f>_xll.BDH("FIS US Equity","OTHER_EQUITY_RATIO","FY 2016","FY 2016","Currency=USD","Period=FY","BEST_FPERIOD_OVERRIDE=FY","FILING_STATUS=MR","SCALING_FORMAT=MLN","Sort=A","Dates=H","DateFormat=P","Fill=—","Direction=H","UseDPDF=Y")</f>
        <v>-331</v>
      </c>
      <c r="J79" s="13">
        <f>_xll.BDH("FIS US Equity","OTHER_EQUITY_RATIO","FY 2017","FY 2017","Currency=USD","Period=FY","BEST_FPERIOD_OVERRIDE=FY","FILING_STATUS=MR","SCALING_FORMAT=MLN","Sort=A","Dates=H","DateFormat=P","Fill=—","Direction=H","UseDPDF=Y")</f>
        <v>-332</v>
      </c>
      <c r="K79" s="13">
        <f>_xll.BDH("FIS US Equity","OTHER_EQUITY_RATIO","FY 2018","FY 2018","Currency=USD","Period=FY","BEST_FPERIOD_OVERRIDE=FY","FILING_STATUS=MR","SCALING_FORMAT=MLN","Sort=A","Dates=H","DateFormat=P","Fill=—","Direction=H","UseDPDF=Y")</f>
        <v>-430</v>
      </c>
      <c r="L79" s="13">
        <f>_xll.BDH("FIS US Equity","OTHER_EQUITY_RATIO","FY 2019","FY 2019","Currency=USD","Period=FY","BEST_FPERIOD_OVERRIDE=FY","FILING_STATUS=MR","SCALING_FORMAT=MLN","Sort=A","Dates=H","DateFormat=P","Fill=—","Direction=H","UseDPDF=Y")</f>
        <v>-33</v>
      </c>
    </row>
    <row r="80" spans="1:12" x14ac:dyDescent="0.45">
      <c r="A80" s="6" t="s">
        <v>163</v>
      </c>
      <c r="B80" s="6" t="s">
        <v>164</v>
      </c>
      <c r="C80" s="16">
        <f>_xll.BDH("FIS US Equity","EQTY_BEF_MINORITY_INT_DETAILED","FY 2010","FY 2010","Currency=USD","Period=FY","BEST_FPERIOD_OVERRIDE=FY","FILING_STATUS=MR","SCALING_FORMAT=MLN","Sort=A","Dates=H","DateFormat=P","Fill=—","Direction=H","UseDPDF=Y")</f>
        <v>6403.2</v>
      </c>
      <c r="D80" s="16">
        <f>_xll.BDH("FIS US Equity","EQTY_BEF_MINORITY_INT_DETAILED","FY 2011","FY 2011","Currency=USD","Period=FY","BEST_FPERIOD_OVERRIDE=FY","FILING_STATUS=MR","SCALING_FORMAT=MLN","Sort=A","Dates=H","DateFormat=P","Fill=—","Direction=H","UseDPDF=Y")</f>
        <v>6503</v>
      </c>
      <c r="E80" s="16">
        <f>_xll.BDH("FIS US Equity","EQTY_BEF_MINORITY_INT_DETAILED","FY 2012","FY 2012","Currency=USD","Period=FY","BEST_FPERIOD_OVERRIDE=FY","FILING_STATUS=MR","SCALING_FORMAT=MLN","Sort=A","Dates=H","DateFormat=P","Fill=—","Direction=H","UseDPDF=Y")</f>
        <v>6640.9</v>
      </c>
      <c r="F80" s="16">
        <f>_xll.BDH("FIS US Equity","EQTY_BEF_MINORITY_INT_DETAILED","FY 2013","FY 2013","Currency=USD","Period=FY","BEST_FPERIOD_OVERRIDE=FY","FILING_STATUS=MR","SCALING_FORMAT=MLN","Sort=A","Dates=H","DateFormat=P","Fill=—","Direction=H","UseDPDF=Y")</f>
        <v>6580.5</v>
      </c>
      <c r="G80" s="16">
        <f>_xll.BDH("FIS US Equity","EQTY_BEF_MINORITY_INT_DETAILED","FY 2014","FY 2014","Currency=USD","Period=FY","BEST_FPERIOD_OVERRIDE=FY","FILING_STATUS=MR","SCALING_FORMAT=MLN","Sort=A","Dates=H","DateFormat=P","Fill=—","Direction=H","UseDPDF=Y")</f>
        <v>6556.7</v>
      </c>
      <c r="H80" s="16">
        <f>_xll.BDH("FIS US Equity","EQTY_BEF_MINORITY_INT_DETAILED","FY 2015","FY 2015","Currency=USD","Period=FY","BEST_FPERIOD_OVERRIDE=FY","FILING_STATUS=MR","SCALING_FORMAT=MLN","Sort=A","Dates=H","DateFormat=P","Fill=—","Direction=H","UseDPDF=Y")</f>
        <v>9321</v>
      </c>
      <c r="I80" s="16">
        <f>_xll.BDH("FIS US Equity","EQTY_BEF_MINORITY_INT_DETAILED","FY 2016","FY 2016","Currency=USD","Period=FY","BEST_FPERIOD_OVERRIDE=FY","FILING_STATUS=MR","SCALING_FORMAT=MLN","Sort=A","Dates=H","DateFormat=P","Fill=—","Direction=H","UseDPDF=Y")</f>
        <v>9741</v>
      </c>
      <c r="J80" s="16">
        <f>_xll.BDH("FIS US Equity","EQTY_BEF_MINORITY_INT_DETAILED","FY 2017","FY 2017","Currency=USD","Period=FY","BEST_FPERIOD_OVERRIDE=FY","FILING_STATUS=MR","SCALING_FORMAT=MLN","Sort=A","Dates=H","DateFormat=P","Fill=—","Direction=H","UseDPDF=Y")</f>
        <v>10711</v>
      </c>
      <c r="K80" s="16">
        <f>_xll.BDH("FIS US Equity","EQTY_BEF_MINORITY_INT_DETAILED","FY 2018","FY 2018","Currency=USD","Period=FY","BEST_FPERIOD_OVERRIDE=FY","FILING_STATUS=MR","SCALING_FORMAT=MLN","Sort=A","Dates=H","DateFormat=P","Fill=—","Direction=H","UseDPDF=Y")</f>
        <v>10215</v>
      </c>
      <c r="L80" s="16">
        <f>_xll.BDH("FIS US Equity","EQTY_BEF_MINORITY_INT_DETAILED","FY 2019","FY 2019","Currency=USD","Period=FY","BEST_FPERIOD_OVERRIDE=FY","FILING_STATUS=MR","SCALING_FORMAT=MLN","Sort=A","Dates=H","DateFormat=P","Fill=—","Direction=H","UseDPDF=Y")</f>
        <v>49440</v>
      </c>
    </row>
    <row r="81" spans="1:12" x14ac:dyDescent="0.45">
      <c r="A81" s="10" t="s">
        <v>165</v>
      </c>
      <c r="B81" s="10" t="s">
        <v>166</v>
      </c>
      <c r="C81" s="13">
        <f>_xll.BDH("FIS US Equity","MINORITY_NONCONTROLLING_INTEREST","FY 2010","FY 2010","Currency=USD","Period=FY","BEST_FPERIOD_OVERRIDE=FY","FILING_STATUS=MR","SCALING_FORMAT=MLN","Sort=A","Dates=H","DateFormat=P","Fill=—","Direction=H","UseDPDF=Y")</f>
        <v>158.4</v>
      </c>
      <c r="D81" s="13">
        <f>_xll.BDH("FIS US Equity","MINORITY_NONCONTROLLING_INTEREST","FY 2011","FY 2011","Currency=USD","Period=FY","BEST_FPERIOD_OVERRIDE=FY","FILING_STATUS=MR","SCALING_FORMAT=MLN","Sort=A","Dates=H","DateFormat=P","Fill=—","Direction=H","UseDPDF=Y")</f>
        <v>148.19999999999999</v>
      </c>
      <c r="E81" s="13">
        <f>_xll.BDH("FIS US Equity","MINORITY_NONCONTROLLING_INTEREST","FY 2012","FY 2012","Currency=USD","Period=FY","BEST_FPERIOD_OVERRIDE=FY","FILING_STATUS=MR","SCALING_FORMAT=MLN","Sort=A","Dates=H","DateFormat=P","Fill=—","Direction=H","UseDPDF=Y")</f>
        <v>152.69999999999999</v>
      </c>
      <c r="F81" s="13">
        <f>_xll.BDH("FIS US Equity","MINORITY_NONCONTROLLING_INTEREST","FY 2013","FY 2013","Currency=USD","Period=FY","BEST_FPERIOD_OVERRIDE=FY","FILING_STATUS=MR","SCALING_FORMAT=MLN","Sort=A","Dates=H","DateFormat=P","Fill=—","Direction=H","UseDPDF=Y")</f>
        <v>156.80000000000001</v>
      </c>
      <c r="G81" s="13">
        <f>_xll.BDH("FIS US Equity","MINORITY_NONCONTROLLING_INTEREST","FY 2014","FY 2014","Currency=USD","Period=FY","BEST_FPERIOD_OVERRIDE=FY","FILING_STATUS=MR","SCALING_FORMAT=MLN","Sort=A","Dates=H","DateFormat=P","Fill=—","Direction=H","UseDPDF=Y")</f>
        <v>134.80000000000001</v>
      </c>
      <c r="H81" s="13">
        <f>_xll.BDH("FIS US Equity","MINORITY_NONCONTROLLING_INTEREST","FY 2015","FY 2015","Currency=USD","Period=FY","BEST_FPERIOD_OVERRIDE=FY","FILING_STATUS=MR","SCALING_FORMAT=MLN","Sort=A","Dates=H","DateFormat=P","Fill=—","Direction=H","UseDPDF=Y")</f>
        <v>86</v>
      </c>
      <c r="I81" s="13">
        <f>_xll.BDH("FIS US Equity","MINORITY_NONCONTROLLING_INTEREST","FY 2016","FY 2016","Currency=USD","Period=FY","BEST_FPERIOD_OVERRIDE=FY","FILING_STATUS=MR","SCALING_FORMAT=MLN","Sort=A","Dates=H","DateFormat=P","Fill=—","Direction=H","UseDPDF=Y")</f>
        <v>104</v>
      </c>
      <c r="J81" s="13">
        <f>_xll.BDH("FIS US Equity","MINORITY_NONCONTROLLING_INTEREST","FY 2017","FY 2017","Currency=USD","Period=FY","BEST_FPERIOD_OVERRIDE=FY","FILING_STATUS=MR","SCALING_FORMAT=MLN","Sort=A","Dates=H","DateFormat=P","Fill=—","Direction=H","UseDPDF=Y")</f>
        <v>109</v>
      </c>
      <c r="K81" s="13">
        <f>_xll.BDH("FIS US Equity","MINORITY_NONCONTROLLING_INTEREST","FY 2018","FY 2018","Currency=USD","Period=FY","BEST_FPERIOD_OVERRIDE=FY","FILING_STATUS=MR","SCALING_FORMAT=MLN","Sort=A","Dates=H","DateFormat=P","Fill=—","Direction=H","UseDPDF=Y")</f>
        <v>7</v>
      </c>
      <c r="L81" s="13">
        <f>_xll.BDH("FIS US Equity","MINORITY_NONCONTROLLING_INTEREST","FY 2019","FY 2019","Currency=USD","Period=FY","BEST_FPERIOD_OVERRIDE=FY","FILING_STATUS=MR","SCALING_FORMAT=MLN","Sort=A","Dates=H","DateFormat=P","Fill=—","Direction=H","UseDPDF=Y")</f>
        <v>16</v>
      </c>
    </row>
    <row r="82" spans="1:12" x14ac:dyDescent="0.45">
      <c r="A82" s="6" t="s">
        <v>167</v>
      </c>
      <c r="B82" s="6" t="s">
        <v>168</v>
      </c>
      <c r="C82" s="16">
        <f>_xll.BDH("FIS US Equity","TOTAL_EQUITY","FY 2010","FY 2010","Currency=USD","Period=FY","BEST_FPERIOD_OVERRIDE=FY","FILING_STATUS=MR","SCALING_FORMAT=MLN","Sort=A","Dates=H","DateFormat=P","Fill=—","Direction=H","UseDPDF=Y")</f>
        <v>6561.6</v>
      </c>
      <c r="D82" s="16">
        <f>_xll.BDH("FIS US Equity","TOTAL_EQUITY","FY 2011","FY 2011","Currency=USD","Period=FY","BEST_FPERIOD_OVERRIDE=FY","FILING_STATUS=MR","SCALING_FORMAT=MLN","Sort=A","Dates=H","DateFormat=P","Fill=—","Direction=H","UseDPDF=Y")</f>
        <v>6651.2</v>
      </c>
      <c r="E82" s="16">
        <f>_xll.BDH("FIS US Equity","TOTAL_EQUITY","FY 2012","FY 2012","Currency=USD","Period=FY","BEST_FPERIOD_OVERRIDE=FY","FILING_STATUS=MR","SCALING_FORMAT=MLN","Sort=A","Dates=H","DateFormat=P","Fill=—","Direction=H","UseDPDF=Y")</f>
        <v>6793.6</v>
      </c>
      <c r="F82" s="16">
        <f>_xll.BDH("FIS US Equity","TOTAL_EQUITY","FY 2013","FY 2013","Currency=USD","Period=FY","BEST_FPERIOD_OVERRIDE=FY","FILING_STATUS=MR","SCALING_FORMAT=MLN","Sort=A","Dates=H","DateFormat=P","Fill=—","Direction=H","UseDPDF=Y")</f>
        <v>6737.3</v>
      </c>
      <c r="G82" s="16">
        <f>_xll.BDH("FIS US Equity","TOTAL_EQUITY","FY 2014","FY 2014","Currency=USD","Period=FY","BEST_FPERIOD_OVERRIDE=FY","FILING_STATUS=MR","SCALING_FORMAT=MLN","Sort=A","Dates=H","DateFormat=P","Fill=—","Direction=H","UseDPDF=Y")</f>
        <v>6691.5</v>
      </c>
      <c r="H82" s="16">
        <f>_xll.BDH("FIS US Equity","TOTAL_EQUITY","FY 2015","FY 2015","Currency=USD","Period=FY","BEST_FPERIOD_OVERRIDE=FY","FILING_STATUS=MR","SCALING_FORMAT=MLN","Sort=A","Dates=H","DateFormat=P","Fill=—","Direction=H","UseDPDF=Y")</f>
        <v>9407</v>
      </c>
      <c r="I82" s="16">
        <f>_xll.BDH("FIS US Equity","TOTAL_EQUITY","FY 2016","FY 2016","Currency=USD","Period=FY","BEST_FPERIOD_OVERRIDE=FY","FILING_STATUS=MR","SCALING_FORMAT=MLN","Sort=A","Dates=H","DateFormat=P","Fill=—","Direction=H","UseDPDF=Y")</f>
        <v>9845</v>
      </c>
      <c r="J82" s="16">
        <f>_xll.BDH("FIS US Equity","TOTAL_EQUITY","FY 2017","FY 2017","Currency=USD","Period=FY","BEST_FPERIOD_OVERRIDE=FY","FILING_STATUS=MR","SCALING_FORMAT=MLN","Sort=A","Dates=H","DateFormat=P","Fill=—","Direction=H","UseDPDF=Y")</f>
        <v>10820</v>
      </c>
      <c r="K82" s="16">
        <f>_xll.BDH("FIS US Equity","TOTAL_EQUITY","FY 2018","FY 2018","Currency=USD","Period=FY","BEST_FPERIOD_OVERRIDE=FY","FILING_STATUS=MR","SCALING_FORMAT=MLN","Sort=A","Dates=H","DateFormat=P","Fill=—","Direction=H","UseDPDF=Y")</f>
        <v>10222</v>
      </c>
      <c r="L82" s="16">
        <f>_xll.BDH("FIS US Equity","TOTAL_EQUITY","FY 2019","FY 2019","Currency=USD","Period=FY","BEST_FPERIOD_OVERRIDE=FY","FILING_STATUS=MR","SCALING_FORMAT=MLN","Sort=A","Dates=H","DateFormat=P","Fill=—","Direction=H","UseDPDF=Y")</f>
        <v>49456</v>
      </c>
    </row>
    <row r="83" spans="1:12" x14ac:dyDescent="0.45">
      <c r="A83" s="6" t="s">
        <v>169</v>
      </c>
      <c r="B83" s="6" t="s">
        <v>170</v>
      </c>
      <c r="C83" s="16">
        <f>_xll.BDH("FIS US Equity","TOT_LIAB_AND_EQY","FY 2010","FY 2010","Currency=USD","Period=FY","BEST_FPERIOD_OVERRIDE=FY","FILING_STATUS=MR","SCALING_FORMAT=MLN","Sort=A","Dates=H","DateFormat=P","Fill=—","Direction=H","UseDPDF=Y")</f>
        <v>14176.3</v>
      </c>
      <c r="D83" s="16">
        <f>_xll.BDH("FIS US Equity","TOT_LIAB_AND_EQY","FY 2011","FY 2011","Currency=USD","Period=FY","BEST_FPERIOD_OVERRIDE=FY","FILING_STATUS=MR","SCALING_FORMAT=MLN","Sort=A","Dates=H","DateFormat=P","Fill=—","Direction=H","UseDPDF=Y")</f>
        <v>13873.2</v>
      </c>
      <c r="E83" s="16">
        <f>_xll.BDH("FIS US Equity","TOT_LIAB_AND_EQY","FY 2012","FY 2012","Currency=USD","Period=FY","BEST_FPERIOD_OVERRIDE=FY","FILING_STATUS=MR","SCALING_FORMAT=MLN","Sort=A","Dates=H","DateFormat=P","Fill=—","Direction=H","UseDPDF=Y")</f>
        <v>13549.7</v>
      </c>
      <c r="F83" s="16">
        <f>_xll.BDH("FIS US Equity","TOT_LIAB_AND_EQY","FY 2013","FY 2013","Currency=USD","Period=FY","BEST_FPERIOD_OVERRIDE=FY","FILING_STATUS=MR","SCALING_FORMAT=MLN","Sort=A","Dates=H","DateFormat=P","Fill=—","Direction=H","UseDPDF=Y")</f>
        <v>13960.1</v>
      </c>
      <c r="G83" s="16">
        <f>_xll.BDH("FIS US Equity","TOT_LIAB_AND_EQY","FY 2014","FY 2014","Currency=USD","Period=FY","BEST_FPERIOD_OVERRIDE=FY","FILING_STATUS=MR","SCALING_FORMAT=MLN","Sort=A","Dates=H","DateFormat=P","Fill=—","Direction=H","UseDPDF=Y")</f>
        <v>14520.5</v>
      </c>
      <c r="H83" s="16">
        <f>_xll.BDH("FIS US Equity","TOT_LIAB_AND_EQY","FY 2015","FY 2015","Currency=USD","Period=FY","BEST_FPERIOD_OVERRIDE=FY","FILING_STATUS=MR","SCALING_FORMAT=MLN","Sort=A","Dates=H","DateFormat=P","Fill=—","Direction=H","UseDPDF=Y")</f>
        <v>26200</v>
      </c>
      <c r="I83" s="16">
        <f>_xll.BDH("FIS US Equity","TOT_LIAB_AND_EQY","FY 2016","FY 2016","Currency=USD","Period=FY","BEST_FPERIOD_OVERRIDE=FY","FILING_STATUS=MR","SCALING_FORMAT=MLN","Sort=A","Dates=H","DateFormat=P","Fill=—","Direction=H","UseDPDF=Y")</f>
        <v>26031</v>
      </c>
      <c r="J83" s="16">
        <f>_xll.BDH("FIS US Equity","TOT_LIAB_AND_EQY","FY 2017","FY 2017","Currency=USD","Period=FY","BEST_FPERIOD_OVERRIDE=FY","FILING_STATUS=MR","SCALING_FORMAT=MLN","Sort=A","Dates=H","DateFormat=P","Fill=—","Direction=H","UseDPDF=Y")</f>
        <v>24526</v>
      </c>
      <c r="K83" s="16">
        <f>_xll.BDH("FIS US Equity","TOT_LIAB_AND_EQY","FY 2018","FY 2018","Currency=USD","Period=FY","BEST_FPERIOD_OVERRIDE=FY","FILING_STATUS=MR","SCALING_FORMAT=MLN","Sort=A","Dates=H","DateFormat=P","Fill=—","Direction=H","UseDPDF=Y")</f>
        <v>23770</v>
      </c>
      <c r="L83" s="16">
        <f>_xll.BDH("FIS US Equity","TOT_LIAB_AND_EQY","FY 2019","FY 2019","Currency=USD","Period=FY","BEST_FPERIOD_OVERRIDE=FY","FILING_STATUS=MR","SCALING_FORMAT=MLN","Sort=A","Dates=H","DateFormat=P","Fill=—","Direction=H","UseDPDF=Y")</f>
        <v>83806</v>
      </c>
    </row>
    <row r="84" spans="1:12" x14ac:dyDescent="0.45">
      <c r="A84" s="6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</row>
    <row r="85" spans="1:12" x14ac:dyDescent="0.45">
      <c r="A85" s="6" t="s">
        <v>0</v>
      </c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</row>
    <row r="86" spans="1:12" x14ac:dyDescent="0.45">
      <c r="A86" s="10" t="s">
        <v>171</v>
      </c>
      <c r="B86" s="10" t="s">
        <v>172</v>
      </c>
      <c r="C86" s="12" t="s">
        <v>173</v>
      </c>
      <c r="D86" s="12" t="s">
        <v>173</v>
      </c>
      <c r="E86" s="12" t="s">
        <v>173</v>
      </c>
      <c r="F86" s="12" t="s">
        <v>173</v>
      </c>
      <c r="G86" s="12" t="s">
        <v>173</v>
      </c>
      <c r="H86" s="12" t="s">
        <v>173</v>
      </c>
      <c r="I86" s="12" t="s">
        <v>173</v>
      </c>
      <c r="J86" s="12" t="s">
        <v>173</v>
      </c>
      <c r="K86" s="12" t="s">
        <v>173</v>
      </c>
      <c r="L86" s="12" t="s">
        <v>173</v>
      </c>
    </row>
    <row r="87" spans="1:12" x14ac:dyDescent="0.45">
      <c r="A87" s="10" t="s">
        <v>174</v>
      </c>
      <c r="B87" s="10" t="s">
        <v>175</v>
      </c>
      <c r="C87" s="13">
        <f>_xll.BDH("FIS US Equity","BS_SH_OUT","FY 2010","FY 2010","Currency=USD","Period=FY","BEST_FPERIOD_OVERRIDE=FY","FILING_STATUS=MR","Sort=A","Dates=H","DateFormat=P","Fill=—","Direction=H","UseDPDF=Y")</f>
        <v>301.89999999999998</v>
      </c>
      <c r="D87" s="13">
        <f>_xll.BDH("FIS US Equity","BS_SH_OUT","FY 2011","FY 2011","Currency=USD","Period=FY","BEST_FPERIOD_OVERRIDE=FY","FILING_STATUS=MR","Sort=A","Dates=H","DateFormat=P","Fill=—","Direction=H","UseDPDF=Y")</f>
        <v>292.89999999999998</v>
      </c>
      <c r="E87" s="13">
        <f>_xll.BDH("FIS US Equity","BS_SH_OUT","FY 2012","FY 2012","Currency=USD","Period=FY","BEST_FPERIOD_OVERRIDE=FY","FILING_STATUS=MR","Sort=A","Dates=H","DateFormat=P","Fill=—","Direction=H","UseDPDF=Y")</f>
        <v>294.10000000000002</v>
      </c>
      <c r="F87" s="13">
        <f>_xll.BDH("FIS US Equity","BS_SH_OUT","FY 2013","FY 2013","Currency=USD","Period=FY","BEST_FPERIOD_OVERRIDE=FY","FILING_STATUS=MR","Sort=A","Dates=H","DateFormat=P","Fill=—","Direction=H","UseDPDF=Y")</f>
        <v>290.60000000000002</v>
      </c>
      <c r="G87" s="13">
        <f>_xll.BDH("FIS US Equity","BS_SH_OUT","FY 2014","FY 2014","Currency=USD","Period=FY","BEST_FPERIOD_OVERRIDE=FY","FILING_STATUS=MR","Sort=A","Dates=H","DateFormat=P","Fill=—","Direction=H","UseDPDF=Y")</f>
        <v>284.89999999999998</v>
      </c>
      <c r="H87" s="13">
        <f>_xll.BDH("FIS US Equity","BS_SH_OUT","FY 2015","FY 2015","Currency=USD","Period=FY","BEST_FPERIOD_OVERRIDE=FY","FILING_STATUS=MR","Sort=A","Dates=H","DateFormat=P","Fill=—","Direction=H","UseDPDF=Y")</f>
        <v>324</v>
      </c>
      <c r="I87" s="13">
        <f>_xll.BDH("FIS US Equity","BS_SH_OUT","FY 2016","FY 2016","Currency=USD","Period=FY","BEST_FPERIOD_OVERRIDE=FY","FILING_STATUS=MR","Sort=A","Dates=H","DateFormat=P","Fill=—","Direction=H","UseDPDF=Y")</f>
        <v>328</v>
      </c>
      <c r="J87" s="13">
        <f>_xll.BDH("FIS US Equity","BS_SH_OUT","FY 2017","FY 2017","Currency=USD","Period=FY","BEST_FPERIOD_OVERRIDE=FY","FILING_STATUS=MR","Sort=A","Dates=H","DateFormat=P","Fill=—","Direction=H","UseDPDF=Y")</f>
        <v>333</v>
      </c>
      <c r="K87" s="13">
        <f>_xll.BDH("FIS US Equity","BS_SH_OUT","FY 2018","FY 2018","Currency=USD","Period=FY","BEST_FPERIOD_OVERRIDE=FY","FILING_STATUS=MR","Sort=A","Dates=H","DateFormat=P","Fill=—","Direction=H","UseDPDF=Y")</f>
        <v>327</v>
      </c>
      <c r="L87" s="13">
        <f>_xll.BDH("FIS US Equity","BS_SH_OUT","FY 2019","FY 2019","Currency=USD","Period=FY","BEST_FPERIOD_OVERRIDE=FY","FILING_STATUS=MR","Sort=A","Dates=H","DateFormat=P","Fill=—","Direction=H","UseDPDF=Y")</f>
        <v>616.32159999999999</v>
      </c>
    </row>
    <row r="88" spans="1:12" x14ac:dyDescent="0.45">
      <c r="A88" s="10" t="s">
        <v>176</v>
      </c>
      <c r="B88" s="10" t="s">
        <v>177</v>
      </c>
      <c r="C88" s="13">
        <f>_xll.BDH("FIS US Equity","BS_NUM_OF_TSY_SH","FY 2010","FY 2010","Currency=USD","Period=FY","BEST_FPERIOD_OVERRIDE=FY","FILING_STATUS=MR","Sort=A","Dates=H","DateFormat=P","Fill=—","Direction=H","UseDPDF=Y")</f>
        <v>80.8</v>
      </c>
      <c r="D88" s="13">
        <f>_xll.BDH("FIS US Equity","BS_NUM_OF_TSY_SH","FY 2011","FY 2011","Currency=USD","Period=FY","BEST_FPERIOD_OVERRIDE=FY","FILING_STATUS=MR","Sort=A","Dates=H","DateFormat=P","Fill=—","Direction=H","UseDPDF=Y")</f>
        <v>91.7</v>
      </c>
      <c r="E88" s="13">
        <f>_xll.BDH("FIS US Equity","BS_NUM_OF_TSY_SH","FY 2012","FY 2012","Currency=USD","Period=FY","BEST_FPERIOD_OVERRIDE=FY","FILING_STATUS=MR","Sort=A","Dates=H","DateFormat=P","Fill=—","Direction=H","UseDPDF=Y")</f>
        <v>91.8</v>
      </c>
      <c r="F88" s="13">
        <f>_xll.BDH("FIS US Equity","BS_NUM_OF_TSY_SH","FY 2013","FY 2013","Currency=USD","Period=FY","BEST_FPERIOD_OVERRIDE=FY","FILING_STATUS=MR","Sort=A","Dates=H","DateFormat=P","Fill=—","Direction=H","UseDPDF=Y")</f>
        <v>96.4</v>
      </c>
      <c r="G88" s="13">
        <f>_xll.BDH("FIS US Equity","BS_NUM_OF_TSY_SH","FY 2014","FY 2014","Currency=USD","Period=FY","BEST_FPERIOD_OVERRIDE=FY","FILING_STATUS=MR","Sort=A","Dates=H","DateFormat=P","Fill=—","Direction=H","UseDPDF=Y")</f>
        <v>102.7</v>
      </c>
      <c r="H88" s="13">
        <f>_xll.BDH("FIS US Equity","BS_NUM_OF_TSY_SH","FY 2015","FY 2015","Currency=USD","Period=FY","BEST_FPERIOD_OVERRIDE=FY","FILING_STATUS=MR","Sort=A","Dates=H","DateFormat=P","Fill=—","Direction=H","UseDPDF=Y")</f>
        <v>106</v>
      </c>
      <c r="I88" s="13">
        <f>_xll.BDH("FIS US Equity","BS_NUM_OF_TSY_SH","FY 2016","FY 2016","Currency=USD","Period=FY","BEST_FPERIOD_OVERRIDE=FY","FILING_STATUS=MR","Sort=A","Dates=H","DateFormat=P","Fill=—","Direction=H","UseDPDF=Y")</f>
        <v>103</v>
      </c>
      <c r="J88" s="13">
        <f>_xll.BDH("FIS US Equity","BS_NUM_OF_TSY_SH","FY 2017","FY 2017","Currency=USD","Period=FY","BEST_FPERIOD_OVERRIDE=FY","FILING_STATUS=MR","Sort=A","Dates=H","DateFormat=P","Fill=—","Direction=H","UseDPDF=Y")</f>
        <v>99</v>
      </c>
      <c r="K88" s="13">
        <f>_xll.BDH("FIS US Equity","BS_NUM_OF_TSY_SH","FY 2018","FY 2018","Currency=USD","Period=FY","BEST_FPERIOD_OVERRIDE=FY","FILING_STATUS=MR","Sort=A","Dates=H","DateFormat=P","Fill=—","Direction=H","UseDPDF=Y")</f>
        <v>106</v>
      </c>
      <c r="L88" s="13" t="str">
        <f>_xll.BDH("FIS US Equity","BS_NUM_OF_TSY_SH","FY 2019","FY 2019","Currency=USD","Period=FY","BEST_FPERIOD_OVERRIDE=FY","FILING_STATUS=MR","Sort=A","Dates=H","DateFormat=P","Fill=—","Direction=H","UseDPDF=Y")</f>
        <v>—</v>
      </c>
    </row>
    <row r="89" spans="1:12" x14ac:dyDescent="0.45">
      <c r="A89" s="10" t="s">
        <v>178</v>
      </c>
      <c r="B89" s="10" t="s">
        <v>179</v>
      </c>
      <c r="C89" s="13">
        <f>_xll.BDH("FIS US Equity","BS_PENSION_RSRV","FY 2010","FY 2010","Currency=USD","Period=FY","BEST_FPERIOD_OVERRIDE=FY","FILING_STATUS=MR","SCALING_FORMAT=MLN","Sort=A","Dates=H","DateFormat=P","Fill=—","Direction=H","UseDPDF=Y")</f>
        <v>31.1</v>
      </c>
      <c r="D89" s="13">
        <f>_xll.BDH("FIS US Equity","BS_PENSION_RSRV","FY 2011","FY 2011","Currency=USD","Period=FY","BEST_FPERIOD_OVERRIDE=FY","FILING_STATUS=MR","SCALING_FORMAT=MLN","Sort=A","Dates=H","DateFormat=P","Fill=—","Direction=H","UseDPDF=Y")</f>
        <v>33</v>
      </c>
      <c r="E89" s="13">
        <f>_xll.BDH("FIS US Equity","BS_PENSION_RSRV","FY 2012","FY 2012","Currency=USD","Period=FY","BEST_FPERIOD_OVERRIDE=FY","FILING_STATUS=MR","SCALING_FORMAT=MLN","Sort=A","Dates=H","DateFormat=P","Fill=—","Direction=H","UseDPDF=Y")</f>
        <v>40.6</v>
      </c>
      <c r="F89" s="13">
        <f>_xll.BDH("FIS US Equity","BS_PENSION_RSRV","FY 2013","FY 2013","Currency=USD","Period=FY","BEST_FPERIOD_OVERRIDE=FY","FILING_STATUS=MR","SCALING_FORMAT=MLN","Sort=A","Dates=H","DateFormat=P","Fill=—","Direction=H","UseDPDF=Y")</f>
        <v>45.9</v>
      </c>
      <c r="G89" s="13">
        <f>_xll.BDH("FIS US Equity","BS_PENSION_RSRV","FY 2014","FY 2014","Currency=USD","Period=FY","BEST_FPERIOD_OVERRIDE=FY","FILING_STATUS=MR","SCALING_FORMAT=MLN","Sort=A","Dates=H","DateFormat=P","Fill=—","Direction=H","UseDPDF=Y")</f>
        <v>51.6</v>
      </c>
      <c r="H89" s="13">
        <f>_xll.BDH("FIS US Equity","BS_PENSION_RSRV","FY 2015","FY 2015","Currency=USD","Period=FY","BEST_FPERIOD_OVERRIDE=FY","FILING_STATUS=MR","SCALING_FORMAT=MLN","Sort=A","Dates=H","DateFormat=P","Fill=—","Direction=H","UseDPDF=Y")</f>
        <v>49</v>
      </c>
      <c r="I89" s="13">
        <f>_xll.BDH("FIS US Equity","BS_PENSION_RSRV","FY 2016","FY 2016","Currency=USD","Period=FY","BEST_FPERIOD_OVERRIDE=FY","FILING_STATUS=MR","SCALING_FORMAT=MLN","Sort=A","Dates=H","DateFormat=P","Fill=—","Direction=H","UseDPDF=Y")</f>
        <v>50</v>
      </c>
      <c r="J89" s="13">
        <f>_xll.BDH("FIS US Equity","BS_PENSION_RSRV","FY 2017","FY 2017","Currency=USD","Period=FY","BEST_FPERIOD_OVERRIDE=FY","FILING_STATUS=MR","SCALING_FORMAT=MLN","Sort=A","Dates=H","DateFormat=P","Fill=—","Direction=H","UseDPDF=Y")</f>
        <v>57</v>
      </c>
      <c r="K89" s="13">
        <f>_xll.BDH("FIS US Equity","BS_PENSION_RSRV","FY 2018","FY 2018","Currency=USD","Period=FY","BEST_FPERIOD_OVERRIDE=FY","FILING_STATUS=MR","SCALING_FORMAT=MLN","Sort=A","Dates=H","DateFormat=P","Fill=—","Direction=H","UseDPDF=Y")</f>
        <v>54</v>
      </c>
      <c r="L89" s="13">
        <f>_xll.BDH("FIS US Equity","BS_PENSION_RSRV","FY 2019","FY 2019","Currency=USD","Period=FY","BEST_FPERIOD_OVERRIDE=FY","FILING_STATUS=MR","SCALING_FORMAT=MLN","Sort=A","Dates=H","DateFormat=P","Fill=—","Direction=H","UseDPDF=Y")</f>
        <v>0</v>
      </c>
    </row>
    <row r="90" spans="1:12" x14ac:dyDescent="0.45">
      <c r="A90" s="10" t="s">
        <v>180</v>
      </c>
      <c r="B90" s="10" t="s">
        <v>181</v>
      </c>
      <c r="C90" s="13">
        <f>_xll.BDH("FIS US Equity","BS_FUTURE_MIN_OPER_LEASE_OBLIG","FY 2010","FY 2010","Currency=USD","Period=FY","BEST_FPERIOD_OVERRIDE=FY","FILING_STATUS=MR","SCALING_FORMAT=MLN","Sort=A","Dates=H","DateFormat=P","Fill=—","Direction=H","UseDPDF=Y")</f>
        <v>278.60000000000002</v>
      </c>
      <c r="D90" s="13">
        <f>_xll.BDH("FIS US Equity","BS_FUTURE_MIN_OPER_LEASE_OBLIG","FY 2011","FY 2011","Currency=USD","Period=FY","BEST_FPERIOD_OVERRIDE=FY","FILING_STATUS=MR","SCALING_FORMAT=MLN","Sort=A","Dates=H","DateFormat=P","Fill=—","Direction=H","UseDPDF=Y")</f>
        <v>285.3</v>
      </c>
      <c r="E90" s="13">
        <f>_xll.BDH("FIS US Equity","BS_FUTURE_MIN_OPER_LEASE_OBLIG","FY 2012","FY 2012","Currency=USD","Period=FY","BEST_FPERIOD_OVERRIDE=FY","FILING_STATUS=MR","SCALING_FORMAT=MLN","Sort=A","Dates=H","DateFormat=P","Fill=—","Direction=H","UseDPDF=Y")</f>
        <v>226.6</v>
      </c>
      <c r="F90" s="13">
        <f>_xll.BDH("FIS US Equity","BS_FUTURE_MIN_OPER_LEASE_OBLIG","FY 2013","FY 2013","Currency=USD","Period=FY","BEST_FPERIOD_OVERRIDE=FY","FILING_STATUS=MR","SCALING_FORMAT=MLN","Sort=A","Dates=H","DateFormat=P","Fill=—","Direction=H","UseDPDF=Y")</f>
        <v>242.3</v>
      </c>
      <c r="G90" s="13">
        <f>_xll.BDH("FIS US Equity","BS_FUTURE_MIN_OPER_LEASE_OBLIG","FY 2014","FY 2014","Currency=USD","Period=FY","BEST_FPERIOD_OVERRIDE=FY","FILING_STATUS=MR","SCALING_FORMAT=MLN","Sort=A","Dates=H","DateFormat=P","Fill=—","Direction=H","UseDPDF=Y")</f>
        <v>266.60000000000002</v>
      </c>
      <c r="H90" s="13">
        <f>_xll.BDH("FIS US Equity","BS_FUTURE_MIN_OPER_LEASE_OBLIG","FY 2015","FY 2015","Currency=USD","Period=FY","BEST_FPERIOD_OVERRIDE=FY","FILING_STATUS=MR","SCALING_FORMAT=MLN","Sort=A","Dates=H","DateFormat=P","Fill=—","Direction=H","UseDPDF=Y")</f>
        <v>437.7</v>
      </c>
      <c r="I90" s="13">
        <f>_xll.BDH("FIS US Equity","BS_FUTURE_MIN_OPER_LEASE_OBLIG","FY 2016","FY 2016","Currency=USD","Period=FY","BEST_FPERIOD_OVERRIDE=FY","FILING_STATUS=MR","SCALING_FORMAT=MLN","Sort=A","Dates=H","DateFormat=P","Fill=—","Direction=H","UseDPDF=Y")</f>
        <v>401</v>
      </c>
      <c r="J90" s="13">
        <f>_xll.BDH("FIS US Equity","BS_FUTURE_MIN_OPER_LEASE_OBLIG","FY 2017","FY 2017","Currency=USD","Period=FY","BEST_FPERIOD_OVERRIDE=FY","FILING_STATUS=MR","SCALING_FORMAT=MLN","Sort=A","Dates=H","DateFormat=P","Fill=—","Direction=H","UseDPDF=Y")</f>
        <v>344</v>
      </c>
      <c r="K90" s="13">
        <f>_xll.BDH("FIS US Equity","BS_FUTURE_MIN_OPER_LEASE_OBLIG","FY 2018","FY 2018","Currency=USD","Period=FY","BEST_FPERIOD_OVERRIDE=FY","FILING_STATUS=MR","SCALING_FORMAT=MLN","Sort=A","Dates=H","DateFormat=P","Fill=—","Direction=H","UseDPDF=Y")</f>
        <v>480</v>
      </c>
      <c r="L90" s="13">
        <f>_xll.BDH("FIS US Equity","BS_FUTURE_MIN_OPER_LEASE_OBLIG","FY 2019","FY 2019","Currency=USD","Period=FY","BEST_FPERIOD_OVERRIDE=FY","FILING_STATUS=MR","SCALING_FORMAT=MLN","Sort=A","Dates=H","DateFormat=P","Fill=—","Direction=H","UseDPDF=Y")</f>
        <v>664</v>
      </c>
    </row>
    <row r="91" spans="1:12" x14ac:dyDescent="0.45">
      <c r="A91" s="10" t="s">
        <v>182</v>
      </c>
      <c r="B91" s="10" t="s">
        <v>183</v>
      </c>
      <c r="C91" s="13">
        <f>_xll.BDH("FIS US Equity","BS_TOTAL_CAPITAL_LEASES","FY 2010","FY 2010","Currency=USD","Period=FY","BEST_FPERIOD_OVERRIDE=FY","FILING_STATUS=MR","SCALING_FORMAT=MLN","Sort=A","Dates=H","DateFormat=P","Fill=—","Direction=H","UseDPDF=Y")</f>
        <v>0</v>
      </c>
      <c r="D91" s="13">
        <f>_xll.BDH("FIS US Equity","BS_TOTAL_CAPITAL_LEASES","FY 2011","FY 2011","Currency=USD","Period=FY","BEST_FPERIOD_OVERRIDE=FY","FILING_STATUS=MR","SCALING_FORMAT=MLN","Sort=A","Dates=H","DateFormat=P","Fill=—","Direction=H","UseDPDF=Y")</f>
        <v>0</v>
      </c>
      <c r="E91" s="13">
        <f>_xll.BDH("FIS US Equity","BS_TOTAL_CAPITAL_LEASES","FY 2012","FY 2012","Currency=USD","Period=FY","BEST_FPERIOD_OVERRIDE=FY","FILING_STATUS=MR","SCALING_FORMAT=MLN","Sort=A","Dates=H","DateFormat=P","Fill=—","Direction=H","UseDPDF=Y")</f>
        <v>0</v>
      </c>
      <c r="F91" s="13">
        <f>_xll.BDH("FIS US Equity","BS_TOTAL_CAPITAL_LEASES","FY 2013","FY 2013","Currency=USD","Period=FY","BEST_FPERIOD_OVERRIDE=FY","FILING_STATUS=MR","SCALING_FORMAT=MLN","Sort=A","Dates=H","DateFormat=P","Fill=—","Direction=H","UseDPDF=Y")</f>
        <v>16.899999999999999</v>
      </c>
      <c r="G91" s="13" t="str">
        <f>_xll.BDH("FIS US Equity","BS_TOTAL_CAPITAL_LEASES","FY 2014","FY 2014","Currency=USD","Period=FY","BEST_FPERIOD_OVERRIDE=FY","FILING_STATUS=MR","SCALING_FORMAT=MLN","Sort=A","Dates=H","DateFormat=P","Fill=—","Direction=H","UseDPDF=Y")</f>
        <v>—</v>
      </c>
      <c r="H91" s="13">
        <f>_xll.BDH("FIS US Equity","BS_TOTAL_CAPITAL_LEASES","FY 2015","FY 2015","Currency=USD","Period=FY","BEST_FPERIOD_OVERRIDE=FY","FILING_STATUS=MR","SCALING_FORMAT=MLN","Sort=A","Dates=H","DateFormat=P","Fill=—","Direction=H","UseDPDF=Y")</f>
        <v>9</v>
      </c>
      <c r="I91" s="13">
        <f>_xll.BDH("FIS US Equity","BS_TOTAL_CAPITAL_LEASES","FY 2016","FY 2016","Currency=USD","Period=FY","BEST_FPERIOD_OVERRIDE=FY","FILING_STATUS=MR","SCALING_FORMAT=MLN","Sort=A","Dates=H","DateFormat=P","Fill=—","Direction=H","UseDPDF=Y")</f>
        <v>43</v>
      </c>
      <c r="J91" s="13" t="str">
        <f>_xll.BDH("FIS US Equity","BS_TOTAL_CAPITAL_LEASES","FY 2017","FY 2017","Currency=USD","Period=FY","BEST_FPERIOD_OVERRIDE=FY","FILING_STATUS=MR","SCALING_FORMAT=MLN","Sort=A","Dates=H","DateFormat=P","Fill=—","Direction=H","UseDPDF=Y")</f>
        <v>—</v>
      </c>
      <c r="K91" s="13">
        <f>_xll.BDH("FIS US Equity","BS_TOTAL_CAPITAL_LEASES","FY 2018","FY 2018","Currency=USD","Period=FY","BEST_FPERIOD_OVERRIDE=FY","FILING_STATUS=MR","SCALING_FORMAT=MLN","Sort=A","Dates=H","DateFormat=P","Fill=—","Direction=H","UseDPDF=Y")</f>
        <v>91</v>
      </c>
      <c r="L91" s="13" t="str">
        <f>_xll.BDH("FIS US Equity","BS_TOTAL_CAPITAL_LEASES","FY 2019","FY 2019","Currency=USD","Period=FY","BEST_FPERIOD_OVERRIDE=FY","FILING_STATUS=MR","SCALING_FORMAT=MLN","Sort=A","Dates=H","DateFormat=P","Fill=—","Direction=H","UseDPDF=Y")</f>
        <v>—</v>
      </c>
    </row>
    <row r="92" spans="1:12" x14ac:dyDescent="0.45">
      <c r="A92" s="10" t="s">
        <v>184</v>
      </c>
      <c r="B92" s="10" t="s">
        <v>185</v>
      </c>
      <c r="C92" s="13">
        <f>_xll.BDH("FIS US Equity","BS_OPTIONS_GRANTED","FY 2010","FY 2010","Currency=USD","Period=FY","BEST_FPERIOD_OVERRIDE=FY","FILING_STATUS=MR","Sort=A","Dates=H","DateFormat=P","Fill=—","Direction=H","UseDPDF=Y")</f>
        <v>5.0999999999999996</v>
      </c>
      <c r="D92" s="13">
        <f>_xll.BDH("FIS US Equity","BS_OPTIONS_GRANTED","FY 2011","FY 2011","Currency=USD","Period=FY","BEST_FPERIOD_OVERRIDE=FY","FILING_STATUS=MR","Sort=A","Dates=H","DateFormat=P","Fill=—","Direction=H","UseDPDF=Y")</f>
        <v>3.4</v>
      </c>
      <c r="E92" s="13">
        <f>_xll.BDH("FIS US Equity","BS_OPTIONS_GRANTED","FY 2012","FY 2012","Currency=USD","Period=FY","BEST_FPERIOD_OVERRIDE=FY","FILING_STATUS=MR","Sort=A","Dates=H","DateFormat=P","Fill=—","Direction=H","UseDPDF=Y")</f>
        <v>2</v>
      </c>
      <c r="F92" s="13">
        <f>_xll.BDH("FIS US Equity","BS_OPTIONS_GRANTED","FY 2013","FY 2013","Currency=USD","Period=FY","BEST_FPERIOD_OVERRIDE=FY","FILING_STATUS=MR","Sort=A","Dates=H","DateFormat=P","Fill=—","Direction=H","UseDPDF=Y")</f>
        <v>4.2</v>
      </c>
      <c r="G92" s="13">
        <f>_xll.BDH("FIS US Equity","BS_OPTIONS_GRANTED","FY 2014","FY 2014","Currency=USD","Period=FY","BEST_FPERIOD_OVERRIDE=FY","FILING_STATUS=MR","Sort=A","Dates=H","DateFormat=P","Fill=—","Direction=H","UseDPDF=Y")</f>
        <v>4.4000000000000004</v>
      </c>
      <c r="H92" s="13">
        <f>_xll.BDH("FIS US Equity","BS_OPTIONS_GRANTED","FY 2015","FY 2015","Currency=USD","Period=FY","BEST_FPERIOD_OVERRIDE=FY","FILING_STATUS=MR","Sort=A","Dates=H","DateFormat=P","Fill=—","Direction=H","UseDPDF=Y")</f>
        <v>3.1</v>
      </c>
      <c r="I92" s="13">
        <f>_xll.BDH("FIS US Equity","BS_OPTIONS_GRANTED","FY 2016","FY 2016","Currency=USD","Period=FY","BEST_FPERIOD_OVERRIDE=FY","FILING_STATUS=MR","Sort=A","Dates=H","DateFormat=P","Fill=—","Direction=H","UseDPDF=Y")</f>
        <v>5.3</v>
      </c>
      <c r="J92" s="13">
        <f>_xll.BDH("FIS US Equity","BS_OPTIONS_GRANTED","FY 2017","FY 2017","Currency=USD","Period=FY","BEST_FPERIOD_OVERRIDE=FY","FILING_STATUS=MR","Sort=A","Dates=H","DateFormat=P","Fill=—","Direction=H","UseDPDF=Y")</f>
        <v>4</v>
      </c>
      <c r="K92" s="13">
        <f>_xll.BDH("FIS US Equity","BS_OPTIONS_GRANTED","FY 2018","FY 2018","Currency=USD","Period=FY","BEST_FPERIOD_OVERRIDE=FY","FILING_STATUS=MR","Sort=A","Dates=H","DateFormat=P","Fill=—","Direction=H","UseDPDF=Y")</f>
        <v>1</v>
      </c>
      <c r="L92" s="13">
        <f>_xll.BDH("FIS US Equity","BS_OPTIONS_GRANTED","FY 2019","FY 2019","Currency=USD","Period=FY","BEST_FPERIOD_OVERRIDE=FY","FILING_STATUS=MR","Sort=A","Dates=H","DateFormat=P","Fill=—","Direction=H","UseDPDF=Y")</f>
        <v>1</v>
      </c>
    </row>
    <row r="93" spans="1:12" x14ac:dyDescent="0.45">
      <c r="A93" s="10" t="s">
        <v>186</v>
      </c>
      <c r="B93" s="10" t="s">
        <v>187</v>
      </c>
      <c r="C93" s="13">
        <f>_xll.BDH("FIS US Equity","BS_OPTIONS_OUTSTANDING","FY 2010","FY 2010","Currency=USD","Period=FY","BEST_FPERIOD_OVERRIDE=FY","FILING_STATUS=MR","Sort=A","Dates=H","DateFormat=P","Fill=—","Direction=H","UseDPDF=Y")</f>
        <v>31.4</v>
      </c>
      <c r="D93" s="13">
        <f>_xll.BDH("FIS US Equity","BS_OPTIONS_OUTSTANDING","FY 2011","FY 2011","Currency=USD","Period=FY","BEST_FPERIOD_OVERRIDE=FY","FILING_STATUS=MR","Sort=A","Dates=H","DateFormat=P","Fill=—","Direction=H","UseDPDF=Y")</f>
        <v>30.4</v>
      </c>
      <c r="E93" s="13">
        <f>_xll.BDH("FIS US Equity","BS_OPTIONS_OUTSTANDING","FY 2012","FY 2012","Currency=USD","Period=FY","BEST_FPERIOD_OVERRIDE=FY","FILING_STATUS=MR","Sort=A","Dates=H","DateFormat=P","Fill=—","Direction=H","UseDPDF=Y")</f>
        <v>15.8</v>
      </c>
      <c r="F93" s="13">
        <f>_xll.BDH("FIS US Equity","BS_OPTIONS_OUTSTANDING","FY 2013","FY 2013","Currency=USD","Period=FY","BEST_FPERIOD_OVERRIDE=FY","FILING_STATUS=MR","Sort=A","Dates=H","DateFormat=P","Fill=—","Direction=H","UseDPDF=Y")</f>
        <v>13.8</v>
      </c>
      <c r="G93" s="13">
        <f>_xll.BDH("FIS US Equity","BS_OPTIONS_OUTSTANDING","FY 2014","FY 2014","Currency=USD","Period=FY","BEST_FPERIOD_OVERRIDE=FY","FILING_STATUS=MR","Sort=A","Dates=H","DateFormat=P","Fill=—","Direction=H","UseDPDF=Y")</f>
        <v>15.4</v>
      </c>
      <c r="H93" s="13">
        <f>_xll.BDH("FIS US Equity","BS_OPTIONS_OUTSTANDING","FY 2015","FY 2015","Currency=USD","Period=FY","BEST_FPERIOD_OVERRIDE=FY","FILING_STATUS=MR","Sort=A","Dates=H","DateFormat=P","Fill=—","Direction=H","UseDPDF=Y")</f>
        <v>15.7</v>
      </c>
      <c r="I93" s="13">
        <f>_xll.BDH("FIS US Equity","BS_OPTIONS_OUTSTANDING","FY 2016","FY 2016","Currency=USD","Period=FY","BEST_FPERIOD_OVERRIDE=FY","FILING_STATUS=MR","Sort=A","Dates=H","DateFormat=P","Fill=—","Direction=H","UseDPDF=Y")</f>
        <v>17</v>
      </c>
      <c r="J93" s="13">
        <f>_xll.BDH("FIS US Equity","BS_OPTIONS_OUTSTANDING","FY 2017","FY 2017","Currency=USD","Period=FY","BEST_FPERIOD_OVERRIDE=FY","FILING_STATUS=MR","Sort=A","Dates=H","DateFormat=P","Fill=—","Direction=H","UseDPDF=Y")</f>
        <v>15</v>
      </c>
      <c r="K93" s="13">
        <f>_xll.BDH("FIS US Equity","BS_OPTIONS_OUTSTANDING","FY 2018","FY 2018","Currency=USD","Period=FY","BEST_FPERIOD_OVERRIDE=FY","FILING_STATUS=MR","Sort=A","Dates=H","DateFormat=P","Fill=—","Direction=H","UseDPDF=Y")</f>
        <v>10</v>
      </c>
      <c r="L93" s="13">
        <f>_xll.BDH("FIS US Equity","BS_OPTIONS_OUTSTANDING","FY 2019","FY 2019","Currency=USD","Period=FY","BEST_FPERIOD_OVERRIDE=FY","FILING_STATUS=MR","Sort=A","Dates=H","DateFormat=P","Fill=—","Direction=H","UseDPDF=Y")</f>
        <v>11</v>
      </c>
    </row>
    <row r="94" spans="1:12" x14ac:dyDescent="0.45">
      <c r="A94" s="10" t="s">
        <v>188</v>
      </c>
      <c r="B94" s="10" t="s">
        <v>189</v>
      </c>
      <c r="C94" s="13">
        <f>_xll.BDH("FIS US Equity","NET_DEBT","FY 2010","FY 2010","Currency=USD","Period=FY","BEST_FPERIOD_OVERRIDE=FY","FILING_STATUS=MR","SCALING_FORMAT=MLN","Sort=A","Dates=H","DateFormat=P","Fill=—","Direction=H","UseDPDF=Y")</f>
        <v>4994.7</v>
      </c>
      <c r="D94" s="13">
        <f>_xll.BDH("FIS US Equity","NET_DEBT","FY 2011","FY 2011","Currency=USD","Period=FY","BEST_FPERIOD_OVERRIDE=FY","FILING_STATUS=MR","SCALING_FORMAT=MLN","Sort=A","Dates=H","DateFormat=P","Fill=—","Direction=H","UseDPDF=Y")</f>
        <v>4535.5</v>
      </c>
      <c r="E94" s="13">
        <f>_xll.BDH("FIS US Equity","NET_DEBT","FY 2012","FY 2012","Currency=USD","Period=FY","BEST_FPERIOD_OVERRIDE=FY","FILING_STATUS=MR","SCALING_FORMAT=MLN","Sort=A","Dates=H","DateFormat=P","Fill=—","Direction=H","UseDPDF=Y")</f>
        <v>3867.9</v>
      </c>
      <c r="F94" s="13">
        <f>_xll.BDH("FIS US Equity","NET_DEBT","FY 2013","FY 2013","Currency=USD","Period=FY","BEST_FPERIOD_OVERRIDE=FY","FILING_STATUS=MR","SCALING_FORMAT=MLN","Sort=A","Dates=H","DateFormat=P","Fill=—","Direction=H","UseDPDF=Y")</f>
        <v>3921.1</v>
      </c>
      <c r="G94" s="13">
        <f>_xll.BDH("FIS US Equity","NET_DEBT","FY 2014","FY 2014","Currency=USD","Period=FY","BEST_FPERIOD_OVERRIDE=FY","FILING_STATUS=MR","SCALING_FORMAT=MLN","Sort=A","Dates=H","DateFormat=P","Fill=—","Direction=H","UseDPDF=Y")</f>
        <v>4574.8999999999996</v>
      </c>
      <c r="H94" s="13">
        <f>_xll.BDH("FIS US Equity","NET_DEBT","FY 2015","FY 2015","Currency=USD","Period=FY","BEST_FPERIOD_OVERRIDE=FY","FILING_STATUS=MR","SCALING_FORMAT=MLN","Sort=A","Dates=H","DateFormat=P","Fill=—","Direction=H","UseDPDF=Y")</f>
        <v>10762</v>
      </c>
      <c r="I94" s="13">
        <f>_xll.BDH("FIS US Equity","NET_DEBT","FY 2016","FY 2016","Currency=USD","Period=FY","BEST_FPERIOD_OVERRIDE=FY","FILING_STATUS=MR","SCALING_FORMAT=MLN","Sort=A","Dates=H","DateFormat=P","Fill=—","Direction=H","UseDPDF=Y")</f>
        <v>9795</v>
      </c>
      <c r="J94" s="13">
        <f>_xll.BDH("FIS US Equity","NET_DEBT","FY 2017","FY 2017","Currency=USD","Period=FY","BEST_FPERIOD_OVERRIDE=FY","FILING_STATUS=MR","SCALING_FORMAT=MLN","Sort=A","Dates=H","DateFormat=P","Fill=—","Direction=H","UseDPDF=Y")</f>
        <v>8098</v>
      </c>
      <c r="K94" s="13">
        <f>_xll.BDH("FIS US Equity","NET_DEBT","FY 2018","FY 2018","Currency=USD","Period=FY","BEST_FPERIOD_OVERRIDE=FY","FILING_STATUS=MR","SCALING_FORMAT=MLN","Sort=A","Dates=H","DateFormat=P","Fill=—","Direction=H","UseDPDF=Y")</f>
        <v>8282</v>
      </c>
      <c r="L94" s="13">
        <f>_xll.BDH("FIS US Equity","NET_DEBT","FY 2019","FY 2019","Currency=USD","Period=FY","BEST_FPERIOD_OVERRIDE=FY","FILING_STATUS=MR","SCALING_FORMAT=MLN","Sort=A","Dates=H","DateFormat=P","Fill=—","Direction=H","UseDPDF=Y")</f>
        <v>19635</v>
      </c>
    </row>
    <row r="95" spans="1:12" x14ac:dyDescent="0.45">
      <c r="A95" s="10" t="s">
        <v>190</v>
      </c>
      <c r="B95" s="10" t="s">
        <v>191</v>
      </c>
      <c r="C95" s="14">
        <f>_xll.BDH("FIS US Equity","NET_DEBT_TO_SHRHLDR_EQTY","FY 2010","FY 2010","Currency=USD","Period=FY","BEST_FPERIOD_OVERRIDE=FY","FILING_STATUS=MR","Sort=A","Dates=H","DateFormat=P","Fill=—","Direction=H","UseDPDF=Y")</f>
        <v>76.120199999999997</v>
      </c>
      <c r="D95" s="14">
        <f>_xll.BDH("FIS US Equity","NET_DEBT_TO_SHRHLDR_EQTY","FY 2011","FY 2011","Currency=USD","Period=FY","BEST_FPERIOD_OVERRIDE=FY","FILING_STATUS=MR","Sort=A","Dates=H","DateFormat=P","Fill=—","Direction=H","UseDPDF=Y")</f>
        <v>68.190700000000007</v>
      </c>
      <c r="E95" s="14">
        <f>_xll.BDH("FIS US Equity","NET_DEBT_TO_SHRHLDR_EQTY","FY 2012","FY 2012","Currency=USD","Period=FY","BEST_FPERIOD_OVERRIDE=FY","FILING_STATUS=MR","Sort=A","Dates=H","DateFormat=P","Fill=—","Direction=H","UseDPDF=Y")</f>
        <v>56.9345</v>
      </c>
      <c r="F95" s="14">
        <f>_xll.BDH("FIS US Equity","NET_DEBT_TO_SHRHLDR_EQTY","FY 2013","FY 2013","Currency=USD","Period=FY","BEST_FPERIOD_OVERRIDE=FY","FILING_STATUS=MR","Sort=A","Dates=H","DateFormat=P","Fill=—","Direction=H","UseDPDF=Y")</f>
        <v>58.1999</v>
      </c>
      <c r="G95" s="14">
        <f>_xll.BDH("FIS US Equity","NET_DEBT_TO_SHRHLDR_EQTY","FY 2014","FY 2014","Currency=USD","Period=FY","BEST_FPERIOD_OVERRIDE=FY","FILING_STATUS=MR","Sort=A","Dates=H","DateFormat=P","Fill=—","Direction=H","UseDPDF=Y")</f>
        <v>68.368799999999993</v>
      </c>
      <c r="H95" s="14">
        <f>_xll.BDH("FIS US Equity","NET_DEBT_TO_SHRHLDR_EQTY","FY 2015","FY 2015","Currency=USD","Period=FY","BEST_FPERIOD_OVERRIDE=FY","FILING_STATUS=MR","Sort=A","Dates=H","DateFormat=P","Fill=—","Direction=H","UseDPDF=Y")</f>
        <v>114.4042</v>
      </c>
      <c r="I95" s="14">
        <f>_xll.BDH("FIS US Equity","NET_DEBT_TO_SHRHLDR_EQTY","FY 2016","FY 2016","Currency=USD","Period=FY","BEST_FPERIOD_OVERRIDE=FY","FILING_STATUS=MR","Sort=A","Dates=H","DateFormat=P","Fill=—","Direction=H","UseDPDF=Y")</f>
        <v>99.492099999999994</v>
      </c>
      <c r="J95" s="14">
        <f>_xll.BDH("FIS US Equity","NET_DEBT_TO_SHRHLDR_EQTY","FY 2017","FY 2017","Currency=USD","Period=FY","BEST_FPERIOD_OVERRIDE=FY","FILING_STATUS=MR","Sort=A","Dates=H","DateFormat=P","Fill=—","Direction=H","UseDPDF=Y")</f>
        <v>74.8429</v>
      </c>
      <c r="K95" s="14">
        <f>_xll.BDH("FIS US Equity","NET_DEBT_TO_SHRHLDR_EQTY","FY 2018","FY 2018","Currency=USD","Period=FY","BEST_FPERIOD_OVERRIDE=FY","FILING_STATUS=MR","Sort=A","Dates=H","DateFormat=P","Fill=—","Direction=H","UseDPDF=Y")</f>
        <v>81.021299999999997</v>
      </c>
      <c r="L95" s="14">
        <f>_xll.BDH("FIS US Equity","NET_DEBT_TO_SHRHLDR_EQTY","FY 2019","FY 2019","Currency=USD","Period=FY","BEST_FPERIOD_OVERRIDE=FY","FILING_STATUS=MR","Sort=A","Dates=H","DateFormat=P","Fill=—","Direction=H","UseDPDF=Y")</f>
        <v>39.701999999999998</v>
      </c>
    </row>
    <row r="96" spans="1:12" x14ac:dyDescent="0.45">
      <c r="A96" s="10" t="s">
        <v>192</v>
      </c>
      <c r="B96" s="10" t="s">
        <v>193</v>
      </c>
      <c r="C96" s="14">
        <f>_xll.BDH("FIS US Equity","TCE_RATIO","FY 2010","FY 2010","Currency=USD","Period=FY","BEST_FPERIOD_OVERRIDE=FY","FILING_STATUS=MR","Sort=A","Dates=H","DateFormat=P","Fill=—","Direction=H","UseDPDF=Y")</f>
        <v>-243.91200000000001</v>
      </c>
      <c r="D96" s="14">
        <f>_xll.BDH("FIS US Equity","TCE_RATIO","FY 2011","FY 2011","Currency=USD","Period=FY","BEST_FPERIOD_OVERRIDE=FY","FILING_STATUS=MR","Sort=A","Dates=H","DateFormat=P","Fill=—","Direction=H","UseDPDF=Y")</f>
        <v>-218.65620000000001</v>
      </c>
      <c r="E96" s="14">
        <f>_xll.BDH("FIS US Equity","TCE_RATIO","FY 2012","FY 2012","Currency=USD","Period=FY","BEST_FPERIOD_OVERRIDE=FY","FILING_STATUS=MR","Sort=A","Dates=H","DateFormat=P","Fill=—","Direction=H","UseDPDF=Y")</f>
        <v>-172.66560000000001</v>
      </c>
      <c r="F96" s="14">
        <f>_xll.BDH("FIS US Equity","TCE_RATIO","FY 2013","FY 2013","Currency=USD","Period=FY","BEST_FPERIOD_OVERRIDE=FY","FILING_STATUS=MR","Sort=A","Dates=H","DateFormat=P","Fill=—","Direction=H","UseDPDF=Y")</f>
        <v>-141.36060000000001</v>
      </c>
      <c r="G96" s="14">
        <f>_xll.BDH("FIS US Equity","TCE_RATIO","FY 2014","FY 2014","Currency=USD","Period=FY","BEST_FPERIOD_OVERRIDE=FY","FILING_STATUS=MR","Sort=A","Dates=H","DateFormat=P","Fill=—","Direction=H","UseDPDF=Y")</f>
        <v>-143.66800000000001</v>
      </c>
      <c r="H96" s="14">
        <f>_xll.BDH("FIS US Equity","TCE_RATIO","FY 2015","FY 2015","Currency=USD","Period=FY","BEST_FPERIOD_OVERRIDE=FY","FILING_STATUS=MR","Sort=A","Dates=H","DateFormat=P","Fill=—","Direction=H","UseDPDF=Y")</f>
        <v>-278.5378</v>
      </c>
      <c r="I96" s="14">
        <f>_xll.BDH("FIS US Equity","TCE_RATIO","FY 2016","FY 2016","Currency=USD","Period=FY","BEST_FPERIOD_OVERRIDE=FY","FILING_STATUS=MR","Sort=A","Dates=H","DateFormat=P","Fill=—","Direction=H","UseDPDF=Y")</f>
        <v>-209.04949999999999</v>
      </c>
      <c r="J96" s="14">
        <f>_xll.BDH("FIS US Equity","TCE_RATIO","FY 2017","FY 2017","Currency=USD","Period=FY","BEST_FPERIOD_OVERRIDE=FY","FILING_STATUS=MR","Sort=A","Dates=H","DateFormat=P","Fill=—","Direction=H","UseDPDF=Y")</f>
        <v>-186.08410000000001</v>
      </c>
      <c r="K96" s="14">
        <f>_xll.BDH("FIS US Equity","TCE_RATIO","FY 2018","FY 2018","Currency=USD","Period=FY","BEST_FPERIOD_OVERRIDE=FY","FILING_STATUS=MR","Sort=A","Dates=H","DateFormat=P","Fill=—","Direction=H","UseDPDF=Y")</f>
        <v>-181.04910000000001</v>
      </c>
      <c r="L96" s="14">
        <f>_xll.BDH("FIS US Equity","TCE_RATIO","FY 2019","FY 2019","Currency=USD","Period=FY","BEST_FPERIOD_OVERRIDE=FY","FILING_STATUS=MR","Sort=A","Dates=H","DateFormat=P","Fill=—","Direction=H","UseDPDF=Y")</f>
        <v>-188.91130000000001</v>
      </c>
    </row>
    <row r="97" spans="1:12" x14ac:dyDescent="0.45">
      <c r="A97" s="10" t="s">
        <v>194</v>
      </c>
      <c r="B97" s="10" t="s">
        <v>195</v>
      </c>
      <c r="C97" s="14">
        <f>_xll.BDH("FIS US Equity","CUR_RATIO","FY 2010","FY 2010","Currency=USD","Period=FY","BEST_FPERIOD_OVERRIDE=FY","FILING_STATUS=MR","Sort=A","Dates=H","DateFormat=P","Fill=—","Direction=H","UseDPDF=Y")</f>
        <v>1.2865</v>
      </c>
      <c r="D97" s="14">
        <f>_xll.BDH("FIS US Equity","CUR_RATIO","FY 2011","FY 2011","Currency=USD","Period=FY","BEST_FPERIOD_OVERRIDE=FY","FILING_STATUS=MR","Sort=A","Dates=H","DateFormat=P","Fill=—","Direction=H","UseDPDF=Y")</f>
        <v>1.2342</v>
      </c>
      <c r="E97" s="14">
        <f>_xll.BDH("FIS US Equity","CUR_RATIO","FY 2012","FY 2012","Currency=USD","Period=FY","BEST_FPERIOD_OVERRIDE=FY","FILING_STATUS=MR","Sort=A","Dates=H","DateFormat=P","Fill=—","Direction=H","UseDPDF=Y")</f>
        <v>1.4674</v>
      </c>
      <c r="F97" s="14">
        <f>_xll.BDH("FIS US Equity","CUR_RATIO","FY 2013","FY 2013","Currency=USD","Period=FY","BEST_FPERIOD_OVERRIDE=FY","FILING_STATUS=MR","Sort=A","Dates=H","DateFormat=P","Fill=—","Direction=H","UseDPDF=Y")</f>
        <v>1.4060999999999999</v>
      </c>
      <c r="G97" s="14">
        <f>_xll.BDH("FIS US Equity","CUR_RATIO","FY 2014","FY 2014","Currency=USD","Period=FY","BEST_FPERIOD_OVERRIDE=FY","FILING_STATUS=MR","Sort=A","Dates=H","DateFormat=P","Fill=—","Direction=H","UseDPDF=Y")</f>
        <v>1.5468</v>
      </c>
      <c r="H97" s="14">
        <f>_xll.BDH("FIS US Equity","CUR_RATIO","FY 2015","FY 2015","Currency=USD","Period=FY","BEST_FPERIOD_OVERRIDE=FY","FILING_STATUS=MR","Sort=A","Dates=H","DateFormat=P","Fill=—","Direction=H","UseDPDF=Y")</f>
        <v>1.4843</v>
      </c>
      <c r="I97" s="14">
        <f>_xll.BDH("FIS US Equity","CUR_RATIO","FY 2016","FY 2016","Currency=USD","Period=FY","BEST_FPERIOD_OVERRIDE=FY","FILING_STATUS=MR","Sort=A","Dates=H","DateFormat=P","Fill=—","Direction=H","UseDPDF=Y")</f>
        <v>1.3589</v>
      </c>
      <c r="J97" s="14">
        <f>_xll.BDH("FIS US Equity","CUR_RATIO","FY 2017","FY 2017","Currency=USD","Period=FY","BEST_FPERIOD_OVERRIDE=FY","FILING_STATUS=MR","Sort=A","Dates=H","DateFormat=P","Fill=—","Direction=H","UseDPDF=Y")</f>
        <v>0.91949999999999998</v>
      </c>
      <c r="K97" s="14">
        <f>_xll.BDH("FIS US Equity","CUR_RATIO","FY 2018","FY 2018","Currency=USD","Period=FY","BEST_FPERIOD_OVERRIDE=FY","FILING_STATUS=MR","Sort=A","Dates=H","DateFormat=P","Fill=—","Direction=H","UseDPDF=Y")</f>
        <v>1.1945999999999999</v>
      </c>
      <c r="L97" s="14">
        <f>_xll.BDH("FIS US Equity","CUR_RATIO","FY 2019","FY 2019","Currency=USD","Period=FY","BEST_FPERIOD_OVERRIDE=FY","FILING_STATUS=MR","Sort=A","Dates=H","DateFormat=P","Fill=—","Direction=H","UseDPDF=Y")</f>
        <v>0.83720000000000006</v>
      </c>
    </row>
    <row r="98" spans="1:12" x14ac:dyDescent="0.45">
      <c r="A98" s="10" t="s">
        <v>196</v>
      </c>
      <c r="B98" s="10" t="s">
        <v>197</v>
      </c>
      <c r="C98" s="13" t="str">
        <f>_xll.BDH("FIS US Equity","BS_CASH_HELD_OVERSEAS","FY 2010","FY 2010","Currency=USD","Period=FY","BEST_FPERIOD_OVERRIDE=FY","FILING_STATUS=MR","SCALING_FORMAT=MLN","Sort=A","Dates=H","DateFormat=P","Fill=—","Direction=H","UseDPDF=Y")</f>
        <v>—</v>
      </c>
      <c r="D98" s="13" t="str">
        <f>_xll.BDH("FIS US Equity","BS_CASH_HELD_OVERSEAS","FY 2011","FY 2011","Currency=USD","Period=FY","BEST_FPERIOD_OVERRIDE=FY","FILING_STATUS=MR","SCALING_FORMAT=MLN","Sort=A","Dates=H","DateFormat=P","Fill=—","Direction=H","UseDPDF=Y")</f>
        <v>—</v>
      </c>
      <c r="E98" s="13" t="str">
        <f>_xll.BDH("FIS US Equity","BS_CASH_HELD_OVERSEAS","FY 2012","FY 2012","Currency=USD","Period=FY","BEST_FPERIOD_OVERRIDE=FY","FILING_STATUS=MR","SCALING_FORMAT=MLN","Sort=A","Dates=H","DateFormat=P","Fill=—","Direction=H","UseDPDF=Y")</f>
        <v>—</v>
      </c>
      <c r="F98" s="13">
        <f>_xll.BDH("FIS US Equity","BS_CASH_HELD_OVERSEAS","FY 2013","FY 2013","Currency=USD","Period=FY","BEST_FPERIOD_OVERRIDE=FY","FILING_STATUS=MR","SCALING_FORMAT=MLN","Sort=A","Dates=H","DateFormat=P","Fill=—","Direction=H","UseDPDF=Y")</f>
        <v>368.9</v>
      </c>
      <c r="G98" s="13">
        <f>_xll.BDH("FIS US Equity","BS_CASH_HELD_OVERSEAS","FY 2014","FY 2014","Currency=USD","Period=FY","BEST_FPERIOD_OVERRIDE=FY","FILING_STATUS=MR","SCALING_FORMAT=MLN","Sort=A","Dates=H","DateFormat=P","Fill=—","Direction=H","UseDPDF=Y")</f>
        <v>310.5</v>
      </c>
      <c r="H98" s="13">
        <f>_xll.BDH("FIS US Equity","BS_CASH_HELD_OVERSEAS","FY 2015","FY 2015","Currency=USD","Period=FY","BEST_FPERIOD_OVERRIDE=FY","FILING_STATUS=MR","SCALING_FORMAT=MLN","Sort=A","Dates=H","DateFormat=P","Fill=—","Direction=H","UseDPDF=Y")</f>
        <v>438.6</v>
      </c>
      <c r="I98" s="13">
        <f>_xll.BDH("FIS US Equity","BS_CASH_HELD_OVERSEAS","FY 2016","FY 2016","Currency=USD","Period=FY","BEST_FPERIOD_OVERRIDE=FY","FILING_STATUS=MR","SCALING_FORMAT=MLN","Sort=A","Dates=H","DateFormat=P","Fill=—","Direction=H","UseDPDF=Y")</f>
        <v>470</v>
      </c>
      <c r="J98" s="13">
        <f>_xll.BDH("FIS US Equity","BS_CASH_HELD_OVERSEAS","FY 2017","FY 2017","Currency=USD","Period=FY","BEST_FPERIOD_OVERRIDE=FY","FILING_STATUS=MR","SCALING_FORMAT=MLN","Sort=A","Dates=H","DateFormat=P","Fill=—","Direction=H","UseDPDF=Y")</f>
        <v>415</v>
      </c>
      <c r="K98" s="13">
        <f>_xll.BDH("FIS US Equity","BS_CASH_HELD_OVERSEAS","FY 2018","FY 2018","Currency=USD","Period=FY","BEST_FPERIOD_OVERRIDE=FY","FILING_STATUS=MR","SCALING_FORMAT=MLN","Sort=A","Dates=H","DateFormat=P","Fill=—","Direction=H","UseDPDF=Y")</f>
        <v>340</v>
      </c>
      <c r="L98" s="13">
        <f>_xll.BDH("FIS US Equity","BS_CASH_HELD_OVERSEAS","FY 2019","FY 2019","Currency=USD","Period=FY","BEST_FPERIOD_OVERRIDE=FY","FILING_STATUS=MR","SCALING_FORMAT=MLN","Sort=A","Dates=H","DateFormat=P","Fill=—","Direction=H","UseDPDF=Y")</f>
        <v>570</v>
      </c>
    </row>
    <row r="99" spans="1:12" x14ac:dyDescent="0.45">
      <c r="A99" s="10" t="s">
        <v>198</v>
      </c>
      <c r="B99" s="10" t="s">
        <v>199</v>
      </c>
      <c r="C99" s="14">
        <f>_xll.BDH("FIS US Equity","NUM_OF_EMPLOYEES","FY 2010","FY 2010","Currency=USD","Period=FY","BEST_FPERIOD_OVERRIDE=FY","FILING_STATUS=MR","Sort=A","Dates=H","DateFormat=P","Fill=—","Direction=H","UseDPDF=Y")</f>
        <v>33000</v>
      </c>
      <c r="D99" s="14">
        <f>_xll.BDH("FIS US Equity","NUM_OF_EMPLOYEES","FY 2011","FY 2011","Currency=USD","Period=FY","BEST_FPERIOD_OVERRIDE=FY","FILING_STATUS=MR","Sort=A","Dates=H","DateFormat=P","Fill=—","Direction=H","UseDPDF=Y")</f>
        <v>33000</v>
      </c>
      <c r="E99" s="14" t="str">
        <f>_xll.BDH("FIS US Equity","NUM_OF_EMPLOYEES","FY 2012","FY 2012","Currency=USD","Period=FY","BEST_FPERIOD_OVERRIDE=FY","FILING_STATUS=MR","Sort=A","Dates=H","DateFormat=P","Fill=—","Direction=H","UseDPDF=Y")</f>
        <v>—</v>
      </c>
      <c r="F99" s="14">
        <f>_xll.BDH("FIS US Equity","NUM_OF_EMPLOYEES","FY 2013","FY 2013","Currency=USD","Period=FY","BEST_FPERIOD_OVERRIDE=FY","FILING_STATUS=MR","Sort=A","Dates=H","DateFormat=P","Fill=—","Direction=H","UseDPDF=Y")</f>
        <v>38000</v>
      </c>
      <c r="G99" s="14">
        <f>_xll.BDH("FIS US Equity","NUM_OF_EMPLOYEES","FY 2014","FY 2014","Currency=USD","Period=FY","BEST_FPERIOD_OVERRIDE=FY","FILING_STATUS=MR","Sort=A","Dates=H","DateFormat=P","Fill=—","Direction=H","UseDPDF=Y")</f>
        <v>40000</v>
      </c>
      <c r="H99" s="14">
        <f>_xll.BDH("FIS US Equity","NUM_OF_EMPLOYEES","FY 2015","FY 2015","Currency=USD","Period=FY","BEST_FPERIOD_OVERRIDE=FY","FILING_STATUS=MR","Sort=A","Dates=H","DateFormat=P","Fill=—","Direction=H","UseDPDF=Y")</f>
        <v>55000</v>
      </c>
      <c r="I99" s="14">
        <f>_xll.BDH("FIS US Equity","NUM_OF_EMPLOYEES","FY 2016","FY 2016","Currency=USD","Period=FY","BEST_FPERIOD_OVERRIDE=FY","FILING_STATUS=MR","Sort=A","Dates=H","DateFormat=P","Fill=—","Direction=H","UseDPDF=Y")</f>
        <v>55000</v>
      </c>
      <c r="J99" s="14">
        <f>_xll.BDH("FIS US Equity","NUM_OF_EMPLOYEES","FY 2017","FY 2017","Currency=USD","Period=FY","BEST_FPERIOD_OVERRIDE=FY","FILING_STATUS=MR","Sort=A","Dates=H","DateFormat=P","Fill=—","Direction=H","UseDPDF=Y")</f>
        <v>53000</v>
      </c>
      <c r="K99" s="14">
        <f>_xll.BDH("FIS US Equity","NUM_OF_EMPLOYEES","FY 2018","FY 2018","Currency=USD","Period=FY","BEST_FPERIOD_OVERRIDE=FY","FILING_STATUS=MR","Sort=A","Dates=H","DateFormat=P","Fill=—","Direction=H","UseDPDF=Y")</f>
        <v>47000</v>
      </c>
      <c r="L99" s="14">
        <f>_xll.BDH("FIS US Equity","NUM_OF_EMPLOYEES","FY 2019","FY 2019","Currency=USD","Period=FY","BEST_FPERIOD_OVERRIDE=FY","FILING_STATUS=MR","Sort=A","Dates=H","DateFormat=P","Fill=—","Direction=H","UseDPDF=Y")</f>
        <v>55000</v>
      </c>
    </row>
    <row r="100" spans="1:12" x14ac:dyDescent="0.45">
      <c r="A100" s="7" t="s">
        <v>200</v>
      </c>
      <c r="B100" s="7"/>
      <c r="C100" s="7" t="s">
        <v>1</v>
      </c>
      <c r="D100" s="7"/>
      <c r="E100" s="7"/>
      <c r="F100" s="7"/>
      <c r="G100" s="7"/>
      <c r="H100" s="7"/>
      <c r="I100" s="7"/>
      <c r="J100" s="7"/>
      <c r="K100" s="7"/>
      <c r="L1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Sheet - Standardized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Ryan Malloy</cp:lastModifiedBy>
  <dcterms:created xsi:type="dcterms:W3CDTF">2013-04-03T15:49:21Z</dcterms:created>
  <dcterms:modified xsi:type="dcterms:W3CDTF">2021-02-05T21:10:28Z</dcterms:modified>
</cp:coreProperties>
</file>