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j\Downloads\"/>
    </mc:Choice>
  </mc:AlternateContent>
  <xr:revisionPtr revIDLastSave="0" documentId="8_{396599F2-4A7E-4BB8-9A7A-D41D97929D3D}" xr6:coauthVersionLast="45" xr6:coauthVersionMax="45" xr10:uidLastSave="{00000000-0000-0000-0000-000000000000}"/>
  <bookViews>
    <workbookView xWindow="6045" yWindow="-16320" windowWidth="29040" windowHeight="15840" xr2:uid="{00000000-000D-0000-FFFF-FFFF00000000}"/>
  </bookViews>
  <sheets>
    <sheet name="Cash Flow - Standardized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J14" i="2"/>
  <c r="D22" i="2"/>
  <c r="H26" i="2"/>
  <c r="H44" i="2"/>
  <c r="D30" i="2"/>
  <c r="G35" i="2"/>
  <c r="E60" i="2"/>
  <c r="C49" i="2"/>
  <c r="E68" i="2"/>
  <c r="C14" i="2"/>
  <c r="H9" i="2"/>
  <c r="H27" i="2"/>
  <c r="F21" i="2"/>
  <c r="D31" i="2"/>
  <c r="H35" i="2"/>
  <c r="J43" i="2"/>
  <c r="D49" i="2"/>
  <c r="H56" i="2"/>
  <c r="C63" i="2"/>
  <c r="C7" i="2"/>
  <c r="H66" i="2"/>
  <c r="K7" i="2"/>
  <c r="I9" i="2"/>
  <c r="J8" i="2"/>
  <c r="H10" i="2"/>
  <c r="E13" i="2"/>
  <c r="G11" i="2"/>
  <c r="D14" i="2"/>
  <c r="F12" i="2"/>
  <c r="J16" i="2"/>
  <c r="C15" i="2"/>
  <c r="I17" i="2"/>
  <c r="K15" i="2"/>
  <c r="G21" i="2"/>
  <c r="H18" i="2"/>
  <c r="E23" i="2"/>
  <c r="J26" i="2"/>
  <c r="F22" i="2"/>
  <c r="D24" i="2"/>
  <c r="C25" i="2"/>
  <c r="K25" i="2"/>
  <c r="H28" i="2"/>
  <c r="I27" i="2"/>
  <c r="G29" i="2"/>
  <c r="F30" i="2"/>
  <c r="C33" i="2"/>
  <c r="D32" i="2"/>
  <c r="E31" i="2"/>
  <c r="K33" i="2"/>
  <c r="J34" i="2"/>
  <c r="H36" i="2"/>
  <c r="G37" i="2"/>
  <c r="I35" i="2"/>
  <c r="F40" i="2"/>
  <c r="E41" i="2"/>
  <c r="D42" i="2"/>
  <c r="K43" i="2"/>
  <c r="C43" i="2"/>
  <c r="J44" i="2"/>
  <c r="I45" i="2"/>
  <c r="H46" i="2"/>
  <c r="F48" i="2"/>
  <c r="E49" i="2"/>
  <c r="G47" i="2"/>
  <c r="D50" i="2"/>
  <c r="C52" i="2"/>
  <c r="J54" i="2"/>
  <c r="K52" i="2"/>
  <c r="I56" i="2"/>
  <c r="H57" i="2"/>
  <c r="G60" i="2"/>
  <c r="C64" i="2"/>
  <c r="E62" i="2"/>
  <c r="D63" i="2"/>
  <c r="F61" i="2"/>
  <c r="J65" i="2"/>
  <c r="K64" i="2"/>
  <c r="I66" i="2"/>
  <c r="G68" i="2"/>
  <c r="H67" i="2"/>
  <c r="F69" i="2"/>
  <c r="F10" i="2"/>
  <c r="J32" i="2"/>
  <c r="E21" i="2"/>
  <c r="G27" i="2"/>
  <c r="K13" i="2"/>
  <c r="D61" i="2"/>
  <c r="G45" i="2"/>
  <c r="F11" i="2"/>
  <c r="J15" i="2"/>
  <c r="F67" i="2"/>
  <c r="D40" i="2"/>
  <c r="I26" i="2"/>
  <c r="E22" i="2"/>
  <c r="J50" i="2"/>
  <c r="E30" i="2"/>
  <c r="G36" i="2"/>
  <c r="K42" i="2"/>
  <c r="K50" i="2"/>
  <c r="F47" i="2"/>
  <c r="E69" i="2"/>
  <c r="K8" i="2"/>
  <c r="C8" i="2"/>
  <c r="E61" i="2"/>
  <c r="D7" i="2"/>
  <c r="J9" i="2"/>
  <c r="I10" i="2"/>
  <c r="H11" i="2"/>
  <c r="G12" i="2"/>
  <c r="F13" i="2"/>
  <c r="E14" i="2"/>
  <c r="C16" i="2"/>
  <c r="D15" i="2"/>
  <c r="J17" i="2"/>
  <c r="K16" i="2"/>
  <c r="H21" i="2"/>
  <c r="I18" i="2"/>
  <c r="G22" i="2"/>
  <c r="F23" i="2"/>
  <c r="E24" i="2"/>
  <c r="D25" i="2"/>
  <c r="K26" i="2"/>
  <c r="J27" i="2"/>
  <c r="C26" i="2"/>
  <c r="I28" i="2"/>
  <c r="H29" i="2"/>
  <c r="G30" i="2"/>
  <c r="E32" i="2"/>
  <c r="D33" i="2"/>
  <c r="F31" i="2"/>
  <c r="C34" i="2"/>
  <c r="K34" i="2"/>
  <c r="J35" i="2"/>
  <c r="H37" i="2"/>
  <c r="I36" i="2"/>
  <c r="F41" i="2"/>
  <c r="G40" i="2"/>
  <c r="E42" i="2"/>
  <c r="D43" i="2"/>
  <c r="C44" i="2"/>
  <c r="K44" i="2"/>
  <c r="J45" i="2"/>
  <c r="I46" i="2"/>
  <c r="H47" i="2"/>
  <c r="F49" i="2"/>
  <c r="G48" i="2"/>
  <c r="E50" i="2"/>
  <c r="D52" i="2"/>
  <c r="C54" i="2"/>
  <c r="K54" i="2"/>
  <c r="J56" i="2"/>
  <c r="I57" i="2"/>
  <c r="H60" i="2"/>
  <c r="G61" i="2"/>
  <c r="F62" i="2"/>
  <c r="D64" i="2"/>
  <c r="C65" i="2"/>
  <c r="E63" i="2"/>
  <c r="K65" i="2"/>
  <c r="J66" i="2"/>
  <c r="I67" i="2"/>
  <c r="H8" i="2"/>
  <c r="H68" i="2"/>
  <c r="K23" i="2"/>
  <c r="G69" i="2"/>
  <c r="I15" i="2"/>
  <c r="E29" i="2"/>
  <c r="C41" i="2"/>
  <c r="I52" i="2"/>
  <c r="H34" i="2"/>
  <c r="F46" i="2"/>
  <c r="C62" i="2"/>
  <c r="G66" i="2"/>
  <c r="G10" i="2"/>
  <c r="C32" i="2"/>
  <c r="H17" i="2"/>
  <c r="J25" i="2"/>
  <c r="I44" i="2"/>
  <c r="F37" i="2"/>
  <c r="C50" i="2"/>
  <c r="F60" i="2"/>
  <c r="F68" i="2"/>
  <c r="D8" i="2"/>
  <c r="H12" i="2"/>
  <c r="C9" i="2"/>
  <c r="K9" i="2"/>
  <c r="J10" i="2"/>
  <c r="I11" i="2"/>
  <c r="G13" i="2"/>
  <c r="F14" i="2"/>
  <c r="K17" i="2"/>
  <c r="J18" i="2"/>
  <c r="D16" i="2"/>
  <c r="E15" i="2"/>
  <c r="C17" i="2"/>
  <c r="I21" i="2"/>
  <c r="H22" i="2"/>
  <c r="G23" i="2"/>
  <c r="F24" i="2"/>
  <c r="E25" i="2"/>
  <c r="D26" i="2"/>
  <c r="C27" i="2"/>
  <c r="K27" i="2"/>
  <c r="H30" i="2"/>
  <c r="J28" i="2"/>
  <c r="I29" i="2"/>
  <c r="G31" i="2"/>
  <c r="F32" i="2"/>
  <c r="C35" i="2"/>
  <c r="K35" i="2"/>
  <c r="E33" i="2"/>
  <c r="D34" i="2"/>
  <c r="J36" i="2"/>
  <c r="I37" i="2"/>
  <c r="F42" i="2"/>
  <c r="G41" i="2"/>
  <c r="H40" i="2"/>
  <c r="E43" i="2"/>
  <c r="D44" i="2"/>
  <c r="C45" i="2"/>
  <c r="I47" i="2"/>
  <c r="J46" i="2"/>
  <c r="K45" i="2"/>
  <c r="H48" i="2"/>
  <c r="G49" i="2"/>
  <c r="E52" i="2"/>
  <c r="F50" i="2"/>
  <c r="D54" i="2"/>
  <c r="K56" i="2"/>
  <c r="C56" i="2"/>
  <c r="I60" i="2"/>
  <c r="J57" i="2"/>
  <c r="G62" i="2"/>
  <c r="F63" i="2"/>
  <c r="H61" i="2"/>
  <c r="E64" i="2"/>
  <c r="D65" i="2"/>
  <c r="C66" i="2"/>
  <c r="K66" i="2"/>
  <c r="J67" i="2"/>
  <c r="I68" i="2"/>
  <c r="H69" i="2"/>
  <c r="G17" i="2"/>
  <c r="D12" i="2"/>
  <c r="F28" i="2"/>
  <c r="C23" i="2"/>
  <c r="I33" i="2"/>
  <c r="E37" i="2"/>
  <c r="J42" i="2"/>
  <c r="E47" i="2"/>
  <c r="J63" i="2"/>
  <c r="H54" i="2"/>
  <c r="D69" i="2"/>
  <c r="E12" i="2"/>
  <c r="G28" i="2"/>
  <c r="I16" i="2"/>
  <c r="J33" i="2"/>
  <c r="C24" i="2"/>
  <c r="E40" i="2"/>
  <c r="G46" i="2"/>
  <c r="D62" i="2"/>
  <c r="G67" i="2"/>
  <c r="J52" i="2"/>
  <c r="E7" i="2"/>
  <c r="F7" i="2"/>
  <c r="E8" i="2"/>
  <c r="D9" i="2"/>
  <c r="C10" i="2"/>
  <c r="K10" i="2"/>
  <c r="J11" i="2"/>
  <c r="I12" i="2"/>
  <c r="H13" i="2"/>
  <c r="E16" i="2"/>
  <c r="F15" i="2"/>
  <c r="G14" i="2"/>
  <c r="D17" i="2"/>
  <c r="K18" i="2"/>
  <c r="C18" i="2"/>
  <c r="I22" i="2"/>
  <c r="J21" i="2"/>
  <c r="H23" i="2"/>
  <c r="G24" i="2"/>
  <c r="F25" i="2"/>
  <c r="E26" i="2"/>
  <c r="D27" i="2"/>
  <c r="C28" i="2"/>
  <c r="K28" i="2"/>
  <c r="I30" i="2"/>
  <c r="J29" i="2"/>
  <c r="H31" i="2"/>
  <c r="G32" i="2"/>
  <c r="F33" i="2"/>
  <c r="E34" i="2"/>
  <c r="D35" i="2"/>
  <c r="K36" i="2"/>
  <c r="C36" i="2"/>
  <c r="J37" i="2"/>
  <c r="I40" i="2"/>
  <c r="H41" i="2"/>
  <c r="G42" i="2"/>
  <c r="F43" i="2"/>
  <c r="E44" i="2"/>
  <c r="C46" i="2"/>
  <c r="D45" i="2"/>
  <c r="K46" i="2"/>
  <c r="H49" i="2"/>
  <c r="I48" i="2"/>
  <c r="J47" i="2"/>
  <c r="F52" i="2"/>
  <c r="G50" i="2"/>
  <c r="D56" i="2"/>
  <c r="J60" i="2"/>
  <c r="I61" i="2"/>
  <c r="K57" i="2"/>
  <c r="G63" i="2"/>
  <c r="H62" i="2"/>
  <c r="D66" i="2"/>
  <c r="F64" i="2"/>
  <c r="E65" i="2"/>
  <c r="E54" i="2"/>
  <c r="C67" i="2"/>
  <c r="K67" i="2"/>
  <c r="G9" i="2"/>
  <c r="J68" i="2"/>
  <c r="H16" i="2"/>
  <c r="I69" i="2"/>
  <c r="J24" i="2"/>
  <c r="K31" i="2"/>
  <c r="H65" i="2"/>
  <c r="K41" i="2"/>
  <c r="K49" i="2"/>
  <c r="F57" i="2"/>
  <c r="C57" i="2"/>
  <c r="K24" i="2"/>
  <c r="I8" i="2"/>
  <c r="K14" i="2"/>
  <c r="C42" i="2"/>
  <c r="K32" i="2"/>
  <c r="E48" i="2"/>
  <c r="G57" i="2"/>
  <c r="C11" i="2"/>
  <c r="I65" i="2"/>
  <c r="F8" i="2"/>
  <c r="J12" i="2"/>
  <c r="I13" i="2"/>
  <c r="H14" i="2"/>
  <c r="E17" i="2"/>
  <c r="G15" i="2"/>
  <c r="D18" i="2"/>
  <c r="F16" i="2"/>
  <c r="C21" i="2"/>
  <c r="K21" i="2"/>
  <c r="I23" i="2"/>
  <c r="J22" i="2"/>
  <c r="H24" i="2"/>
  <c r="G25" i="2"/>
  <c r="F26" i="2"/>
  <c r="E27" i="2"/>
  <c r="K29" i="2"/>
  <c r="D28" i="2"/>
  <c r="C29" i="2"/>
  <c r="J30" i="2"/>
  <c r="H32" i="2"/>
  <c r="I31" i="2"/>
  <c r="G33" i="2"/>
  <c r="F34" i="2"/>
  <c r="E35" i="2"/>
  <c r="D36" i="2"/>
  <c r="C37" i="2"/>
  <c r="K37" i="2"/>
  <c r="J40" i="2"/>
  <c r="I41" i="2"/>
  <c r="H42" i="2"/>
  <c r="G43" i="2"/>
  <c r="C47" i="2"/>
  <c r="F44" i="2"/>
  <c r="D46" i="2"/>
  <c r="E45" i="2"/>
  <c r="K47" i="2"/>
  <c r="J48" i="2"/>
  <c r="I49" i="2"/>
  <c r="H50" i="2"/>
  <c r="G52" i="2"/>
  <c r="F54" i="2"/>
  <c r="E56" i="2"/>
  <c r="D57" i="2"/>
  <c r="C60" i="2"/>
  <c r="K60" i="2"/>
  <c r="J61" i="2"/>
  <c r="D67" i="2"/>
  <c r="I62" i="2"/>
  <c r="H63" i="2"/>
  <c r="G64" i="2"/>
  <c r="F65" i="2"/>
  <c r="E66" i="2"/>
  <c r="K68" i="2"/>
  <c r="C68" i="2"/>
  <c r="I7" i="2"/>
  <c r="J69" i="2"/>
  <c r="C13" i="2"/>
  <c r="F18" i="2"/>
  <c r="I25" i="2"/>
  <c r="D48" i="2"/>
  <c r="C31" i="2"/>
  <c r="F36" i="2"/>
  <c r="I43" i="2"/>
  <c r="G56" i="2"/>
  <c r="K62" i="2"/>
  <c r="I64" i="2"/>
  <c r="J7" i="2"/>
  <c r="G18" i="2"/>
  <c r="D13" i="2"/>
  <c r="D23" i="2"/>
  <c r="F29" i="2"/>
  <c r="I34" i="2"/>
  <c r="D41" i="2"/>
  <c r="H45" i="2"/>
  <c r="I54" i="2"/>
  <c r="K63" i="2"/>
  <c r="G7" i="2"/>
  <c r="J64" i="2"/>
  <c r="D10" i="2"/>
  <c r="E9" i="2"/>
  <c r="K11" i="2"/>
  <c r="H7" i="2"/>
  <c r="G8" i="2"/>
  <c r="D11" i="2"/>
  <c r="E10" i="2"/>
  <c r="F9" i="2"/>
  <c r="C12" i="2"/>
  <c r="K12" i="2"/>
  <c r="G16" i="2"/>
  <c r="I14" i="2"/>
  <c r="J13" i="2"/>
  <c r="H15" i="2"/>
  <c r="F17" i="2"/>
  <c r="K22" i="2"/>
  <c r="E18" i="2"/>
  <c r="D21" i="2"/>
  <c r="C22" i="2"/>
  <c r="J23" i="2"/>
  <c r="I24" i="2"/>
  <c r="H25" i="2"/>
  <c r="F27" i="2"/>
  <c r="G26" i="2"/>
  <c r="D29" i="2"/>
  <c r="E28" i="2"/>
  <c r="C30" i="2"/>
  <c r="K30" i="2"/>
  <c r="H33" i="2"/>
  <c r="J31" i="2"/>
  <c r="I32" i="2"/>
  <c r="G34" i="2"/>
  <c r="D37" i="2"/>
  <c r="F35" i="2"/>
  <c r="E36" i="2"/>
  <c r="C40" i="2"/>
  <c r="J41" i="2"/>
  <c r="K40" i="2"/>
  <c r="I42" i="2"/>
  <c r="G44" i="2"/>
  <c r="H43" i="2"/>
  <c r="F45" i="2"/>
  <c r="D47" i="2"/>
  <c r="E46" i="2"/>
  <c r="C48" i="2"/>
  <c r="J49" i="2"/>
  <c r="K48" i="2"/>
  <c r="I50" i="2"/>
  <c r="G54" i="2"/>
  <c r="H52" i="2"/>
  <c r="E57" i="2"/>
  <c r="F56" i="2"/>
  <c r="D60" i="2"/>
  <c r="K61" i="2"/>
  <c r="C61" i="2"/>
  <c r="J62" i="2"/>
  <c r="I63" i="2"/>
  <c r="H64" i="2"/>
  <c r="D68" i="2"/>
  <c r="E67" i="2"/>
  <c r="C69" i="2"/>
  <c r="K69" i="2"/>
  <c r="F66" i="2"/>
  <c r="G65" i="2"/>
</calcChain>
</file>

<file path=xl/sharedStrings.xml><?xml version="1.0" encoding="utf-8"?>
<sst xmlns="http://schemas.openxmlformats.org/spreadsheetml/2006/main" count="137" uniqueCount="131">
  <si>
    <t>Reference Items</t>
  </si>
  <si>
    <t>Right click to show data transparency (not supported for all values)</t>
  </si>
  <si>
    <t>Fidelity National Information Services Inc (FIS US) - Standardized</t>
  </si>
  <si>
    <t>In Millions of USD except Per Share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</si>
  <si>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</si>
  <si>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</si>
  <si>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</si>
  <si>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</si>
  <si>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</si>
  <si>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</si>
  <si>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</si>
  <si>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</si>
  <si>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</si>
  <si>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Last 12M</t>
  </si>
  <si>
    <t>12 Months Ending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</si>
  <si>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</si>
  <si>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</si>
  <si>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</si>
  <si>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</si>
  <si>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</si>
  <si>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</si>
  <si>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</si>
  <si>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</si>
  <si>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</si>
  <si>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09/30/2020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</si>
  <si>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</si>
  <si>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</si>
  <si>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</si>
  <si>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</si>
  <si>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</si>
  <si>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</si>
  <si>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</si>
  <si>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</si>
  <si>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</si>
  <si>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</si>
  <si>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</si>
  <si>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</si>
  <si>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</si>
  <si>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</si>
  <si>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</si>
  <si>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</si>
  <si>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</si>
  <si>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</si>
  <si>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</si>
  <si>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</si>
  <si>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</si>
  <si>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</si>
  <si>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</si>
  <si>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</si>
  <si>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</si>
  <si>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</si>
  <si>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</si>
  <si>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</si>
  <si>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</si>
  <si>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</si>
  <si>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</si>
  <si>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</si>
  <si>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</si>
  <si>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</si>
  <si>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</si>
  <si>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</si>
  <si>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</si>
  <si>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</si>
  <si>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</si>
  <si>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</si>
  <si>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</si>
  <si>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</si>
  <si>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</si>
  <si>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</si>
  <si>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</si>
  <si>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</si>
  <si>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</si>
  <si>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</si>
  <si>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</si>
  <si>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</si>
  <si>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</si>
  <si>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</si>
  <si>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</si>
  <si>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</si>
  <si>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</si>
  <si>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</si>
  <si>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</si>
  <si>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</si>
  <si>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</si>
  <si>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</si>
  <si>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</si>
  <si>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</si>
  <si>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</si>
  <si>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</si>
  <si>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</si>
  <si>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</si>
  <si>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</si>
  <si>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</si>
  <si>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</si>
  <si>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</si>
  <si>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</si>
  <si>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</si>
  <si>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</si>
  <si>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</si>
  <si>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</si>
  <si>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</si>
  <si>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</si>
  <si>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</si>
  <si>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</si>
  <si>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</si>
  <si>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</si>
  <si>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</si>
  <si>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</si>
  <si>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</si>
  <si>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</si>
  <si>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</si>
  <si>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EBITDA</t>
  </si>
  <si>
    <t>Trailing 12M EBITDA Margin</t>
  </si>
  <si>
    <t>EBITDA_MARGIN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</si>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</sst>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64" fontId="1" fillId="34" borderId="2">
      <alignment horizontal="right"/>
    </xf>
    <xf numFmtId="4" fontId="1" fillId="34" borderId="2">
      <alignment horizontal="right"/>
    </xf>
    <xf numFmtId="164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</cellStyleXfs>
  <cellXfs count="22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64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164" fontId="1" fillId="35" borderId="2" xfId="55" applyNumberFormat="1" applyFont="1" applyFill="1" applyBorder="1" applyAlignment="1" applyProtection="1">
      <alignment horizontal="right"/>
    </xf>
    <xf numFmtId="4" fontId="1" fillId="35" borderId="2" xfId="56" applyNumberFormat="1" applyFont="1" applyFill="1" applyBorder="1" applyAlignment="1" applyProtection="1">
      <alignment horizontal="right"/>
    </xf>
    <xf numFmtId="3" fontId="8" fillId="34" borderId="2" xfId="57" applyNumberFormat="1" applyFont="1" applyFill="1" applyBorder="1" applyAlignment="1" applyProtection="1">
      <alignment horizontal="right"/>
    </xf>
    <xf numFmtId="164" fontId="8" fillId="34" borderId="2" xfId="58" applyNumberFormat="1" applyFont="1" applyFill="1" applyBorder="1" applyAlignment="1" applyProtection="1">
      <alignment horizontal="right"/>
    </xf>
    <xf numFmtId="3" fontId="8" fillId="35" borderId="2" xfId="59" applyNumberFormat="1" applyFont="1" applyFill="1" applyBorder="1" applyAlignment="1" applyProtection="1">
      <alignment horizontal="right"/>
    </xf>
    <xf numFmtId="164" fontId="8" fillId="35" borderId="2" xfId="60" applyNumberFormat="1" applyFont="1" applyFill="1" applyBorder="1" applyAlignment="1" applyProtection="1">
      <alignment horizontal="right"/>
    </xf>
    <xf numFmtId="164" fontId="11" fillId="34" borderId="2" xfId="61" applyNumberFormat="1" applyFont="1" applyFill="1" applyBorder="1" applyAlignment="1" applyProtection="1">
      <alignment horizontal="right"/>
    </xf>
    <xf numFmtId="164" fontId="11" fillId="35" borderId="2" xfId="62" applyNumberFormat="1" applyFont="1" applyFill="1" applyBorder="1" applyAlignment="1" applyProtection="1">
      <alignment horizontal="right"/>
    </xf>
  </cellXfs>
  <cellStyles count="6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7" xr:uid="{00000000-0005-0000-0000-000023000000}"/>
    <cellStyle name="fa_data_bold_1_grouped" xfId="58" xr:uid="{00000000-0005-0000-0000-000024000000}"/>
    <cellStyle name="fa_data_current_bold_0_grouped" xfId="59" xr:uid="{00000000-0005-0000-0000-000025000000}"/>
    <cellStyle name="fa_data_current_bold_1_grouped" xfId="60" xr:uid="{00000000-0005-0000-0000-000026000000}"/>
    <cellStyle name="fa_data_current_italic_1_grouped" xfId="62" xr:uid="{00000000-0005-0000-0000-000027000000}"/>
    <cellStyle name="fa_data_current_standard_1_grouped" xfId="55" xr:uid="{00000000-0005-0000-0000-000028000000}"/>
    <cellStyle name="fa_data_current_standard_2_grouped" xfId="56" xr:uid="{00000000-0005-0000-0000-000029000000}"/>
    <cellStyle name="fa_data_italic_1_grouped" xfId="61" xr:uid="{00000000-0005-0000-0000-00002A000000}"/>
    <cellStyle name="fa_data_standard_1_grouped" xfId="53" xr:uid="{00000000-0005-0000-0000-00002B000000}"/>
    <cellStyle name="fa_data_standard_2_grouped" xfId="54" xr:uid="{00000000-0005-0000-0000-00002C000000}"/>
    <cellStyle name="fa_footer_italic" xfId="34" xr:uid="{00000000-0005-0000-0000-00002D000000}"/>
    <cellStyle name="fa_row_header_bold" xfId="35" xr:uid="{00000000-0005-0000-0000-00002E000000}"/>
    <cellStyle name="fa_row_header_italic" xfId="36" xr:uid="{00000000-0005-0000-0000-00002F000000}"/>
    <cellStyle name="fa_row_header_standard" xfId="37" xr:uid="{00000000-0005-0000-0000-000030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BDH|12114114681378010906</stp>
        <tr r="G22" s="2"/>
      </tp>
      <tp t="e">
        <v>#N/A</v>
        <stp/>
        <stp>BDH|14115432906282014863</stp>
        <tr r="J40" s="2"/>
      </tp>
      <tp t="e">
        <v>#N/A</v>
        <stp/>
        <stp>BDH|11095289189051335002</stp>
        <tr r="H29" s="2"/>
      </tp>
      <tp t="e">
        <v>#N/A</v>
        <stp/>
        <stp>BDH|10613639596672780724</stp>
        <tr r="H36" s="2"/>
      </tp>
      <tp t="e">
        <v>#N/A</v>
        <stp/>
        <stp>BDH|14490836098108235776</stp>
        <tr r="H7" s="2"/>
      </tp>
      <tp t="e">
        <v>#N/A</v>
        <stp/>
        <stp>BDH|17897099998600018433</stp>
        <tr r="G13" s="2"/>
      </tp>
      <tp t="e">
        <v>#N/A</v>
        <stp/>
        <stp>BDH|12526680420358264437</stp>
        <tr r="I23" s="2"/>
      </tp>
      <tp t="e">
        <v>#N/A</v>
        <stp/>
        <stp>BDH|13615196819569597100</stp>
        <tr r="D33" s="2"/>
      </tp>
      <tp t="e">
        <v>#N/A</v>
        <stp/>
        <stp>BDH|16010325554189305274</stp>
        <tr r="F27" s="2"/>
      </tp>
      <tp t="e">
        <v>#N/A</v>
        <stp/>
        <stp>BDH|16774366654232442958</stp>
        <tr r="D7" s="2"/>
      </tp>
      <tp t="e">
        <v>#N/A</v>
        <stp/>
        <stp>BDH|11389218978669965647</stp>
        <tr r="I37" s="2"/>
      </tp>
      <tp t="e">
        <v>#N/A</v>
        <stp/>
        <stp>BDH|12881962135300520375</stp>
        <tr r="C34" s="2"/>
      </tp>
      <tp t="e">
        <v>#N/A</v>
        <stp/>
        <stp>BDH|13755968439067433545</stp>
        <tr r="E68" s="2"/>
      </tp>
      <tp t="e">
        <v>#N/A</v>
        <stp/>
        <stp>BDH|12775161745914949851</stp>
        <tr r="C54" s="2"/>
      </tp>
      <tp t="e">
        <v>#N/A</v>
        <stp/>
        <stp>BDH|16606843477001965304</stp>
        <tr r="K21" s="2"/>
      </tp>
      <tp t="e">
        <v>#N/A</v>
        <stp/>
        <stp>BDH|15141002687587411239</stp>
        <tr r="C56" s="2"/>
      </tp>
      <tp t="e">
        <v>#N/A</v>
        <stp/>
        <stp>BDH|14787143901928194529</stp>
        <tr r="G49" s="2"/>
      </tp>
      <tp t="e">
        <v>#N/A</v>
        <stp/>
        <stp>BDH|10485573615174515829</stp>
        <tr r="I31" s="2"/>
      </tp>
      <tp t="e">
        <v>#N/A</v>
        <stp/>
        <stp>BDH|18193281048606773061</stp>
        <tr r="F65" s="2"/>
      </tp>
      <tp t="e">
        <v>#N/A</v>
        <stp/>
        <stp>BDH|13089654790817399357</stp>
        <tr r="I18" s="2"/>
      </tp>
      <tp t="e">
        <v>#N/A</v>
        <stp/>
        <stp>BDH|18252287221783887348</stp>
        <tr r="G16" s="2"/>
      </tp>
      <tp t="e">
        <v>#N/A</v>
        <stp/>
        <stp>BDH|12374205718659493096</stp>
        <tr r="H43" s="2"/>
      </tp>
      <tp t="e">
        <v>#N/A</v>
        <stp/>
        <stp>BDH|11494901912122988395</stp>
        <tr r="D43" s="2"/>
      </tp>
      <tp t="e">
        <v>#N/A</v>
        <stp/>
        <stp>BDH|13956556607197582965</stp>
        <tr r="K49" s="2"/>
      </tp>
      <tp t="e">
        <v>#N/A</v>
        <stp/>
        <stp>BDH|14045090318479108480</stp>
        <tr r="I64" s="2"/>
      </tp>
      <tp t="e">
        <v>#N/A</v>
        <stp/>
        <stp>BDH|11034707528408272416</stp>
        <tr r="D22" s="2"/>
      </tp>
      <tp t="e">
        <v>#N/A</v>
        <stp/>
        <stp>BDH|12471791618518979463</stp>
        <tr r="F11" s="2"/>
      </tp>
      <tp t="e">
        <v>#N/A</v>
        <stp/>
        <stp>BDH|16889025947789161369</stp>
        <tr r="F44" s="2"/>
      </tp>
      <tp t="e">
        <v>#N/A</v>
        <stp/>
        <stp>BDH|11695099298695230584</stp>
        <tr r="E60" s="2"/>
      </tp>
      <tp t="e">
        <v>#N/A</v>
        <stp/>
        <stp>BDH|11070232283397816445</stp>
        <tr r="G42" s="2"/>
      </tp>
      <tp t="e">
        <v>#N/A</v>
        <stp/>
        <stp>BDH|12523761345659334096</stp>
        <tr r="E44" s="2"/>
      </tp>
      <tp t="e">
        <v>#N/A</v>
        <stp/>
        <stp>BDH|11298142040475894917</stp>
        <tr r="J26" s="2"/>
      </tp>
      <tp t="e">
        <v>#N/A</v>
        <stp/>
        <stp>BDH|10183235152976166805</stp>
        <tr r="C11" s="2"/>
      </tp>
      <tp t="e">
        <v>#N/A</v>
        <stp/>
        <stp>BDH|17161884771815048480</stp>
        <tr r="J27" s="2"/>
      </tp>
      <tp t="e">
        <v>#N/A</v>
        <stp/>
        <stp>BDH|14693507782465339543</stp>
        <tr r="C25" s="2"/>
      </tp>
      <tp t="e">
        <v>#N/A</v>
        <stp/>
        <stp>BDH|11366084887023650394</stp>
        <tr r="H16" s="2"/>
      </tp>
      <tp t="e">
        <v>#N/A</v>
        <stp/>
        <stp>BDH|18442923513250631900</stp>
        <tr r="I52" s="2"/>
      </tp>
      <tp t="e">
        <v>#N/A</v>
        <stp/>
        <stp>BDH|15154830787069647513</stp>
        <tr r="J65" s="2"/>
      </tp>
      <tp t="e">
        <v>#N/A</v>
        <stp/>
        <stp>BDH|13011874441677112156</stp>
        <tr r="E69" s="2"/>
      </tp>
      <tp t="e">
        <v>#N/A</v>
        <stp/>
        <stp>BDH|11145504485395766070</stp>
        <tr r="I9" s="2"/>
      </tp>
      <tp t="e">
        <v>#N/A</v>
        <stp/>
        <stp>BDH|14900171521306180889</stp>
        <tr r="H33" s="2"/>
      </tp>
      <tp t="e">
        <v>#N/A</v>
        <stp/>
        <stp>BDH|15502339139188537472</stp>
        <tr r="F61" s="2"/>
      </tp>
      <tp t="e">
        <v>#N/A</v>
        <stp/>
        <stp>BDH|14731834323026176196</stp>
        <tr r="H49" s="2"/>
      </tp>
      <tp t="e">
        <v>#N/A</v>
        <stp/>
        <stp>BDH|12788375315808491602</stp>
        <tr r="J52" s="2"/>
      </tp>
      <tp t="e">
        <v>#N/A</v>
        <stp/>
        <stp>BDH|14397796182372933701</stp>
        <tr r="D50" s="2"/>
      </tp>
      <tp t="e">
        <v>#N/A</v>
        <stp/>
        <stp>BDH|16027516986300444509</stp>
        <tr r="C69" s="2"/>
      </tp>
      <tp t="e">
        <v>#N/A</v>
        <stp/>
        <stp>BDH|15409548410629584662</stp>
        <tr r="G21" s="2"/>
      </tp>
      <tp t="e">
        <v>#N/A</v>
        <stp/>
        <stp>BDH|15963662673362840877</stp>
        <tr r="G31" s="2"/>
      </tp>
      <tp t="e">
        <v>#N/A</v>
        <stp/>
        <stp>BDH|10692960172086324644</stp>
        <tr r="F68" s="2"/>
      </tp>
      <tp t="e">
        <v>#N/A</v>
        <stp/>
        <stp>BDH|12423746530819373168</stp>
        <tr r="F29" s="2"/>
      </tp>
      <tp t="e">
        <v>#N/A</v>
        <stp/>
        <stp>BDH|14527190159639802781</stp>
        <tr r="K65" s="2"/>
      </tp>
      <tp t="e">
        <v>#N/A</v>
        <stp/>
        <stp>BDH|15539654607688502563</stp>
        <tr r="D34" s="2"/>
      </tp>
      <tp t="e">
        <v>#N/A</v>
        <stp/>
        <stp>BDH|15117457484282001594</stp>
        <tr r="G12" s="2"/>
      </tp>
      <tp t="e">
        <v>#N/A</v>
        <stp/>
        <stp>BDH|13610492040475054878</stp>
        <tr r="H42" s="2"/>
      </tp>
      <tp t="e">
        <v>#N/A</v>
        <stp/>
        <stp>BDH|13898948943460418035</stp>
        <tr r="D56" s="2"/>
      </tp>
      <tp t="e">
        <v>#N/A</v>
        <stp/>
        <stp>BDH|13599889938047957145</stp>
        <tr r="F7" s="2"/>
      </tp>
      <tp t="e">
        <v>#N/A</v>
        <stp/>
        <stp>BDH|16423601214206588989</stp>
        <tr r="I21" s="2"/>
      </tp>
      <tp t="e">
        <v>#N/A</v>
        <stp/>
        <stp>BDH|11772212627297407880</stp>
        <tr r="J36" s="2"/>
      </tp>
      <tp t="e">
        <v>#N/A</v>
        <stp/>
        <stp>BDH|16541745789531960703</stp>
        <tr r="C68" s="2"/>
      </tp>
      <tp t="e">
        <v>#N/A</v>
        <stp/>
        <stp>BDH|12140560771406788910</stp>
        <tr r="F47" s="2"/>
      </tp>
      <tp t="e">
        <v>#N/A</v>
        <stp/>
        <stp>BDH|15582583880256761183</stp>
        <tr r="C62" s="2"/>
      </tp>
      <tp t="e">
        <v>#N/A</v>
        <stp/>
        <stp>BDH|11015865802250639602</stp>
        <tr r="H63" s="2"/>
      </tp>
      <tp t="e">
        <v>#N/A</v>
        <stp/>
        <stp>BDH|17490007826288166241</stp>
        <tr r="D8" s="2"/>
      </tp>
      <tp t="e">
        <v>#N/A</v>
        <stp/>
        <stp>BDH|14088058970518556486</stp>
        <tr r="K69" s="2"/>
      </tp>
      <tp t="e">
        <v>#N/A</v>
        <stp/>
        <stp>BDH|18299566559044497324</stp>
        <tr r="F36" s="2"/>
      </tp>
      <tp t="e">
        <v>#N/A</v>
        <stp/>
        <stp>BDH|12252856569366337509</stp>
        <tr r="K62" s="2"/>
      </tp>
      <tp t="e">
        <v>#N/A</v>
        <stp/>
        <stp>BDH|14980800472302428617</stp>
        <tr r="K63" s="2"/>
      </tp>
      <tp t="e">
        <v>#N/A</v>
        <stp/>
        <stp>BDH|17969821735097743784</stp>
        <tr r="I43" s="2"/>
      </tp>
      <tp t="e">
        <v>#N/A</v>
        <stp/>
        <stp>BDH|14926861851406489381</stp>
        <tr r="C9" s="2"/>
      </tp>
      <tp t="e">
        <v>#N/A</v>
        <stp/>
        <stp>BDH|11862777460128805452</stp>
        <tr r="J68" s="2"/>
      </tp>
      <tp t="e">
        <v>#N/A</v>
        <stp/>
        <stp>BDH|13168340901748274416</stp>
        <tr r="C22" s="2"/>
      </tp>
      <tp t="e">
        <v>#N/A</v>
        <stp/>
        <stp>BDH|14284471312078738564</stp>
        <tr r="I25" s="2"/>
      </tp>
      <tp t="e">
        <v>#N/A</v>
        <stp/>
        <stp>BDH|11668846593288364449</stp>
        <tr r="I44" s="2"/>
      </tp>
      <tp t="e">
        <v>#N/A</v>
        <stp/>
        <stp>BDH|14222399581111210214</stp>
        <tr r="E29" s="2"/>
      </tp>
      <tp t="e">
        <v>#N/A</v>
        <stp/>
        <stp>BDH|13360794515388769122</stp>
        <tr r="J61" s="2"/>
      </tp>
      <tp t="e">
        <v>#N/A</v>
        <stp/>
        <stp>BDH|17798910168892623678</stp>
        <tr r="J45" s="2"/>
      </tp>
      <tp t="e">
        <v>#N/A</v>
        <stp/>
        <stp>BDH|14177718913148111729</stp>
        <tr r="E40" s="2"/>
      </tp>
      <tp t="e">
        <v>#N/A</v>
        <stp/>
        <stp>BDH|13459944877031436134</stp>
        <tr r="J64" s="2"/>
      </tp>
      <tp t="e">
        <v>#N/A</v>
        <stp/>
        <stp>BDH|12278050132519157513</stp>
        <tr r="I24" s="2"/>
      </tp>
      <tp t="e">
        <v>#N/A</v>
        <stp/>
        <stp>BDH|16418776345508670041</stp>
        <tr r="I27" s="2"/>
      </tp>
      <tp t="e">
        <v>#N/A</v>
        <stp/>
        <stp>BDH|10640258073079593121</stp>
        <tr r="F16" s="2"/>
      </tp>
      <tp t="e">
        <v>#N/A</v>
        <stp/>
        <stp>BDH|11470907228234419310</stp>
        <tr r="I63" s="2"/>
      </tp>
      <tp t="e">
        <v>#N/A</v>
        <stp/>
        <stp>BDH|17092297992585524460</stp>
        <tr r="J11" s="2"/>
      </tp>
      <tp t="e">
        <v>#N/A</v>
        <stp/>
        <stp>BDH|15724218809453785939</stp>
        <tr r="G8" s="2"/>
      </tp>
      <tp t="e">
        <v>#N/A</v>
        <stp/>
        <stp>BDH|10756539819649368052</stp>
        <tr r="H28" s="2"/>
      </tp>
      <tp t="e">
        <v>#N/A</v>
        <stp/>
        <stp>BDH|10208945044452929269</stp>
        <tr r="D13" s="2"/>
      </tp>
      <tp t="e">
        <v>#N/A</v>
        <stp/>
        <stp>BDH|15273232088084204664</stp>
        <tr r="J32" s="2"/>
      </tp>
      <tp t="e">
        <v>#N/A</v>
        <stp/>
        <stp>BDH|10933227117369957799</stp>
        <tr r="J23" s="2"/>
      </tp>
      <tp t="e">
        <v>#N/A</v>
        <stp/>
        <stp>BDH|12802156367671184972</stp>
        <tr r="J35" s="2"/>
      </tp>
      <tp t="e">
        <v>#N/A</v>
        <stp/>
        <stp>BDH|12424601583148966918</stp>
        <tr r="I49" s="2"/>
      </tp>
      <tp t="e">
        <v>#N/A</v>
        <stp/>
        <stp>BDH|12841265341020547950</stp>
        <tr r="E14" s="2"/>
      </tp>
      <tp t="e">
        <v>#N/A</v>
        <stp/>
        <stp>BDH|13875962801535852281</stp>
        <tr r="D54" s="2"/>
      </tp>
      <tp t="e">
        <v>#N/A</v>
        <stp/>
        <stp>BDH|10829297502666485993</stp>
        <tr r="I10" s="2"/>
      </tp>
      <tp t="e">
        <v>#N/A</v>
        <stp/>
        <stp>BDH|14330955285680401893</stp>
        <tr r="H22" s="2"/>
      </tp>
      <tp t="e">
        <v>#N/A</v>
        <stp/>
        <stp>BDH|13490282895759340393</stp>
        <tr r="C28" s="2"/>
      </tp>
      <tp t="e">
        <v>#N/A</v>
        <stp/>
        <stp>BDH|17767593348262363662</stp>
        <tr r="G44" s="2"/>
      </tp>
      <tp t="e">
        <v>#N/A</v>
        <stp/>
        <stp>BDH|16094261372608495930</stp>
        <tr r="K66" s="2"/>
      </tp>
      <tp t="e">
        <v>#N/A</v>
        <stp/>
        <stp>BDH|13662662167692707351</stp>
        <tr r="J37" s="2"/>
      </tp>
      <tp t="e">
        <v>#N/A</v>
        <stp/>
        <stp>BDH|10719931796851022355</stp>
        <tr r="H48" s="2"/>
      </tp>
      <tp t="e">
        <v>#N/A</v>
        <stp/>
        <stp>BDH|13287595897864768922</stp>
        <tr r="I47" s="2"/>
      </tp>
      <tp t="e">
        <v>#N/A</v>
        <stp/>
        <stp>BDH|11835318415776446708</stp>
        <tr r="G46" s="2"/>
      </tp>
      <tp t="e">
        <v>#N/A</v>
        <stp/>
        <stp>BDH|10494274606705897578</stp>
        <tr r="C24" s="2"/>
      </tp>
      <tp t="e">
        <v>#N/A</v>
        <stp/>
        <stp>BDH|11400374405309576995</stp>
        <tr r="G27" s="2"/>
      </tp>
      <tp t="e">
        <v>#N/A</v>
        <stp/>
        <stp>BDH|12801004582219368151</stp>
        <tr r="J57" s="2"/>
      </tp>
      <tp t="e">
        <v>#N/A</v>
        <stp/>
        <stp>BDH|17708410819059206915</stp>
        <tr r="C15" s="2"/>
      </tp>
      <tp t="e">
        <v>#N/A</v>
        <stp/>
        <stp>BDH|17389622801875653685</stp>
        <tr r="C49" s="2"/>
      </tp>
      <tp t="e">
        <v>#N/A</v>
        <stp/>
        <stp>BDH|17743791453622539491</stp>
        <tr r="D23" s="2"/>
      </tp>
      <tp t="e">
        <v>#N/A</v>
        <stp/>
        <stp>BDH|13731419128504834278</stp>
        <tr r="G35" s="2"/>
      </tp>
      <tp t="e">
        <v>#N/A</v>
        <stp/>
        <stp>BDH|16655316076521175002</stp>
        <tr r="F60" s="2"/>
      </tp>
      <tp t="e">
        <v>#N/A</v>
        <stp/>
        <stp>BDH|13974155085541553899</stp>
        <tr r="C67" s="2"/>
      </tp>
      <tp t="e">
        <v>#N/A</v>
        <stp/>
        <stp>BDH|10786726719976053391</stp>
        <tr r="F17" s="2"/>
      </tp>
      <tp t="e">
        <v>#N/A</v>
        <stp/>
        <stp>BDH|12727003817043509304</stp>
        <tr r="E26" s="2"/>
      </tp>
      <tp t="e">
        <v>#N/A</v>
        <stp/>
        <stp>BDH|13791427210791562464</stp>
        <tr r="D17" s="2"/>
      </tp>
      <tp t="e">
        <v>#N/A</v>
        <stp/>
        <stp>BDH|16339691418990202290</stp>
        <tr r="K28" s="2"/>
      </tp>
      <tp t="e">
        <v>#N/A</v>
        <stp/>
        <stp>BDH|16983784967091961546</stp>
        <tr r="I61" s="2"/>
      </tp>
      <tp t="e">
        <v>#N/A</v>
        <stp/>
        <stp>BDH|18186058583892598190</stp>
        <tr r="J13" s="2"/>
      </tp>
      <tp t="e">
        <v>#N/A</v>
        <stp/>
        <stp>BDH|13359156869265164249</stp>
        <tr r="I48" s="2"/>
      </tp>
      <tp t="e">
        <v>#N/A</v>
        <stp/>
        <stp>BDH|10792987993940277326</stp>
        <tr r="H65" s="2"/>
      </tp>
      <tp t="e">
        <v>#N/A</v>
        <stp/>
        <stp>BDH|15947408162005534115</stp>
        <tr r="C61" s="2"/>
      </tp>
      <tp t="e">
        <v>#N/A</v>
        <stp/>
        <stp>BDH|15250603956687921227</stp>
        <tr r="F54" s="2"/>
      </tp>
      <tp t="e">
        <v>#N/A</v>
        <stp/>
        <stp>BDH|11960987851639643797</stp>
        <tr r="E45" s="2"/>
      </tp>
      <tp t="e">
        <v>#N/A</v>
        <stp/>
        <stp>BDH|17059494355215430074</stp>
        <tr r="E30" s="2"/>
      </tp>
      <tp t="e">
        <v>#N/A</v>
        <stp/>
        <stp>BDH|11718110439417010719</stp>
        <tr r="H56" s="2"/>
      </tp>
      <tp t="e">
        <v>#N/A</v>
        <stp/>
        <stp>BDH|10805324335914910471</stp>
        <tr r="H31" s="2"/>
      </tp>
      <tp t="e">
        <v>#N/A</v>
        <stp/>
        <stp>BDH|13751249637297129552</stp>
        <tr r="H32" s="2"/>
      </tp>
      <tp t="e">
        <v>#N/A</v>
        <stp/>
        <stp>BDH|16891377202786895369</stp>
        <tr r="E61" s="2"/>
      </tp>
      <tp t="e">
        <v>#N/A</v>
        <stp/>
        <stp>BDH|11750238155194778242</stp>
        <tr r="G28" s="2"/>
      </tp>
      <tp t="e">
        <v>#N/A</v>
        <stp/>
        <stp>BDH|10344879653098627537</stp>
        <tr r="K41" s="2"/>
      </tp>
      <tp t="e">
        <v>#N/A</v>
        <stp/>
        <stp>BDH|16297988189763996480</stp>
        <tr r="E17" s="2"/>
      </tp>
      <tp t="e">
        <v>#N/A</v>
        <stp/>
        <stp>BDH|11016667362899181808</stp>
        <tr r="K57" s="2"/>
      </tp>
      <tp t="e">
        <v>#N/A</v>
        <stp/>
        <stp>BDH|13381263741401172413</stp>
        <tr r="E46" s="2"/>
      </tp>
      <tp t="e">
        <v>#N/A</v>
        <stp/>
        <stp>BDH|16173962812057932982</stp>
        <tr r="G61" s="2"/>
      </tp>
      <tp t="e">
        <v>#N/A</v>
        <stp/>
        <stp>BDH|16444978457462738854</stp>
        <tr r="I16" s="2"/>
      </tp>
      <tp t="e">
        <v>#N/A</v>
        <stp/>
        <stp>BDH|11443874000639596002</stp>
        <tr r="E31" s="2"/>
      </tp>
      <tp t="e">
        <v>#N/A</v>
        <stp/>
        <stp>BDH|16495741212449291964</stp>
        <tr r="D9" s="2"/>
      </tp>
      <tp t="e">
        <v>#N/A</v>
        <stp/>
        <stp>BDH|10772248072317517228</stp>
        <tr r="H17" s="2"/>
      </tp>
      <tp t="e">
        <v>#N/A</v>
        <stp/>
        <stp>BDH|16437745969352358513</stp>
        <tr r="J17" s="2"/>
      </tp>
      <tp t="e">
        <v>#N/A</v>
        <stp/>
        <stp>BDH|13446549658106297564</stp>
        <tr r="J54" s="2"/>
      </tp>
      <tp t="e">
        <v>#N/A</v>
        <stp/>
        <stp>BDH|15827640143224227326</stp>
        <tr r="H45" s="2"/>
      </tp>
      <tp t="e">
        <v>#N/A</v>
        <stp/>
        <stp>BDH|16624776631701084206</stp>
        <tr r="I30" s="2"/>
      </tp>
      <tp t="e">
        <v>#N/A</v>
        <stp/>
        <stp>BDH|13795813512212069942</stp>
        <tr r="H47" s="2"/>
      </tp>
      <tp t="e">
        <v>#N/A</v>
        <stp/>
        <stp>BDH|13294238225034327671</stp>
        <tr r="J14" s="2"/>
      </tp>
      <tp t="e">
        <v>#N/A</v>
        <stp/>
        <stp>BDH|12720718254189031813</stp>
        <tr r="D63" s="2"/>
      </tp>
      <tp t="e">
        <v>#N/A</v>
        <stp/>
        <stp>BDH|12160546592189683637</stp>
        <tr r="E35" s="2"/>
      </tp>
      <tp t="e">
        <v>#N/A</v>
        <stp/>
        <stp>BDH|11906192594630705865</stp>
        <tr r="D26" s="2"/>
      </tp>
      <tp t="e">
        <v>#N/A</v>
        <stp/>
        <stp>BDH|12335143550576431161</stp>
        <tr r="C8" s="2"/>
      </tp>
      <tp t="e">
        <v>#N/A</v>
        <stp/>
        <stp>BDH|13243444165270019079</stp>
        <tr r="I15" s="2"/>
      </tp>
      <tp t="e">
        <v>#N/A</v>
        <stp/>
        <stp>BDH|15633535357677646335</stp>
        <tr r="D40" s="2"/>
      </tp>
      <tp t="e">
        <v>#N/A</v>
        <stp/>
        <stp>BDH|17619193756176787484</stp>
        <tr r="D10" s="2"/>
      </tp>
      <tp t="e">
        <v>#N/A</v>
        <stp/>
        <stp>BDH|11101757723585188005</stp>
        <tr r="I62" s="2"/>
      </tp>
      <tp t="e">
        <v>#N/A</v>
        <stp/>
        <stp>BDH|10313257909727285442</stp>
        <tr r="G14" s="2"/>
      </tp>
      <tp t="e">
        <v>#N/A</v>
        <stp/>
        <stp>BDH|15992418837362384157</stp>
        <tr r="G30" s="2"/>
      </tp>
      <tp t="e">
        <v>#N/A</v>
        <stp/>
        <stp>BDH|13548270837784588787</stp>
        <tr r="D45" s="2"/>
      </tp>
      <tp t="e">
        <v>#N/A</v>
        <stp/>
        <stp>BDH|17749130934363897738</stp>
        <tr r="E36" s="2"/>
      </tp>
      <tp t="e">
        <v>#N/A</v>
        <stp/>
        <stp>BDH|17844334846884381526</stp>
        <tr r="G57" s="2"/>
      </tp>
      <tp t="e">
        <v>#N/A</v>
        <stp/>
        <stp>BDH|11648963307418987118</stp>
        <tr r="F63" s="2"/>
      </tp>
      <tp t="e">
        <v>#N/A</v>
        <stp/>
        <stp>BDH|11559143376377932114</stp>
        <tr r="K40" s="2"/>
      </tp>
      <tp t="e">
        <v>#N/A</v>
        <stp/>
        <stp>BDH|11592432161701165382</stp>
        <tr r="H23" s="2"/>
      </tp>
      <tp t="e">
        <v>#N/A</v>
        <stp/>
        <stp>BDH|12260236372572452491</stp>
        <tr r="D41" s="2"/>
      </tp>
      <tp t="e">
        <v>#N/A</v>
        <stp/>
        <stp>BDH|16087836885472358255</stp>
        <tr r="D62" s="2"/>
      </tp>
      <tp t="e">
        <v>#N/A</v>
        <stp/>
        <stp>BDH|10883683450633375637</stp>
        <tr r="J16" s="2"/>
      </tp>
      <tp t="e">
        <v>#N/A</v>
        <stp/>
        <stp>BDH|16921297215750304363</stp>
        <tr r="D64" s="2"/>
      </tp>
      <tp t="e">
        <v>#N/A</v>
        <stp/>
        <stp>BDH|10285397410933184799</stp>
        <tr r="C33" s="2"/>
      </tp>
      <tp t="e">
        <v>#N/A</v>
        <stp/>
        <stp>BDH|14165128330809263959</stp>
        <tr r="G24" s="2"/>
      </tp>
      <tp t="e">
        <v>#N/A</v>
        <stp/>
        <stp>BDH|14283140344111144672</stp>
        <tr r="C65" s="2"/>
      </tp>
      <tp t="e">
        <v>#N/A</v>
        <stp/>
        <stp>BDH|14635656235044112337</stp>
        <tr r="H50" s="2"/>
      </tp>
      <tp t="e">
        <v>#N/A</v>
        <stp/>
        <stp>BDH|15097426771151748130</stp>
        <tr r="H30" s="2"/>
      </tp>
      <tp t="e">
        <v>#N/A</v>
        <stp/>
        <stp>BDH|17381032731595461725</stp>
        <tr r="K52" s="2"/>
      </tp>
      <tp t="e">
        <v>#N/A</v>
        <stp/>
        <stp>BDH|13568081013751083586</stp>
        <tr r="K50" s="2"/>
      </tp>
      <tp t="e">
        <v>#N/A</v>
        <stp/>
        <stp>BDH|11063783726060141296</stp>
        <tr r="K22" s="2"/>
      </tp>
      <tp t="e">
        <v>#N/A</v>
        <stp/>
        <stp>BDH|15708316172132401561</stp>
        <tr r="G52" s="2"/>
      </tp>
      <tp t="e">
        <v>#N/A</v>
        <stp/>
        <stp>BDH|12047330980747359896</stp>
        <tr r="G65" s="2"/>
      </tp>
      <tp t="e">
        <v>#N/A</v>
        <stp/>
        <stp>BDH|14573876139950767965</stp>
        <tr r="G48" s="2"/>
      </tp>
      <tp t="e">
        <v>#N/A</v>
        <stp/>
        <stp>BDH|11146195899816778992</stp>
        <tr r="I7" s="2"/>
      </tp>
      <tp t="e">
        <v>#N/A</v>
        <stp/>
        <stp>BDH|17429649877082194280</stp>
        <tr r="K36" s="2"/>
      </tp>
      <tp t="e">
        <v>#N/A</v>
        <stp/>
        <stp>BDH|16157507566845155688</stp>
        <tr r="E62" s="2"/>
      </tp>
      <tp t="e">
        <v>#N/A</v>
        <stp/>
        <stp>BDH|13399500407500348161</stp>
        <tr r="J25" s="2"/>
      </tp>
      <tp t="e">
        <v>#N/A</v>
        <stp/>
        <stp>BDH|14769128385288518243</stp>
        <tr r="G54" s="2"/>
      </tp>
      <tp t="e">
        <v>#N/A</v>
        <stp/>
        <stp>BDH|16806992634513007845</stp>
        <tr r="C50" s="2"/>
      </tp>
      <tp t="e">
        <v>#N/A</v>
        <stp/>
        <stp>BDH|17509446466921686306</stp>
        <tr r="K48" s="2"/>
      </tp>
      <tp t="e">
        <v>#N/A</v>
        <stp/>
        <stp>BDH|17664467235604278348</stp>
        <tr r="E22" s="2"/>
      </tp>
      <tp t="e">
        <v>#N/A</v>
        <stp/>
        <stp>BDH|10819092536586416264</stp>
        <tr r="K12" s="2"/>
      </tp>
      <tp t="e">
        <v>#N/A</v>
        <stp/>
        <stp>BDH|14487237814453251352</stp>
        <tr r="K26" s="2"/>
      </tp>
      <tp t="e">
        <v>#N/A</v>
        <stp/>
        <stp>BDH|12845536639682287161</stp>
        <tr r="F18" s="2"/>
      </tp>
      <tp t="e">
        <v>#N/A</v>
        <stp/>
        <stp>BDH|17313970889984534514</stp>
        <tr r="D31" s="2"/>
      </tp>
      <tp t="e">
        <v>#N/A</v>
        <stp/>
        <stp>BDH|15430758757997854766</stp>
        <tr r="C21" s="2"/>
      </tp>
      <tp t="e">
        <v>#N/A</v>
        <stp/>
        <stp>BDH|12817637512984429667</stp>
        <tr r="E11" s="2"/>
      </tp>
      <tp t="e">
        <v>#N/A</v>
        <stp/>
        <stp>BDH|11244673853725538084</stp>
        <tr r="D15" s="2"/>
      </tp>
      <tp t="e">
        <v>#N/A</v>
        <stp/>
        <stp>BDH|11907087935400833561</stp>
        <tr r="I32" s="2"/>
      </tp>
      <tp t="e">
        <v>#N/A</v>
        <stp/>
        <stp>BDH|15444842970654330997</stp>
        <tr r="E43" s="2"/>
      </tp>
      <tp t="e">
        <v>#N/A</v>
        <stp/>
        <stp>BDH|10687965235418870500</stp>
        <tr r="C36" s="2"/>
      </tp>
      <tp t="e">
        <v>#N/A</v>
        <stp/>
        <stp>BDH|11829486046240235694</stp>
        <tr r="C29" s="2"/>
      </tp>
      <tp t="e">
        <v>#N/A</v>
        <stp/>
        <stp>BDH|11637832503599369459</stp>
        <tr r="K23" s="2"/>
      </tp>
      <tp t="e">
        <v>#N/A</v>
        <stp/>
        <stp>BDH|16056188159493485554</stp>
        <tr r="H9" s="2"/>
      </tp>
      <tp t="e">
        <v>#N/A</v>
        <stp/>
        <stp>BDH|16926160778341642510</stp>
        <tr r="I60" s="2"/>
      </tp>
      <tp t="e">
        <v>#N/A</v>
        <stp/>
        <stp>BDH|11003275976424143401</stp>
        <tr r="F48" s="2"/>
      </tp>
      <tp t="e">
        <v>#N/A</v>
        <stp/>
        <stp>BDH|18267832928765227385</stp>
        <tr r="G29" s="2"/>
      </tp>
      <tp t="e">
        <v>#N/A</v>
        <stp/>
        <stp>BDH|16335743215067279320</stp>
        <tr r="I68" s="2"/>
      </tp>
      <tp t="e">
        <v>#N/A</v>
        <stp/>
        <stp>BDH|12158542826247357626</stp>
        <tr r="H41" s="2"/>
      </tp>
      <tp t="e">
        <v>#N/A</v>
        <stp/>
        <stp>BDH|10726928975002728828</stp>
        <tr r="F43" s="2"/>
      </tp>
      <tp t="e">
        <v>#N/A</v>
        <stp/>
        <stp>BDH|17831690864714251726</stp>
        <tr r="C17" s="2"/>
      </tp>
      <tp t="e">
        <v>#N/A</v>
        <stp/>
        <stp>BDH|16004167214210165265</stp>
        <tr r="D18" s="2"/>
      </tp>
      <tp t="e">
        <v>#N/A</v>
        <stp/>
        <stp>BDH|11675540651492587721</stp>
        <tr r="E56" s="2"/>
      </tp>
      <tp t="e">
        <v>#N/A</v>
        <stp/>
        <stp>BDH|14785452239625754283</stp>
        <tr r="K30" s="2"/>
      </tp>
      <tp t="e">
        <v>#N/A</v>
        <stp/>
        <stp>BDH|16376107405320297330</stp>
        <tr r="H24" s="2"/>
      </tp>
      <tp t="e">
        <v>#N/A</v>
        <stp/>
        <stp>BDH|17256048933864446460</stp>
        <tr r="C16" s="2"/>
      </tp>
      <tp t="e">
        <v>#N/A</v>
        <stp/>
        <stp>BDH|13305150556604194770</stp>
        <tr r="E12" s="2"/>
      </tp>
      <tp t="e">
        <v>#N/A</v>
        <stp/>
        <stp>BDH|18225753706372313940</stp>
        <tr r="E47" s="2"/>
      </tp>
      <tp t="e">
        <v>#N/A</v>
        <stp/>
        <stp>BDH|15354388595828763303</stp>
        <tr r="D68" s="2"/>
      </tp>
      <tp t="e">
        <v>#N/A</v>
        <stp/>
        <stp>BDH|15564393367820808485</stp>
        <tr r="I40" s="2"/>
      </tp>
      <tp t="e">
        <v>#N/A</v>
        <stp/>
        <stp>BDH|16484694156864322533</stp>
        <tr r="J18" s="2"/>
      </tp>
      <tp t="e">
        <v>#N/A</v>
        <stp/>
        <stp>BDH|16263152115567614596</stp>
        <tr r="J47" s="2"/>
      </tp>
      <tp t="e">
        <v>#N/A</v>
        <stp/>
        <stp>BDH|15337056339797602563</stp>
        <tr r="D16" s="2"/>
      </tp>
      <tp t="e">
        <v>#N/A</v>
        <stp/>
        <stp>BDH|17632035852633103597</stp>
        <tr r="I66" s="2"/>
      </tp>
      <tp t="e">
        <v>#N/A</v>
        <stp/>
        <stp>BDH|16263520261373988383</stp>
        <tr r="F64" s="2"/>
      </tp>
      <tp t="e">
        <v>#N/A</v>
        <stp/>
        <stp>BDH|16671338840367529339</stp>
        <tr r="J67" s="2"/>
      </tp>
      <tp t="e">
        <v>#N/A</v>
        <stp/>
        <stp>BDH|14364636553785640724</stp>
        <tr r="J24" s="2"/>
      </tp>
      <tp t="e">
        <v>#N/A</v>
        <stp/>
        <stp>BDH|15267872502490716877</stp>
        <tr r="I65" s="2"/>
      </tp>
      <tp t="e">
        <v>#N/A</v>
        <stp/>
        <stp>BDH|13070337985085494841</stp>
        <tr r="J63" s="2"/>
      </tp>
      <tp t="e">
        <v>#N/A</v>
        <stp/>
        <stp>BDH|13472209268090122255</stp>
        <tr r="K54" s="2"/>
      </tp>
      <tp t="e">
        <v>#N/A</v>
        <stp/>
        <stp>BDH|13038177399859259741</stp>
        <tr r="C37" s="2"/>
      </tp>
      <tp t="e">
        <v>#N/A</v>
        <stp/>
        <stp>BDH|10161201207852518580</stp>
        <tr r="G37" s="2"/>
      </tp>
      <tp t="e">
        <v>#N/A</v>
        <stp/>
        <stp>BDH|15893980225099691290</stp>
        <tr r="F45" s="2"/>
      </tp>
      <tp t="e">
        <v>#N/A</v>
        <stp/>
        <stp>BDH|17042709318281066554</stp>
        <tr r="G15" s="2"/>
      </tp>
      <tp t="e">
        <v>#N/A</v>
        <stp/>
        <stp>BDH|16395370510383981229</stp>
        <tr r="F37" s="2"/>
      </tp>
      <tp t="e">
        <v>#N/A</v>
        <stp/>
        <stp>BDH|10355472615586893668</stp>
        <tr r="K42" s="2"/>
      </tp>
    </main>
    <main first="bofaddin.rtdserver">
      <tp t="e">
        <v>#N/A</v>
        <stp/>
        <stp>BDH|1557150536347590893</stp>
        <tr r="F40" s="2"/>
      </tp>
      <tp t="e">
        <v>#N/A</v>
        <stp/>
        <stp>BDH|9626750820251841105</stp>
        <tr r="I34" s="2"/>
      </tp>
      <tp t="e">
        <v>#N/A</v>
        <stp/>
        <stp>BDH|3693591122208125049</stp>
        <tr r="D30" s="2"/>
      </tp>
      <tp t="e">
        <v>#N/A</v>
        <stp/>
        <stp>BDH|3235654043659875441</stp>
        <tr r="H68" s="2"/>
      </tp>
      <tp t="e">
        <v>#N/A</v>
        <stp/>
        <stp>BDH|8423642095183897845</stp>
        <tr r="K64" s="2"/>
      </tp>
      <tp t="e">
        <v>#N/A</v>
        <stp/>
        <stp>BDH|8941388739143430752</stp>
        <tr r="F8" s="2"/>
      </tp>
      <tp t="e">
        <v>#N/A</v>
        <stp/>
        <stp>BDH|8681726084618598382</stp>
        <tr r="G62" s="2"/>
      </tp>
      <tp t="e">
        <v>#N/A</v>
        <stp/>
        <stp>BDH|2183135778841575928</stp>
        <tr r="F26" s="2"/>
      </tp>
      <tp t="e">
        <v>#N/A</v>
        <stp/>
        <stp>BDH|9584073353029689911</stp>
        <tr r="F34" s="2"/>
      </tp>
      <tp t="e">
        <v>#N/A</v>
        <stp/>
        <stp>BDH|9798951110508044556</stp>
        <tr r="J60" s="2"/>
      </tp>
      <tp t="e">
        <v>#N/A</v>
        <stp/>
        <stp>BDH|2075765121563885954</stp>
        <tr r="K9" s="2"/>
      </tp>
      <tp t="e">
        <v>#N/A</v>
        <stp/>
        <stp>BDH|8051658952832510494</stp>
        <tr r="G34" s="2"/>
      </tp>
      <tp t="e">
        <v>#N/A</v>
        <stp/>
        <stp>BDH|5397185342329326412</stp>
        <tr r="C66" s="2"/>
      </tp>
      <tp t="e">
        <v>#N/A</v>
        <stp/>
        <stp>BDH|5214200294150803319</stp>
        <tr r="H62" s="2"/>
      </tp>
      <tp t="e">
        <v>#N/A</v>
        <stp/>
        <stp>BDH|6922197987350102298</stp>
        <tr r="J34" s="2"/>
      </tp>
      <tp t="e">
        <v>#N/A</v>
        <stp/>
        <stp>BDH|3715019626845502989</stp>
        <tr r="G60" s="2"/>
      </tp>
      <tp t="e">
        <v>#N/A</v>
        <stp/>
        <stp>BDH|7102671496624173134</stp>
        <tr r="D44" s="2"/>
      </tp>
      <tp t="e">
        <v>#N/A</v>
        <stp/>
        <stp>BDH|9127578922635431622</stp>
        <tr r="C46" s="2"/>
      </tp>
      <tp t="e">
        <v>#N/A</v>
        <stp/>
        <stp>BDH|7884259170679876669</stp>
        <tr r="I13" s="2"/>
      </tp>
      <tp t="e">
        <v>#N/A</v>
        <stp/>
        <stp>BDH|3105164067311090835</stp>
        <tr r="I29" s="2"/>
      </tp>
      <tp t="e">
        <v>#N/A</v>
        <stp/>
        <stp>BDH|2861671373469550792</stp>
        <tr r="H60" s="2"/>
      </tp>
      <tp t="e">
        <v>#N/A</v>
        <stp/>
        <stp>BDH|3151896409560688676</stp>
        <tr r="G33" s="2"/>
      </tp>
      <tp t="e">
        <v>#N/A</v>
        <stp/>
        <stp>BDH|2239697706751563889</stp>
        <tr r="C57" s="2"/>
      </tp>
      <tp t="e">
        <v>#N/A</v>
        <stp/>
        <stp>BDH|9013574985748568162</stp>
        <tr r="D21" s="2"/>
      </tp>
      <tp t="e">
        <v>#N/A</v>
        <stp/>
        <stp>BDH|7222876386659788304</stp>
        <tr r="G66" s="2"/>
      </tp>
      <tp t="e">
        <v>#N/A</v>
        <stp/>
        <stp>BDH|4569193763259534414</stp>
        <tr r="F49" s="2"/>
      </tp>
      <tp t="e">
        <v>#N/A</v>
        <stp/>
        <stp>BDH|5833690459330632862</stp>
        <tr r="J62" s="2"/>
      </tp>
      <tp t="e">
        <v>#N/A</v>
        <stp/>
        <stp>BDH|6543799805856558946</stp>
        <tr r="C10" s="2"/>
      </tp>
      <tp t="e">
        <v>#N/A</v>
        <stp/>
        <stp>BDH|9419874182024437385</stp>
        <tr r="I33" s="2"/>
      </tp>
      <tp t="e">
        <v>#N/A</v>
        <stp/>
        <stp>BDH|1337586841997428939</stp>
        <tr r="K68" s="2"/>
      </tp>
      <tp t="e">
        <v>#N/A</v>
        <stp/>
        <stp>BDH|4599399861317330836</stp>
        <tr r="F13" s="2"/>
      </tp>
      <tp t="e">
        <v>#N/A</v>
        <stp/>
        <stp>BDH|1420461118303713909</stp>
        <tr r="E32" s="2"/>
      </tp>
      <tp t="e">
        <v>#N/A</v>
        <stp/>
        <stp>BDH|3568139994110684599</stp>
        <tr r="K31" s="2"/>
      </tp>
      <tp t="e">
        <v>#N/A</v>
        <stp/>
        <stp>BDH|5286574413246734938</stp>
        <tr r="J44" s="2"/>
      </tp>
      <tp t="e">
        <v>#N/A</v>
        <stp/>
        <stp>BDH|5159363684278199813</stp>
        <tr r="H40" s="2"/>
      </tp>
      <tp t="e">
        <v>#N/A</v>
        <stp/>
        <stp>BDH|8131482128235604572</stp>
        <tr r="C40" s="2"/>
      </tp>
      <tp t="e">
        <v>#N/A</v>
        <stp/>
        <stp>BDH|4145238485481221156</stp>
        <tr r="C45" s="2"/>
      </tp>
      <tp t="e">
        <v>#N/A</v>
        <stp/>
        <stp>BDH|6362734022985124837</stp>
        <tr r="F69" s="2"/>
      </tp>
      <tp t="e">
        <v>#N/A</v>
        <stp/>
        <stp>BDH|2583054760019675377</stp>
        <tr r="K24" s="2"/>
      </tp>
      <tp t="e">
        <v>#N/A</v>
        <stp/>
        <stp>BDH|8425485737780406199</stp>
        <tr r="G45" s="2"/>
      </tp>
      <tp t="e">
        <v>#N/A</v>
        <stp/>
        <stp>BDH|4290963333950905104</stp>
        <tr r="H66" s="2"/>
      </tp>
      <tp t="e">
        <v>#N/A</v>
        <stp/>
        <stp>BDH|5450627939029844691</stp>
        <tr r="H46" s="2"/>
      </tp>
      <tp t="e">
        <v>#N/A</v>
        <stp/>
        <stp>BDH|5221880327371603145</stp>
        <tr r="E8" s="2"/>
      </tp>
      <tp t="e">
        <v>#N/A</v>
        <stp/>
        <stp>BDH|1975817795516420950</stp>
        <tr r="G23" s="2"/>
      </tp>
      <tp t="e">
        <v>#N/A</v>
        <stp/>
        <stp>BDH|9240813851799780293</stp>
        <tr r="D37" s="2"/>
      </tp>
      <tp t="e">
        <v>#N/A</v>
        <stp/>
        <stp>BDH|9840568032772272226</stp>
        <tr r="F14" s="2"/>
      </tp>
      <tp t="e">
        <v>#N/A</v>
        <stp/>
        <stp>BDH|2800217521174253982</stp>
        <tr r="G47" s="2"/>
      </tp>
      <tp t="e">
        <v>#N/A</v>
        <stp/>
        <stp>BDH|4239932036307733628</stp>
        <tr r="J22" s="2"/>
      </tp>
      <tp t="e">
        <v>#N/A</v>
        <stp/>
        <stp>BDH|9979463827218370887</stp>
        <tr r="E41" s="2"/>
      </tp>
      <tp t="e">
        <v>#N/A</v>
        <stp/>
        <stp>BDH|7482923405323004202</stp>
        <tr r="D46" s="2"/>
      </tp>
      <tp t="e">
        <v>#N/A</v>
        <stp/>
        <stp>BDH|6833798288453884502</stp>
        <tr r="H27" s="2"/>
      </tp>
      <tp t="e">
        <v>#N/A</v>
        <stp/>
        <stp>BDH|9734483336840966167</stp>
        <tr r="F52" s="2"/>
      </tp>
      <tp t="e">
        <v>#N/A</v>
        <stp/>
        <stp>BDH|9815380720874362341</stp>
        <tr r="H57" s="2"/>
      </tp>
      <tp t="e">
        <v>#N/A</v>
        <stp/>
        <stp>BDH|2231667393480670245</stp>
        <tr r="E33" s="2"/>
      </tp>
      <tp t="e">
        <v>#N/A</v>
        <stp/>
        <stp>BDH|30496264533782367</stp>
        <tr r="K17" s="2"/>
      </tp>
      <tp t="e">
        <v>#N/A</v>
        <stp/>
        <stp>BDH|2767960105636919578</stp>
        <tr r="J29" s="2"/>
      </tp>
      <tp t="e">
        <v>#N/A</v>
        <stp/>
        <stp>BDH|6189194681943976487</stp>
        <tr r="H18" s="2"/>
      </tp>
      <tp t="e">
        <v>#N/A</v>
        <stp/>
        <stp>BDH|2700815353082863539</stp>
        <tr r="F30" s="2"/>
      </tp>
      <tp t="e">
        <v>#N/A</v>
        <stp/>
        <stp>BDH|9891942097054770537</stp>
        <tr r="C41" s="2"/>
      </tp>
      <tp t="e">
        <v>#N/A</v>
        <stp/>
        <stp>BDH|3833876647601559612</stp>
        <tr r="C44" s="2"/>
      </tp>
      <tp t="e">
        <v>#N/A</v>
        <stp/>
        <stp>BDH|7923039990925172362</stp>
        <tr r="C63" s="2"/>
      </tp>
      <tp t="e">
        <v>#N/A</v>
        <stp/>
        <stp>BDH|9951072844551760402</stp>
        <tr r="J48" s="2"/>
      </tp>
      <tp t="e">
        <v>#N/A</v>
        <stp/>
        <stp>BDH|4282879562655639730</stp>
        <tr r="E63" s="2"/>
      </tp>
      <tp t="e">
        <v>#N/A</v>
        <stp/>
        <stp>BDH|5687075564592541938</stp>
        <tr r="D61" s="2"/>
      </tp>
      <tp t="e">
        <v>#N/A</v>
        <stp/>
        <stp>BDH|3173521867878382078</stp>
        <tr r="E21" s="2"/>
      </tp>
      <tp t="e">
        <v>#N/A</v>
        <stp/>
        <stp>BDH|3022932850365170232</stp>
        <tr r="G32" s="2"/>
      </tp>
      <tp t="e">
        <v>#N/A</v>
        <stp/>
        <stp>BDH|4518777776109384565</stp>
        <tr r="F67" s="2"/>
      </tp>
      <tp t="e">
        <v>#N/A</v>
        <stp/>
        <stp>BDH|1387213482225663600</stp>
        <tr r="E7" s="2"/>
      </tp>
      <tp t="e">
        <v>#N/A</v>
        <stp/>
        <stp>BDH|4172268354688261360</stp>
        <tr r="E42" s="2"/>
      </tp>
      <tp t="e">
        <v>#N/A</v>
        <stp/>
        <stp>BDH|2461455889392680546</stp>
        <tr r="J21" s="2"/>
      </tp>
      <tp t="e">
        <v>#N/A</v>
        <stp/>
        <stp>BDH|3726630754581227893</stp>
        <tr r="K46" s="2"/>
      </tp>
      <tp t="e">
        <v>#N/A</v>
        <stp/>
        <stp>BDH|7848727756139205574</stp>
        <tr r="D32" s="2"/>
      </tp>
      <tp t="e">
        <v>#N/A</v>
        <stp/>
        <stp>BDH|4981516067658428658</stp>
        <tr r="H37" s="2"/>
      </tp>
      <tp t="e">
        <v>#N/A</v>
        <stp/>
        <stp>BDH|6983950785338272659</stp>
        <tr r="H14" s="2"/>
      </tp>
      <tp t="e">
        <v>#N/A</v>
        <stp/>
        <stp>BDH|5114808967383496105</stp>
        <tr r="K8" s="2"/>
      </tp>
      <tp t="e">
        <v>#N/A</v>
        <stp/>
        <stp>BDH|7695137052209035356</stp>
        <tr r="K15" s="2"/>
      </tp>
      <tp t="e">
        <v>#N/A</v>
        <stp/>
        <stp>BDH|1309349977188318403</stp>
        <tr r="H26" s="2"/>
      </tp>
      <tp t="e">
        <v>#N/A</v>
        <stp/>
        <stp>BDH|8809457218734379068</stp>
        <tr r="F62" s="2"/>
      </tp>
      <tp t="e">
        <v>#N/A</v>
        <stp/>
        <stp>BDH|3884088597017321458</stp>
        <tr r="G50" s="2"/>
      </tp>
      <tp t="e">
        <v>#N/A</v>
        <stp/>
        <stp>BDH|7381745476856368845</stp>
        <tr r="F10" s="2"/>
      </tp>
      <tp t="e">
        <v>#N/A</v>
        <stp/>
        <stp>BDH|1170107947208228501</stp>
        <tr r="H67" s="2"/>
      </tp>
      <tp t="e">
        <v>#N/A</v>
        <stp/>
        <stp>BDH|5326784334391332989</stp>
        <tr r="K18" s="2"/>
      </tp>
      <tp t="e">
        <v>#N/A</v>
        <stp/>
        <stp>BDH|4863229670072149907</stp>
        <tr r="D42" s="2"/>
      </tp>
      <tp t="e">
        <v>#N/A</v>
        <stp/>
        <stp>BDH|2858108384418513917</stp>
        <tr r="I50" s="2"/>
      </tp>
      <tp t="e">
        <v>#N/A</v>
        <stp/>
        <stp>BDH|6697980783668234562</stp>
        <tr r="E65" s="2"/>
      </tp>
      <tp t="e">
        <v>#N/A</v>
        <stp/>
        <stp>BDH|1190674364118221390</stp>
        <tr r="C48" s="2"/>
      </tp>
      <tp t="e">
        <v>#N/A</v>
        <stp/>
        <stp>BDH|2802142516651320974</stp>
        <tr r="F9" s="2"/>
      </tp>
      <tp t="e">
        <v>#N/A</v>
        <stp/>
        <stp>BDH|4563661048735559900</stp>
        <tr r="G18" s="2"/>
      </tp>
      <tp t="e">
        <v>#N/A</v>
        <stp/>
        <stp>BDH|8955381078666567014</stp>
        <tr r="H12" s="2"/>
      </tp>
      <tp t="e">
        <v>#N/A</v>
        <stp/>
        <stp>BDH|6270818380754971877</stp>
        <tr r="G43" s="2"/>
      </tp>
      <tp t="e">
        <v>#N/A</v>
        <stp/>
        <stp>BDH|9301560402560063655</stp>
        <tr r="F22" s="2"/>
      </tp>
      <tp t="e">
        <v>#N/A</v>
        <stp/>
        <stp>BDH|8274965941468077766</stp>
        <tr r="F28" s="2"/>
      </tp>
      <tp t="e">
        <v>#N/A</v>
        <stp/>
        <stp>BDH|7724035497383089705</stp>
        <tr r="K11" s="2"/>
      </tp>
      <tp t="e">
        <v>#N/A</v>
        <stp/>
        <stp>BDH|8954349967744837316</stp>
        <tr r="E50" s="2"/>
      </tp>
      <tp t="e">
        <v>#N/A</v>
        <stp/>
        <stp>BDH|8935552337693247790</stp>
        <tr r="J41" s="2"/>
      </tp>
      <tp t="e">
        <v>#N/A</v>
        <stp/>
        <stp>BDH|9463914198815863629</stp>
        <tr r="D47" s="2"/>
      </tp>
      <tp t="e">
        <v>#N/A</v>
        <stp/>
        <stp>BDH|1161312747648582456</stp>
        <tr r="J46" s="2"/>
      </tp>
      <tp t="e">
        <v>#N/A</v>
        <stp/>
        <stp>BDH|86606013874045436</stp>
        <tr r="F32" s="2"/>
      </tp>
      <tp t="e">
        <v>#N/A</v>
        <stp/>
        <stp>BDH|5502495143217250943</stp>
        <tr r="J49" s="2"/>
      </tp>
      <tp t="e">
        <v>#N/A</v>
        <stp/>
        <stp>BDH|5677146495640002683</stp>
        <tr r="I41" s="2"/>
      </tp>
      <tp t="e">
        <v>#N/A</v>
        <stp/>
        <stp>BDH|9156296630741510218</stp>
        <tr r="G63" s="2"/>
      </tp>
      <tp t="e">
        <v>#N/A</v>
        <stp/>
        <stp>BDH|7339678229578546047</stp>
        <tr r="I28" s="2"/>
      </tp>
      <tp t="e">
        <v>#N/A</v>
        <stp/>
        <stp>BDH|2439961194628840136</stp>
        <tr r="I69" s="2"/>
      </tp>
      <tp t="e">
        <v>#N/A</v>
        <stp/>
        <stp>BDH|2679836401523355240</stp>
        <tr r="K56" s="2"/>
      </tp>
      <tp t="e">
        <v>#N/A</v>
        <stp/>
        <stp>BDH|6927169686780011498</stp>
        <tr r="C26" s="2"/>
      </tp>
      <tp t="e">
        <v>#N/A</v>
        <stp/>
        <stp>BDH|5082545543528586727</stp>
        <tr r="K25" s="2"/>
      </tp>
      <tp t="e">
        <v>#N/A</v>
        <stp/>
        <stp>BDH|9772170925874630520</stp>
        <tr r="D57" s="2"/>
      </tp>
      <tp t="e">
        <v>#N/A</v>
        <stp/>
        <stp>BDH|8566004512101898399</stp>
        <tr r="G26" s="2"/>
      </tp>
      <tp t="e">
        <v>#N/A</v>
        <stp/>
        <stp>BDH|6231317097534524353</stp>
        <tr r="E23" s="2"/>
      </tp>
      <tp t="e">
        <v>#N/A</v>
        <stp/>
        <stp>BDH|6179977530006369109</stp>
        <tr r="E57" s="2"/>
      </tp>
      <tp t="e">
        <v>#N/A</v>
        <stp/>
        <stp>BDH|3867134531231659464</stp>
        <tr r="E15" s="2"/>
      </tp>
      <tp t="e">
        <v>#N/A</v>
        <stp/>
        <stp>BDH|6738846686637681595</stp>
        <tr r="K43" s="2"/>
      </tp>
      <tp t="e">
        <v>#N/A</v>
        <stp/>
        <stp>BDH|9525639393547577597</stp>
        <tr r="I8" s="2"/>
      </tp>
      <tp t="e">
        <v>#N/A</v>
        <stp/>
        <stp>BDH|6345355440507969210</stp>
        <tr r="C35" s="2"/>
      </tp>
      <tp t="e">
        <v>#N/A</v>
        <stp/>
        <stp>BDH|2195590473957466302</stp>
        <tr r="C60" s="2"/>
      </tp>
      <tp t="e">
        <v>#N/A</v>
        <stp/>
        <stp>BDH|2999104744731258201</stp>
        <tr r="K34" s="2"/>
      </tp>
      <tp t="e">
        <v>#N/A</v>
        <stp/>
        <stp>BDH|3042399279380906351</stp>
        <tr r="K29" s="2"/>
      </tp>
      <tp t="e">
        <v>#N/A</v>
        <stp/>
        <stp>BDH|1461372045822610025</stp>
        <tr r="G67" s="2"/>
      </tp>
      <tp t="e">
        <v>#N/A</v>
        <stp/>
        <stp>BDH|5684141922942106038</stp>
        <tr r="I67" s="2"/>
      </tp>
      <tp t="e">
        <v>#N/A</v>
        <stp/>
        <stp>BDH|1995295074970556018</stp>
        <tr r="D66" s="2"/>
      </tp>
      <tp t="e">
        <v>#N/A</v>
        <stp/>
        <stp>BDH|8276772813472228821</stp>
        <tr r="H64" s="2"/>
      </tp>
      <tp t="e">
        <v>#N/A</v>
        <stp/>
        <stp>BDH|5358636375350002035</stp>
        <tr r="K47" s="2"/>
      </tp>
      <tp t="e">
        <v>#N/A</v>
        <stp/>
        <stp>BDH|2079855316609222673</stp>
        <tr r="I14" s="2"/>
      </tp>
      <tp t="e">
        <v>#N/A</v>
        <stp/>
        <stp>BDH|6990038819643762025</stp>
        <tr r="E67" s="2"/>
      </tp>
      <tp t="e">
        <v>#N/A</v>
        <stp/>
        <stp>BDH|1581466754672762669</stp>
        <tr r="K45" s="2"/>
      </tp>
      <tp t="e">
        <v>#N/A</v>
        <stp/>
        <stp>BDH|3695318677343451002</stp>
        <tr r="I36" s="2"/>
      </tp>
      <tp t="e">
        <v>#N/A</v>
        <stp/>
        <stp>BDH|4184751118327066065</stp>
        <tr r="J42" s="2"/>
      </tp>
      <tp t="e">
        <v>#N/A</v>
        <stp/>
        <stp>BDH|3853603964811281707</stp>
        <tr r="F24" s="2"/>
      </tp>
      <tp t="e">
        <v>#N/A</v>
        <stp/>
        <stp>BDH|3181488332640238175</stp>
        <tr r="H10" s="2"/>
      </tp>
      <tp t="e">
        <v>#N/A</v>
        <stp/>
        <stp>BDH|2856604115247670758</stp>
        <tr r="H34" s="2"/>
      </tp>
      <tp t="e">
        <v>#N/A</v>
        <stp/>
        <stp>BDH|4341756648104225631</stp>
        <tr r="I54" s="2"/>
      </tp>
      <tp t="e">
        <v>#N/A</v>
        <stp/>
        <stp>BDH|2828956034029611400</stp>
        <tr r="D12" s="2"/>
      </tp>
      <tp t="e">
        <v>#N/A</v>
        <stp/>
        <stp>BDH|6323001123676830747</stp>
        <tr r="K16" s="2"/>
      </tp>
      <tp t="e">
        <v>#N/A</v>
        <stp/>
        <stp>BDH|7679709715170667470</stp>
        <tr r="C12" s="2"/>
      </tp>
      <tp t="e">
        <v>#N/A</v>
        <stp/>
        <stp>BDH|1745918446409216012</stp>
        <tr r="C14" s="2"/>
      </tp>
      <tp t="e">
        <v>#N/A</v>
        <stp/>
        <stp>BDH|6235468549373628086</stp>
        <tr r="C23" s="2"/>
      </tp>
      <tp t="e">
        <v>#N/A</v>
        <stp/>
        <stp>BDH|6317016862843828696</stp>
        <tr r="C52" s="2"/>
      </tp>
      <tp t="e">
        <v>#N/A</v>
        <stp/>
        <stp>BDH|3487760901960449111</stp>
        <tr r="E52" s="2"/>
      </tp>
      <tp t="e">
        <v>#N/A</v>
        <stp/>
        <stp>BDH|4523891897204940449</stp>
        <tr r="C64" s="2"/>
      </tp>
      <tp t="e">
        <v>#N/A</v>
        <stp/>
        <stp>BDH|9507351418488888672</stp>
        <tr r="F15" s="2"/>
      </tp>
      <tp t="e">
        <v>#N/A</v>
        <stp/>
        <stp>BDH|8103727896525987680</stp>
        <tr r="K32" s="2"/>
      </tp>
      <tp t="e">
        <v>#N/A</v>
        <stp/>
        <stp>BDH|8955466006109844049</stp>
        <tr r="D24" s="2"/>
      </tp>
      <tp t="e">
        <v>#N/A</v>
        <stp/>
        <stp>BDH|3428024712465879145</stp>
        <tr r="I56" s="2"/>
      </tp>
      <tp t="e">
        <v>#N/A</v>
        <stp/>
        <stp>BDH|3127463359364755066</stp>
        <tr r="E66" s="2"/>
      </tp>
      <tp t="e">
        <v>#N/A</v>
        <stp/>
        <stp>BDH|4415785627446011141</stp>
        <tr r="K67" s="2"/>
      </tp>
      <tp t="e">
        <v>#N/A</v>
        <stp/>
        <stp>BDH|6676541646937284697</stp>
        <tr r="D14" s="2"/>
      </tp>
      <tp t="e">
        <v>#N/A</v>
        <stp/>
        <stp>BDH|4063334864666274196</stp>
        <tr r="F57" s="2"/>
      </tp>
      <tp t="e">
        <v>#N/A</v>
        <stp/>
        <stp>BDH|8339425231791105832</stp>
        <tr r="E37" s="2"/>
      </tp>
      <tp t="e">
        <v>#N/A</v>
        <stp/>
        <stp>BDH|3742438409579724883</stp>
        <tr r="J15" s="2"/>
      </tp>
      <tp t="e">
        <v>#N/A</v>
        <stp/>
        <stp>BDH|5442770445135272572</stp>
        <tr r="C30" s="2"/>
      </tp>
      <tp t="e">
        <v>#N/A</v>
        <stp/>
        <stp>BDH|3341002335944765224</stp>
        <tr r="J56" s="2"/>
      </tp>
      <tp t="e">
        <v>#N/A</v>
        <stp/>
        <stp>BDH|7477681192049928765</stp>
        <tr r="H15" s="2"/>
      </tp>
      <tp t="e">
        <v>#N/A</v>
        <stp/>
        <stp>BDH|6428926192459325968</stp>
        <tr r="E25" s="2"/>
      </tp>
      <tp t="e">
        <v>#N/A</v>
        <stp/>
        <stp>BDH|6370004692278118161</stp>
        <tr r="H54" s="2"/>
      </tp>
      <tp t="e">
        <v>#N/A</v>
        <stp/>
        <stp>BDH|3224294769485491407</stp>
        <tr r="J28" s="2"/>
      </tp>
      <tp t="e">
        <v>#N/A</v>
        <stp/>
        <stp>BDH|2623329691089502764</stp>
        <tr r="K10" s="2"/>
      </tp>
      <tp t="e">
        <v>#N/A</v>
        <stp/>
        <stp>BDH|1738361614976121327</stp>
        <tr r="C43" s="2"/>
      </tp>
      <tp t="e">
        <v>#N/A</v>
        <stp/>
        <stp>BDH|4712014782018604257</stp>
        <tr r="H61" s="2"/>
      </tp>
      <tp t="e">
        <v>#N/A</v>
        <stp/>
        <stp>BDH|5580395666604865257</stp>
        <tr r="J10" s="2"/>
      </tp>
      <tp t="e">
        <v>#N/A</v>
        <stp/>
        <stp>BDH|3276723571166324366</stp>
        <tr r="K14" s="2"/>
      </tp>
      <tp t="e">
        <v>#N/A</v>
        <stp/>
        <stp>BDH|1501699635563398011</stp>
        <tr r="F66" s="2"/>
      </tp>
      <tp t="e">
        <v>#N/A</v>
        <stp/>
        <stp>BDH|7191184413241456151</stp>
        <tr r="I22" s="2"/>
      </tp>
      <tp t="e">
        <v>#N/A</v>
        <stp/>
        <stp>BDH|5599089059622865543</stp>
        <tr r="G56" s="2"/>
      </tp>
      <tp t="e">
        <v>#N/A</v>
        <stp/>
        <stp>BDH|2207081231756007027</stp>
        <tr r="K44" s="2"/>
      </tp>
      <tp t="e">
        <v>#N/A</v>
        <stp/>
        <stp>BDH|1645683847150419448</stp>
        <tr r="F31" s="2"/>
      </tp>
      <tp t="e">
        <v>#N/A</v>
        <stp/>
        <stp>BDH|1806633607219771973</stp>
        <tr r="E24" s="2"/>
      </tp>
      <tp t="e">
        <v>#N/A</v>
        <stp/>
        <stp>BDH|7262585806866560340</stp>
        <tr r="D35" s="2"/>
      </tp>
      <tp t="e">
        <v>#N/A</v>
        <stp/>
        <stp>BDH|3148269382638090671</stp>
        <tr r="I46" s="2"/>
      </tp>
      <tp t="e">
        <v>#N/A</v>
        <stp/>
        <stp>BDH|9157026424959429501</stp>
        <tr r="D25" s="2"/>
      </tp>
      <tp t="e">
        <v>#N/A</v>
        <stp/>
        <stp>BDH|2155798219282699176</stp>
        <tr r="G17" s="2"/>
      </tp>
      <tp t="e">
        <v>#N/A</v>
        <stp/>
        <stp>BDH|1108728891328279002</stp>
        <tr r="J33" s="2"/>
      </tp>
      <tp t="e">
        <v>#N/A</v>
        <stp/>
        <stp>BDH|8158238586115236004</stp>
        <tr r="D11" s="2"/>
      </tp>
      <tp t="e">
        <v>#N/A</v>
        <stp/>
        <stp>BDH|6839407260816972559</stp>
        <tr r="K61" s="2"/>
      </tp>
      <tp t="e">
        <v>#N/A</v>
        <stp/>
        <stp>BDH|4176741433806565692</stp>
        <tr r="J31" s="2"/>
      </tp>
      <tp t="e">
        <v>#N/A</v>
        <stp/>
        <stp>BDH|7977991302906035893</stp>
        <tr r="K27" s="2"/>
      </tp>
      <tp t="e">
        <v>#N/A</v>
        <stp/>
        <stp>BDH|6850832148478904223</stp>
        <tr r="D52" s="2"/>
      </tp>
      <tp t="e">
        <v>#N/A</v>
        <stp/>
        <stp>BDH|7911286359491430144</stp>
        <tr r="F23" s="2"/>
      </tp>
      <tp t="e">
        <v>#N/A</v>
        <stp/>
        <stp>BDH|9517923115926984720</stp>
        <tr r="E18" s="2"/>
      </tp>
      <tp t="e">
        <v>#N/A</v>
        <stp/>
        <stp>BDH|2534342652493524784</stp>
        <tr r="G64" s="2"/>
      </tp>
      <tp t="e">
        <v>#N/A</v>
        <stp/>
        <stp>BDH|3692898287643376045</stp>
        <tr r="C32" s="2"/>
      </tp>
      <tp t="e">
        <v>#N/A</v>
        <stp/>
        <stp>BDH|3052292452564754000</stp>
        <tr r="H35" s="2"/>
      </tp>
      <tp t="e">
        <v>#N/A</v>
        <stp/>
        <stp>BDH|6364162820851885418</stp>
        <tr r="G40" s="2"/>
      </tp>
      <tp t="e">
        <v>#N/A</v>
        <stp/>
        <stp>BDH|9503915931800139364</stp>
        <tr r="C13" s="2"/>
      </tp>
      <tp t="e">
        <v>#N/A</v>
        <stp/>
        <stp>BDH|6780864946593655923</stp>
        <tr r="H44" s="2"/>
      </tp>
      <tp t="e">
        <v>#N/A</v>
        <stp/>
        <stp>BDH|3078750102955187165</stp>
        <tr r="J8" s="2"/>
      </tp>
      <tp t="e">
        <v>#N/A</v>
        <stp/>
        <stp>BDH|2571013433523294231</stp>
        <tr r="D29" s="2"/>
      </tp>
      <tp t="e">
        <v>#N/A</v>
        <stp/>
        <stp>BDH|9120963466764282241</stp>
        <tr r="G11" s="2"/>
      </tp>
      <tp t="e">
        <v>#N/A</v>
        <stp/>
        <stp>BDH|1668920162518188792</stp>
        <tr r="G69" s="2"/>
      </tp>
      <tp t="e">
        <v>#N/A</v>
        <stp/>
        <stp>BDH|3837244914745516420</stp>
        <tr r="I11" s="2"/>
      </tp>
      <tp t="e">
        <v>#N/A</v>
        <stp/>
        <stp>BDH|3111693525174165216</stp>
        <tr r="D36" s="2"/>
      </tp>
      <tp t="e">
        <v>#N/A</v>
        <stp/>
        <stp>BDH|6379874539568224420</stp>
        <tr r="I57" s="2"/>
      </tp>
      <tp t="e">
        <v>#N/A</v>
        <stp/>
        <stp>BDH|7606455514443348091</stp>
        <tr r="E54" s="2"/>
      </tp>
      <tp t="e">
        <v>#N/A</v>
        <stp/>
        <stp>BDH|5250318206091733609</stp>
        <tr r="I26" s="2"/>
      </tp>
      <tp t="e">
        <v>#N/A</v>
        <stp/>
        <stp>BDH|6230617666410622738</stp>
        <tr r="F46" s="2"/>
      </tp>
      <tp t="e">
        <v>#N/A</v>
        <stp/>
        <stp>BDH|8354194817498899152</stp>
        <tr r="C18" s="2"/>
      </tp>
      <tp t="e">
        <v>#N/A</v>
        <stp/>
        <stp>BDH|1734271255631702635</stp>
        <tr r="D49" s="2"/>
      </tp>
      <tp t="e">
        <v>#N/A</v>
        <stp/>
        <stp>BDH|1191142251126125234</stp>
        <tr r="F25" s="2"/>
      </tp>
      <tp t="e">
        <v>#N/A</v>
        <stp/>
        <stp>BDH|5033208914661047604</stp>
        <tr r="G36" s="2"/>
      </tp>
      <tp t="e">
        <v>#N/A</v>
        <stp/>
        <stp>BDH|8687904376637604025</stp>
        <tr r="K37" s="2"/>
      </tp>
      <tp t="e">
        <v>#N/A</v>
        <stp/>
        <stp>BDH|8262867330932935089</stp>
        <tr r="C7" s="2"/>
      </tp>
      <tp t="e">
        <v>#N/A</v>
        <stp/>
        <stp>BDH|3274207802051570101</stp>
        <tr r="I42" s="2"/>
      </tp>
      <tp t="e">
        <v>#N/A</v>
        <stp/>
        <stp>BDH|7793995031816098949</stp>
        <tr r="G41" s="2"/>
      </tp>
      <tp t="e">
        <v>#N/A</v>
        <stp/>
        <stp>BDH|2197926195521911144</stp>
        <tr r="K13" s="2"/>
      </tp>
      <tp t="e">
        <v>#N/A</v>
        <stp/>
        <stp>BDH|6632116348496525726</stp>
        <tr r="K60" s="2"/>
      </tp>
      <tp t="e">
        <v>#N/A</v>
        <stp/>
        <stp>BDH|2418834412699811043</stp>
        <tr r="E9" s="2"/>
      </tp>
      <tp t="e">
        <v>#N/A</v>
        <stp/>
        <stp>BDH|5923059404787788066</stp>
        <tr r="F35" s="2"/>
      </tp>
      <tp t="e">
        <v>#N/A</v>
        <stp/>
        <stp>BDH|6969323994848346657</stp>
        <tr r="G68" s="2"/>
      </tp>
      <tp t="e">
        <v>#N/A</v>
        <stp/>
        <stp>BDH|3387491625927380020</stp>
        <tr r="J7" s="2"/>
      </tp>
      <tp t="e">
        <v>#N/A</v>
        <stp/>
        <stp>BDH|9319922606312123093</stp>
        <tr r="H11" s="2"/>
      </tp>
      <tp t="e">
        <v>#N/A</v>
        <stp/>
        <stp>BDH|7075139654952977330</stp>
        <tr r="C42" s="2"/>
      </tp>
      <tp t="e">
        <v>#N/A</v>
        <stp/>
        <stp>BDH|8163268882339170994</stp>
        <tr r="G7" s="2"/>
      </tp>
      <tp t="e">
        <v>#N/A</v>
        <stp/>
        <stp>BDH|2139693309592645459</stp>
        <tr r="K35" s="2"/>
      </tp>
      <tp t="e">
        <v>#N/A</v>
        <stp/>
        <stp>BDH|8537554040762404976</stp>
        <tr r="J66" s="2"/>
      </tp>
      <tp t="e">
        <v>#N/A</v>
        <stp/>
        <stp>BDH|7284531054055741016</stp>
        <tr r="F56" s="2"/>
      </tp>
      <tp t="e">
        <v>#N/A</v>
        <stp/>
        <stp>BDH|7406016606946497374</stp>
        <tr r="C47" s="2"/>
      </tp>
      <tp t="e">
        <v>#N/A</v>
        <stp/>
        <stp>BDH|5989278684439335493</stp>
        <tr r="J43" s="2"/>
      </tp>
      <tp t="e">
        <v>#N/A</v>
        <stp/>
        <stp>BDH|3102467307890427542</stp>
        <tr r="I17" s="2"/>
      </tp>
      <tp t="e">
        <v>#N/A</v>
        <stp/>
        <stp>BDH|9486936659962742581</stp>
        <tr r="C27" s="2"/>
      </tp>
      <tp t="e">
        <v>#N/A</v>
        <stp/>
        <stp>BDH|5403777057746168333</stp>
        <tr r="J12" s="2"/>
      </tp>
      <tp t="e">
        <v>#N/A</v>
        <stp/>
        <stp>BDH|4335704920684419714</stp>
        <tr r="E10" s="2"/>
      </tp>
      <tp t="e">
        <v>#N/A</v>
        <stp/>
        <stp>BDH|6445281244611792393</stp>
        <tr r="D28" s="2"/>
      </tp>
      <tp t="e">
        <v>#N/A</v>
        <stp/>
        <stp>BDH|7364768203996927486</stp>
        <tr r="E34" s="2"/>
      </tp>
      <tp t="e">
        <v>#N/A</v>
        <stp/>
        <stp>BDH|1377925203528323269</stp>
        <tr r="K7" s="2"/>
      </tp>
      <tp t="e">
        <v>#N/A</v>
        <stp/>
        <stp>BDH|2903559240998193998</stp>
        <tr r="D48" s="2"/>
      </tp>
      <tp t="e">
        <v>#N/A</v>
        <stp/>
        <stp>BDH|5401442811187032552</stp>
        <tr r="J9" s="2"/>
      </tp>
      <tp t="e">
        <v>#N/A</v>
        <stp/>
        <stp>BDH|8210221026289751352</stp>
        <tr r="C31" s="2"/>
      </tp>
      <tp t="e">
        <v>#N/A</v>
        <stp/>
        <stp>BDH|1985335843945572068</stp>
        <tr r="E16" s="2"/>
      </tp>
      <tp t="e">
        <v>#N/A</v>
        <stp/>
        <stp>BDH|5121712469727437058</stp>
        <tr r="H21" s="2"/>
      </tp>
      <tp t="e">
        <v>#N/A</v>
        <stp/>
        <stp>BDH|1846756469160967345</stp>
        <tr r="E48" s="2"/>
      </tp>
      <tp t="e">
        <v>#N/A</v>
        <stp/>
        <stp>BDH|3739324349571274610</stp>
        <tr r="F42" s="2"/>
      </tp>
      <tp t="e">
        <v>#N/A</v>
        <stp/>
        <stp>BDH|5441926638415484969</stp>
        <tr r="D67" s="2"/>
      </tp>
      <tp t="e">
        <v>#N/A</v>
        <stp/>
        <stp>BDH|4561730705802776287</stp>
        <tr r="D65" s="2"/>
      </tp>
      <tp t="e">
        <v>#N/A</v>
        <stp/>
        <stp>BDH|6816725520061051176</stp>
        <tr r="F33" s="2"/>
      </tp>
      <tp t="e">
        <v>#N/A</v>
        <stp/>
        <stp>BDH|6822744047154281247</stp>
        <tr r="K33" s="2"/>
      </tp>
      <tp t="e">
        <v>#N/A</v>
        <stp/>
        <stp>BDH|5871221617541309439</stp>
        <tr r="E27" s="2"/>
      </tp>
      <tp t="e">
        <v>#N/A</v>
        <stp/>
        <stp>BDH|7378537824743723012</stp>
        <tr r="H25" s="2"/>
      </tp>
      <tp t="e">
        <v>#N/A</v>
        <stp/>
        <stp>BDH|4025104348321854328</stp>
        <tr r="F50" s="2"/>
      </tp>
      <tp t="e">
        <v>#N/A</v>
        <stp/>
        <stp>BDH|9780367784492514337</stp>
        <tr r="F21" s="2"/>
      </tp>
      <tp t="e">
        <v>#N/A</v>
        <stp/>
        <stp>BDH|8663767581775955187</stp>
        <tr r="H8" s="2"/>
      </tp>
      <tp t="e">
        <v>#N/A</v>
        <stp/>
        <stp>BDH|7500270775029251840</stp>
        <tr r="G9" s="2"/>
      </tp>
      <tp t="e">
        <v>#N/A</v>
        <stp/>
        <stp>BDH|1538121007853550042</stp>
        <tr r="I12" s="2"/>
      </tp>
      <tp t="e">
        <v>#N/A</v>
        <stp/>
        <stp>BDH|852052182875648921</stp>
        <tr r="J30" s="2"/>
      </tp>
      <tp t="e">
        <v>#N/A</v>
        <stp/>
        <stp>BDH|233385521225876064</stp>
        <tr r="E28" s="2"/>
      </tp>
      <tp t="e">
        <v>#N/A</v>
        <stp/>
        <stp>BDH|687294702401667490</stp>
        <tr r="I45" s="2"/>
      </tp>
      <tp t="e">
        <v>#N/A</v>
        <stp/>
        <stp>BDH|210377903510192581</stp>
        <tr r="F41" s="2"/>
      </tp>
      <tp t="e">
        <v>#N/A</v>
        <stp/>
        <stp>BDH|822330834261084772</stp>
        <tr r="J50" s="2"/>
      </tp>
      <tp t="e">
        <v>#N/A</v>
        <stp/>
        <stp>BDH|950636706904779382</stp>
        <tr r="D69" s="2"/>
      </tp>
      <tp t="e">
        <v>#N/A</v>
        <stp/>
        <stp>BDH|102670392986898981</stp>
        <tr r="I35" s="2"/>
      </tp>
      <tp t="e">
        <v>#N/A</v>
        <stp/>
        <stp>BDH|276964328208821325</stp>
        <tr r="D27" s="2"/>
      </tp>
      <tp t="e">
        <v>#N/A</v>
        <stp/>
        <stp>BDH|835966984384971658</stp>
        <tr r="E13" s="2"/>
      </tp>
      <tp t="e">
        <v>#N/A</v>
        <stp/>
        <stp>BDH|658234589103143667</stp>
        <tr r="D60" s="2"/>
      </tp>
      <tp t="e">
        <v>#N/A</v>
        <stp/>
        <stp>BDH|165872486218715700</stp>
        <tr r="H69" s="2"/>
      </tp>
      <tp t="e">
        <v>#N/A</v>
        <stp/>
        <stp>BDH|125990648001430297</stp>
        <tr r="H13" s="2"/>
      </tp>
      <tp t="e">
        <v>#N/A</v>
        <stp/>
        <stp>BDH|157198803139604646</stp>
        <tr r="G10" s="2"/>
      </tp>
      <tp t="e">
        <v>#N/A</v>
        <stp/>
        <stp>BDH|740454220059279127</stp>
        <tr r="F12" s="2"/>
      </tp>
      <tp t="e">
        <v>#N/A</v>
        <stp/>
        <stp>BDH|909832550117449285</stp>
        <tr r="E64" s="2"/>
      </tp>
      <tp t="e">
        <v>#N/A</v>
        <stp/>
        <stp>BDH|444135597160506026</stp>
        <tr r="G25" s="2"/>
      </tp>
      <tp t="e">
        <v>#N/A</v>
        <stp/>
        <stp>BDH|141474666148935187</stp>
        <tr r="J69" s="2"/>
      </tp>
      <tp t="e">
        <v>#N/A</v>
        <stp/>
        <stp>BDH|835947338699925919</stp>
        <tr r="H52" s="2"/>
      </tp>
      <tp t="e">
        <v>#N/A</v>
        <stp/>
        <stp>BDH|962216800960454810</stp>
        <tr r="E4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/>
  </sheetViews>
  <sheetFormatPr defaultRowHeight="14.25" x14ac:dyDescent="0.45"/>
  <cols>
    <col min="1" max="1" width="35.19921875" customWidth="1"/>
    <col min="2" max="2" width="0" hidden="1" customWidth="1"/>
    <col min="3" max="12" width="11.796875" customWidth="1"/>
  </cols>
  <sheetData>
    <row r="1" spans="1:12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65" x14ac:dyDescent="0.45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45">
      <c r="A4" s="3" t="s">
        <v>3</v>
      </c>
      <c r="B4" s="3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</row>
    <row r="5" spans="1:12" x14ac:dyDescent="0.4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</row>
    <row r="6" spans="1:12" x14ac:dyDescent="0.45">
      <c r="A6" s="6" t="s">
        <v>25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8"/>
    </row>
    <row r="7" spans="1:12" x14ac:dyDescent="0.45">
      <c r="A7" s="10" t="s">
        <v>26</v>
      </c>
      <c r="B7" s="10" t="s">
        <v>27</v>
      </c>
      <c r="C7" s="12">
        <f>_xll.BDH("FIS US Equity","CF_NET_INC","FY 2011","FY 2011","Currency=USD","Period=FY","BEST_FPERIOD_OVERRIDE=FY","FILING_STATUS=MR","SCALING_FORMAT=MLN","Sort=A","Dates=H","DateFormat=P","Fill=—","Direction=H","UseDPDF=Y")</f>
        <v>469.6</v>
      </c>
      <c r="D7" s="12">
        <f>_xll.BDH("FIS US Equity","CF_NET_INC","FY 2012","FY 2012","Currency=USD","Period=FY","BEST_FPERIOD_OVERRIDE=FY","FILING_STATUS=MR","SCALING_FORMAT=MLN","Sort=A","Dates=H","DateFormat=P","Fill=—","Direction=H","UseDPDF=Y")</f>
        <v>461.2</v>
      </c>
      <c r="E7" s="12">
        <f>_xll.BDH("FIS US Equity","CF_NET_INC","FY 2013","FY 2013","Currency=USD","Period=FY","BEST_FPERIOD_OVERRIDE=FY","FILING_STATUS=MR","SCALING_FORMAT=MLN","Sort=A","Dates=H","DateFormat=P","Fill=—","Direction=H","UseDPDF=Y")</f>
        <v>493.1</v>
      </c>
      <c r="F7" s="12">
        <f>_xll.BDH("FIS US Equity","CF_NET_INC","FY 2014","FY 2014","Currency=USD","Period=FY","BEST_FPERIOD_OVERRIDE=FY","FILING_STATUS=MR","SCALING_FORMAT=MLN","Sort=A","Dates=H","DateFormat=P","Fill=—","Direction=H","UseDPDF=Y")</f>
        <v>679</v>
      </c>
      <c r="G7" s="12">
        <f>_xll.BDH("FIS US Equity","CF_NET_INC","FY 2015","FY 2015","Currency=USD","Period=FY","BEST_FPERIOD_OVERRIDE=FY","FILING_STATUS=MR","SCALING_FORMAT=MLN","Sort=A","Dates=H","DateFormat=P","Fill=—","Direction=H","UseDPDF=Y")</f>
        <v>632</v>
      </c>
      <c r="H7" s="12">
        <f>_xll.BDH("FIS US Equity","CF_NET_INC","FY 2016","FY 2016","Currency=USD","Period=FY","BEST_FPERIOD_OVERRIDE=FY","FILING_STATUS=MR","SCALING_FORMAT=MLN","Sort=A","Dates=H","DateFormat=P","Fill=—","Direction=H","UseDPDF=Y")</f>
        <v>525</v>
      </c>
      <c r="I7" s="12">
        <f>_xll.BDH("FIS US Equity","CF_NET_INC","FY 2017","FY 2017","Currency=USD","Period=FY","BEST_FPERIOD_OVERRIDE=FY","FILING_STATUS=MR","SCALING_FORMAT=MLN","Sort=A","Dates=H","DateFormat=P","Fill=—","Direction=H","UseDPDF=Y")</f>
        <v>1261</v>
      </c>
      <c r="J7" s="12">
        <f>_xll.BDH("FIS US Equity","CF_NET_INC","FY 2018","FY 2018","Currency=USD","Period=FY","BEST_FPERIOD_OVERRIDE=FY","FILING_STATUS=MR","SCALING_FORMAT=MLN","Sort=A","Dates=H","DateFormat=P","Fill=—","Direction=H","UseDPDF=Y")</f>
        <v>846</v>
      </c>
      <c r="K7" s="12">
        <f>_xll.BDH("FIS US Equity","CF_NET_INC","FY 2019","FY 2019","Currency=USD","Period=FY","BEST_FPERIOD_OVERRIDE=FY","FILING_STATUS=MR","SCALING_FORMAT=MLN","Sort=A","Dates=H","DateFormat=P","Fill=—","Direction=H","UseDPDF=Y")</f>
        <v>298</v>
      </c>
      <c r="L7" s="14">
        <v>-104</v>
      </c>
    </row>
    <row r="8" spans="1:12" x14ac:dyDescent="0.45">
      <c r="A8" s="10" t="s">
        <v>28</v>
      </c>
      <c r="B8" s="10" t="s">
        <v>29</v>
      </c>
      <c r="C8" s="12">
        <f>_xll.BDH("FIS US Equity","CF_DEPR_AMORT","FY 2011","FY 2011","Currency=USD","Period=FY","BEST_FPERIOD_OVERRIDE=FY","FILING_STATUS=MR","SCALING_FORMAT=MLN","Sort=A","Dates=H","DateFormat=P","Fill=—","Direction=H","UseDPDF=Y")</f>
        <v>675.4</v>
      </c>
      <c r="D8" s="12">
        <f>_xll.BDH("FIS US Equity","CF_DEPR_AMORT","FY 2012","FY 2012","Currency=USD","Period=FY","BEST_FPERIOD_OVERRIDE=FY","FILING_STATUS=MR","SCALING_FORMAT=MLN","Sort=A","Dates=H","DateFormat=P","Fill=—","Direction=H","UseDPDF=Y")</f>
        <v>662.2</v>
      </c>
      <c r="E8" s="12">
        <f>_xll.BDH("FIS US Equity","CF_DEPR_AMORT","FY 2013","FY 2013","Currency=USD","Period=FY","BEST_FPERIOD_OVERRIDE=FY","FILING_STATUS=MR","SCALING_FORMAT=MLN","Sort=A","Dates=H","DateFormat=P","Fill=—","Direction=H","UseDPDF=Y")</f>
        <v>634.5</v>
      </c>
      <c r="F8" s="12">
        <f>_xll.BDH("FIS US Equity","CF_DEPR_AMORT","FY 2014","FY 2014","Currency=USD","Period=FY","BEST_FPERIOD_OVERRIDE=FY","FILING_STATUS=MR","SCALING_FORMAT=MLN","Sort=A","Dates=H","DateFormat=P","Fill=—","Direction=H","UseDPDF=Y")</f>
        <v>626</v>
      </c>
      <c r="G8" s="12">
        <f>_xll.BDH("FIS US Equity","CF_DEPR_AMORT","FY 2015","FY 2015","Currency=USD","Period=FY","BEST_FPERIOD_OVERRIDE=FY","FILING_STATUS=MR","SCALING_FORMAT=MLN","Sort=A","Dates=H","DateFormat=P","Fill=—","Direction=H","UseDPDF=Y")</f>
        <v>669</v>
      </c>
      <c r="H8" s="12">
        <f>_xll.BDH("FIS US Equity","CF_DEPR_AMORT","FY 2016","FY 2016","Currency=USD","Period=FY","BEST_FPERIOD_OVERRIDE=FY","FILING_STATUS=MR","SCALING_FORMAT=MLN","Sort=A","Dates=H","DateFormat=P","Fill=—","Direction=H","UseDPDF=Y")</f>
        <v>1153</v>
      </c>
      <c r="I8" s="12">
        <f>_xll.BDH("FIS US Equity","CF_DEPR_AMORT","FY 2017","FY 2017","Currency=USD","Period=FY","BEST_FPERIOD_OVERRIDE=FY","FILING_STATUS=MR","SCALING_FORMAT=MLN","Sort=A","Dates=H","DateFormat=P","Fill=—","Direction=H","UseDPDF=Y")</f>
        <v>1366</v>
      </c>
      <c r="J8" s="12">
        <f>_xll.BDH("FIS US Equity","CF_DEPR_AMORT","FY 2018","FY 2018","Currency=USD","Period=FY","BEST_FPERIOD_OVERRIDE=FY","FILING_STATUS=MR","SCALING_FORMAT=MLN","Sort=A","Dates=H","DateFormat=P","Fill=—","Direction=H","UseDPDF=Y")</f>
        <v>1420</v>
      </c>
      <c r="K8" s="12">
        <f>_xll.BDH("FIS US Equity","CF_DEPR_AMORT","FY 2019","FY 2019","Currency=USD","Period=FY","BEST_FPERIOD_OVERRIDE=FY","FILING_STATUS=MR","SCALING_FORMAT=MLN","Sort=A","Dates=H","DateFormat=P","Fill=—","Direction=H","UseDPDF=Y")</f>
        <v>2444</v>
      </c>
      <c r="L8" s="14">
        <v>3716</v>
      </c>
    </row>
    <row r="9" spans="1:12" x14ac:dyDescent="0.45">
      <c r="A9" s="10" t="s">
        <v>30</v>
      </c>
      <c r="B9" s="10" t="s">
        <v>31</v>
      </c>
      <c r="C9" s="12">
        <f>_xll.BDH("FIS US Equity","NON_CASH_ITEMS_DETAILED","FY 2011","FY 2011","Currency=USD","Period=FY","BEST_FPERIOD_OVERRIDE=FY","FILING_STATUS=MR","SCALING_FORMAT=MLN","Sort=A","Dates=H","DateFormat=P","Fill=—","Direction=H","UseDPDF=Y")</f>
        <v>48.9</v>
      </c>
      <c r="D9" s="12">
        <f>_xll.BDH("FIS US Equity","NON_CASH_ITEMS_DETAILED","FY 2012","FY 2012","Currency=USD","Period=FY","BEST_FPERIOD_OVERRIDE=FY","FILING_STATUS=MR","SCALING_FORMAT=MLN","Sort=A","Dates=H","DateFormat=P","Fill=—","Direction=H","UseDPDF=Y")</f>
        <v>-51.3</v>
      </c>
      <c r="E9" s="12">
        <f>_xll.BDH("FIS US Equity","NON_CASH_ITEMS_DETAILED","FY 2013","FY 2013","Currency=USD","Period=FY","BEST_FPERIOD_OVERRIDE=FY","FILING_STATUS=MR","SCALING_FORMAT=MLN","Sort=A","Dates=H","DateFormat=P","Fill=—","Direction=H","UseDPDF=Y")</f>
        <v>-68.8</v>
      </c>
      <c r="F9" s="12">
        <f>_xll.BDH("FIS US Equity","NON_CASH_ITEMS_DETAILED","FY 2014","FY 2014","Currency=USD","Period=FY","BEST_FPERIOD_OVERRIDE=FY","FILING_STATUS=MR","SCALING_FORMAT=MLN","Sort=A","Dates=H","DateFormat=P","Fill=—","Direction=H","UseDPDF=Y")</f>
        <v>-8</v>
      </c>
      <c r="G9" s="12">
        <f>_xll.BDH("FIS US Equity","NON_CASH_ITEMS_DETAILED","FY 2015","FY 2015","Currency=USD","Period=FY","BEST_FPERIOD_OVERRIDE=FY","FILING_STATUS=MR","SCALING_FORMAT=MLN","Sort=A","Dates=H","DateFormat=P","Fill=—","Direction=H","UseDPDF=Y")</f>
        <v>-118</v>
      </c>
      <c r="H9" s="12">
        <f>_xll.BDH("FIS US Equity","NON_CASH_ITEMS_DETAILED","FY 2016","FY 2016","Currency=USD","Period=FY","BEST_FPERIOD_OVERRIDE=FY","FILING_STATUS=MR","SCALING_FORMAT=MLN","Sort=A","Dates=H","DateFormat=P","Fill=—","Direction=H","UseDPDF=Y")</f>
        <v>-167</v>
      </c>
      <c r="I9" s="12">
        <f>_xll.BDH("FIS US Equity","NON_CASH_ITEMS_DETAILED","FY 2017","FY 2017","Currency=USD","Period=FY","BEST_FPERIOD_OVERRIDE=FY","FILING_STATUS=MR","SCALING_FORMAT=MLN","Sort=A","Dates=H","DateFormat=P","Fill=—","Direction=H","UseDPDF=Y")</f>
        <v>-845</v>
      </c>
      <c r="J9" s="12">
        <f>_xll.BDH("FIS US Equity","NON_CASH_ITEMS_DETAILED","FY 2018","FY 2018","Currency=USD","Period=FY","BEST_FPERIOD_OVERRIDE=FY","FILING_STATUS=MR","SCALING_FORMAT=MLN","Sort=A","Dates=H","DateFormat=P","Fill=—","Direction=H","UseDPDF=Y")</f>
        <v>-82</v>
      </c>
      <c r="K9" s="12">
        <f>_xll.BDH("FIS US Equity","NON_CASH_ITEMS_DETAILED","FY 2019","FY 2019","Currency=USD","Period=FY","BEST_FPERIOD_OVERRIDE=FY","FILING_STATUS=MR","SCALING_FORMAT=MLN","Sort=A","Dates=H","DateFormat=P","Fill=—","Direction=H","UseDPDF=Y")</f>
        <v>140</v>
      </c>
      <c r="L9" s="14">
        <v>160</v>
      </c>
    </row>
    <row r="10" spans="1:12" x14ac:dyDescent="0.45">
      <c r="A10" s="10" t="s">
        <v>32</v>
      </c>
      <c r="B10" s="10" t="s">
        <v>33</v>
      </c>
      <c r="C10" s="12">
        <f>_xll.BDH("FIS US Equity","CF_STOCK_BASED_COMPENSATION","FY 2011","FY 2011","Currency=USD","Period=FY","BEST_FPERIOD_OVERRIDE=FY","FILING_STATUS=MR","SCALING_FORMAT=MLN","Sort=A","Dates=H","DateFormat=P","Fill=—","Direction=H","UseDPDF=Y")</f>
        <v>57.2</v>
      </c>
      <c r="D10" s="12">
        <f>_xll.BDH("FIS US Equity","CF_STOCK_BASED_COMPENSATION","FY 2012","FY 2012","Currency=USD","Period=FY","BEST_FPERIOD_OVERRIDE=FY","FILING_STATUS=MR","SCALING_FORMAT=MLN","Sort=A","Dates=H","DateFormat=P","Fill=—","Direction=H","UseDPDF=Y")</f>
        <v>53.2</v>
      </c>
      <c r="E10" s="12">
        <f>_xll.BDH("FIS US Equity","CF_STOCK_BASED_COMPENSATION","FY 2013","FY 2013","Currency=USD","Period=FY","BEST_FPERIOD_OVERRIDE=FY","FILING_STATUS=MR","SCALING_FORMAT=MLN","Sort=A","Dates=H","DateFormat=P","Fill=—","Direction=H","UseDPDF=Y")</f>
        <v>13</v>
      </c>
      <c r="F10" s="12">
        <f>_xll.BDH("FIS US Equity","CF_STOCK_BASED_COMPENSATION","FY 2014","FY 2014","Currency=USD","Period=FY","BEST_FPERIOD_OVERRIDE=FY","FILING_STATUS=MR","SCALING_FORMAT=MLN","Sort=A","Dates=H","DateFormat=P","Fill=—","Direction=H","UseDPDF=Y")</f>
        <v>16</v>
      </c>
      <c r="G10" s="12">
        <f>_xll.BDH("FIS US Equity","CF_STOCK_BASED_COMPENSATION","FY 2015","FY 2015","Currency=USD","Period=FY","BEST_FPERIOD_OVERRIDE=FY","FILING_STATUS=MR","SCALING_FORMAT=MLN","Sort=A","Dates=H","DateFormat=P","Fill=—","Direction=H","UseDPDF=Y")</f>
        <v>69</v>
      </c>
      <c r="H10" s="12">
        <f>_xll.BDH("FIS US Equity","CF_STOCK_BASED_COMPENSATION","FY 2016","FY 2016","Currency=USD","Period=FY","BEST_FPERIOD_OVERRIDE=FY","FILING_STATUS=MR","SCALING_FORMAT=MLN","Sort=A","Dates=H","DateFormat=P","Fill=—","Direction=H","UseDPDF=Y")</f>
        <v>105</v>
      </c>
      <c r="I10" s="12">
        <f>_xll.BDH("FIS US Equity","CF_STOCK_BASED_COMPENSATION","FY 2017","FY 2017","Currency=USD","Period=FY","BEST_FPERIOD_OVERRIDE=FY","FILING_STATUS=MR","SCALING_FORMAT=MLN","Sort=A","Dates=H","DateFormat=P","Fill=—","Direction=H","UseDPDF=Y")</f>
        <v>107</v>
      </c>
      <c r="J10" s="12">
        <f>_xll.BDH("FIS US Equity","CF_STOCK_BASED_COMPENSATION","FY 2018","FY 2018","Currency=USD","Period=FY","BEST_FPERIOD_OVERRIDE=FY","FILING_STATUS=MR","SCALING_FORMAT=MLN","Sort=A","Dates=H","DateFormat=P","Fill=—","Direction=H","UseDPDF=Y")</f>
        <v>84</v>
      </c>
      <c r="K10" s="12">
        <f>_xll.BDH("FIS US Equity","CF_STOCK_BASED_COMPENSATION","FY 2019","FY 2019","Currency=USD","Period=FY","BEST_FPERIOD_OVERRIDE=FY","FILING_STATUS=MR","SCALING_FORMAT=MLN","Sort=A","Dates=H","DateFormat=P","Fill=—","Direction=H","UseDPDF=Y")</f>
        <v>402</v>
      </c>
      <c r="L10" s="14">
        <v>446</v>
      </c>
    </row>
    <row r="11" spans="1:12" x14ac:dyDescent="0.45">
      <c r="A11" s="10" t="s">
        <v>34</v>
      </c>
      <c r="B11" s="10" t="s">
        <v>35</v>
      </c>
      <c r="C11" s="12">
        <f>_xll.BDH("FIS US Equity","CF_DEF_INC_TAX","FY 2011","FY 2011","Currency=USD","Period=FY","BEST_FPERIOD_OVERRIDE=FY","FILING_STATUS=MR","SCALING_FORMAT=MLN","Sort=A","Dates=H","DateFormat=P","Fill=—","Direction=H","UseDPDF=Y")</f>
        <v>1.2</v>
      </c>
      <c r="D11" s="12">
        <f>_xll.BDH("FIS US Equity","CF_DEF_INC_TAX","FY 2012","FY 2012","Currency=USD","Period=FY","BEST_FPERIOD_OVERRIDE=FY","FILING_STATUS=MR","SCALING_FORMAT=MLN","Sort=A","Dates=H","DateFormat=P","Fill=—","Direction=H","UseDPDF=Y")</f>
        <v>-40.9</v>
      </c>
      <c r="E11" s="12">
        <f>_xll.BDH("FIS US Equity","CF_DEF_INC_TAX","FY 2013","FY 2013","Currency=USD","Period=FY","BEST_FPERIOD_OVERRIDE=FY","FILING_STATUS=MR","SCALING_FORMAT=MLN","Sort=A","Dates=H","DateFormat=P","Fill=—","Direction=H","UseDPDF=Y")</f>
        <v>1.5</v>
      </c>
      <c r="F11" s="12">
        <f>_xll.BDH("FIS US Equity","CF_DEF_INC_TAX","FY 2014","FY 2014","Currency=USD","Period=FY","BEST_FPERIOD_OVERRIDE=FY","FILING_STATUS=MR","SCALING_FORMAT=MLN","Sort=A","Dates=H","DateFormat=P","Fill=—","Direction=H","UseDPDF=Y")</f>
        <v>-6</v>
      </c>
      <c r="G11" s="12">
        <f>_xll.BDH("FIS US Equity","CF_DEF_INC_TAX","FY 2015","FY 2015","Currency=USD","Period=FY","BEST_FPERIOD_OVERRIDE=FY","FILING_STATUS=MR","SCALING_FORMAT=MLN","Sort=A","Dates=H","DateFormat=P","Fill=—","Direction=H","UseDPDF=Y")</f>
        <v>48</v>
      </c>
      <c r="H11" s="12">
        <f>_xll.BDH("FIS US Equity","CF_DEF_INC_TAX","FY 2016","FY 2016","Currency=USD","Period=FY","BEST_FPERIOD_OVERRIDE=FY","FILING_STATUS=MR","SCALING_FORMAT=MLN","Sort=A","Dates=H","DateFormat=P","Fill=—","Direction=H","UseDPDF=Y")</f>
        <v>-190</v>
      </c>
      <c r="I11" s="12">
        <f>_xll.BDH("FIS US Equity","CF_DEF_INC_TAX","FY 2017","FY 2017","Currency=USD","Period=FY","BEST_FPERIOD_OVERRIDE=FY","FILING_STATUS=MR","SCALING_FORMAT=MLN","Sort=A","Dates=H","DateFormat=P","Fill=—","Direction=H","UseDPDF=Y")</f>
        <v>-985</v>
      </c>
      <c r="J11" s="12">
        <f>_xll.BDH("FIS US Equity","CF_DEF_INC_TAX","FY 2018","FY 2018","Currency=USD","Period=FY","BEST_FPERIOD_OVERRIDE=FY","FILING_STATUS=MR","SCALING_FORMAT=MLN","Sort=A","Dates=H","DateFormat=P","Fill=—","Direction=H","UseDPDF=Y")</f>
        <v>-116</v>
      </c>
      <c r="K11" s="12">
        <f>_xll.BDH("FIS US Equity","CF_DEF_INC_TAX","FY 2019","FY 2019","Currency=USD","Period=FY","BEST_FPERIOD_OVERRIDE=FY","FILING_STATUS=MR","SCALING_FORMAT=MLN","Sort=A","Dates=H","DateFormat=P","Fill=—","Direction=H","UseDPDF=Y")</f>
        <v>-109</v>
      </c>
      <c r="L11" s="14">
        <v>-58</v>
      </c>
    </row>
    <row r="12" spans="1:12" x14ac:dyDescent="0.45">
      <c r="A12" s="10" t="s">
        <v>36</v>
      </c>
      <c r="B12" s="10" t="s">
        <v>37</v>
      </c>
      <c r="C12" s="12">
        <f>_xll.BDH("FIS US Equity","OTHER_NON_CASH_ADJ_LESS_DETAILED","FY 2011","FY 2011","Currency=USD","Period=FY","BEST_FPERIOD_OVERRIDE=FY","FILING_STATUS=MR","SCALING_FORMAT=MLN","Sort=A","Dates=H","DateFormat=P","Fill=—","Direction=H","UseDPDF=Y")</f>
        <v>-9.5</v>
      </c>
      <c r="D12" s="12">
        <f>_xll.BDH("FIS US Equity","OTHER_NON_CASH_ADJ_LESS_DETAILED","FY 2012","FY 2012","Currency=USD","Period=FY","BEST_FPERIOD_OVERRIDE=FY","FILING_STATUS=MR","SCALING_FORMAT=MLN","Sort=A","Dates=H","DateFormat=P","Fill=—","Direction=H","UseDPDF=Y")</f>
        <v>-63.6</v>
      </c>
      <c r="E12" s="12">
        <f>_xll.BDH("FIS US Equity","OTHER_NON_CASH_ADJ_LESS_DETAILED","FY 2013","FY 2013","Currency=USD","Period=FY","BEST_FPERIOD_OVERRIDE=FY","FILING_STATUS=MR","SCALING_FORMAT=MLN","Sort=A","Dates=H","DateFormat=P","Fill=—","Direction=H","UseDPDF=Y")</f>
        <v>-83.3</v>
      </c>
      <c r="F12" s="12">
        <f>_xll.BDH("FIS US Equity","OTHER_NON_CASH_ADJ_LESS_DETAILED","FY 2014","FY 2014","Currency=USD","Period=FY","BEST_FPERIOD_OVERRIDE=FY","FILING_STATUS=MR","SCALING_FORMAT=MLN","Sort=A","Dates=H","DateFormat=P","Fill=—","Direction=H","UseDPDF=Y")</f>
        <v>-18</v>
      </c>
      <c r="G12" s="12">
        <f>_xll.BDH("FIS US Equity","OTHER_NON_CASH_ADJ_LESS_DETAILED","FY 2015","FY 2015","Currency=USD","Period=FY","BEST_FPERIOD_OVERRIDE=FY","FILING_STATUS=MR","SCALING_FORMAT=MLN","Sort=A","Dates=H","DateFormat=P","Fill=—","Direction=H","UseDPDF=Y")</f>
        <v>-235</v>
      </c>
      <c r="H12" s="12">
        <f>_xll.BDH("FIS US Equity","OTHER_NON_CASH_ADJ_LESS_DETAILED","FY 2016","FY 2016","Currency=USD","Period=FY","BEST_FPERIOD_OVERRIDE=FY","FILING_STATUS=MR","SCALING_FORMAT=MLN","Sort=A","Dates=H","DateFormat=P","Fill=—","Direction=H","UseDPDF=Y")</f>
        <v>-82</v>
      </c>
      <c r="I12" s="12">
        <f>_xll.BDH("FIS US Equity","OTHER_NON_CASH_ADJ_LESS_DETAILED","FY 2017","FY 2017","Currency=USD","Period=FY","BEST_FPERIOD_OVERRIDE=FY","FILING_STATUS=MR","SCALING_FORMAT=MLN","Sort=A","Dates=H","DateFormat=P","Fill=—","Direction=H","UseDPDF=Y")</f>
        <v>33</v>
      </c>
      <c r="J12" s="12">
        <f>_xll.BDH("FIS US Equity","OTHER_NON_CASH_ADJ_LESS_DETAILED","FY 2018","FY 2018","Currency=USD","Period=FY","BEST_FPERIOD_OVERRIDE=FY","FILING_STATUS=MR","SCALING_FORMAT=MLN","Sort=A","Dates=H","DateFormat=P","Fill=—","Direction=H","UseDPDF=Y")</f>
        <v>-50</v>
      </c>
      <c r="K12" s="12">
        <f>_xll.BDH("FIS US Equity","OTHER_NON_CASH_ADJ_LESS_DETAILED","FY 2019","FY 2019","Currency=USD","Period=FY","BEST_FPERIOD_OVERRIDE=FY","FILING_STATUS=MR","SCALING_FORMAT=MLN","Sort=A","Dates=H","DateFormat=P","Fill=—","Direction=H","UseDPDF=Y")</f>
        <v>-153</v>
      </c>
      <c r="L12" s="14">
        <v>-228</v>
      </c>
    </row>
    <row r="13" spans="1:12" x14ac:dyDescent="0.45">
      <c r="A13" s="10" t="s">
        <v>38</v>
      </c>
      <c r="B13" s="10" t="s">
        <v>39</v>
      </c>
      <c r="C13" s="12">
        <f>_xll.BDH("FIS US Equity","CF_CHNG_NON_CASH_WORK_CAP","FY 2011","FY 2011","Currency=USD","Period=FY","BEST_FPERIOD_OVERRIDE=FY","FILING_STATUS=MR","SCALING_FORMAT=MLN","Sort=A","Dates=H","DateFormat=P","Fill=—","Direction=H","UseDPDF=Y")</f>
        <v>-22.4</v>
      </c>
      <c r="D13" s="12">
        <f>_xll.BDH("FIS US Equity","CF_CHNG_NON_CASH_WORK_CAP","FY 2012","FY 2012","Currency=USD","Period=FY","BEST_FPERIOD_OVERRIDE=FY","FILING_STATUS=MR","SCALING_FORMAT=MLN","Sort=A","Dates=H","DateFormat=P","Fill=—","Direction=H","UseDPDF=Y")</f>
        <v>-25.4</v>
      </c>
      <c r="E13" s="12">
        <f>_xll.BDH("FIS US Equity","CF_CHNG_NON_CASH_WORK_CAP","FY 2013","FY 2013","Currency=USD","Period=FY","BEST_FPERIOD_OVERRIDE=FY","FILING_STATUS=MR","SCALING_FORMAT=MLN","Sort=A","Dates=H","DateFormat=P","Fill=—","Direction=H","UseDPDF=Y")</f>
        <v>1.5</v>
      </c>
      <c r="F13" s="12">
        <f>_xll.BDH("FIS US Equity","CF_CHNG_NON_CASH_WORK_CAP","FY 2014","FY 2014","Currency=USD","Period=FY","BEST_FPERIOD_OVERRIDE=FY","FILING_STATUS=MR","SCALING_FORMAT=MLN","Sort=A","Dates=H","DateFormat=P","Fill=—","Direction=H","UseDPDF=Y")</f>
        <v>-132</v>
      </c>
      <c r="G13" s="12">
        <f>_xll.BDH("FIS US Equity","CF_CHNG_NON_CASH_WORK_CAP","FY 2015","FY 2015","Currency=USD","Period=FY","BEST_FPERIOD_OVERRIDE=FY","FILING_STATUS=MR","SCALING_FORMAT=MLN","Sort=A","Dates=H","DateFormat=P","Fill=—","Direction=H","UseDPDF=Y")</f>
        <v>-52</v>
      </c>
      <c r="H13" s="12">
        <f>_xll.BDH("FIS US Equity","CF_CHNG_NON_CASH_WORK_CAP","FY 2016","FY 2016","Currency=USD","Period=FY","BEST_FPERIOD_OVERRIDE=FY","FILING_STATUS=MR","SCALING_FORMAT=MLN","Sort=A","Dates=H","DateFormat=P","Fill=—","Direction=H","UseDPDF=Y")</f>
        <v>414</v>
      </c>
      <c r="I13" s="12">
        <f>_xll.BDH("FIS US Equity","CF_CHNG_NON_CASH_WORK_CAP","FY 2017","FY 2017","Currency=USD","Period=FY","BEST_FPERIOD_OVERRIDE=FY","FILING_STATUS=MR","SCALING_FORMAT=MLN","Sort=A","Dates=H","DateFormat=P","Fill=—","Direction=H","UseDPDF=Y")</f>
        <v>-41</v>
      </c>
      <c r="J13" s="12">
        <f>_xll.BDH("FIS US Equity","CF_CHNG_NON_CASH_WORK_CAP","FY 2018","FY 2018","Currency=USD","Period=FY","BEST_FPERIOD_OVERRIDE=FY","FILING_STATUS=MR","SCALING_FORMAT=MLN","Sort=A","Dates=H","DateFormat=P","Fill=—","Direction=H","UseDPDF=Y")</f>
        <v>-191</v>
      </c>
      <c r="K13" s="12">
        <f>_xll.BDH("FIS US Equity","CF_CHNG_NON_CASH_WORK_CAP","FY 2019","FY 2019","Currency=USD","Period=FY","BEST_FPERIOD_OVERRIDE=FY","FILING_STATUS=MR","SCALING_FORMAT=MLN","Sort=A","Dates=H","DateFormat=P","Fill=—","Direction=H","UseDPDF=Y")</f>
        <v>-472</v>
      </c>
      <c r="L13" s="14">
        <v>-79</v>
      </c>
    </row>
    <row r="14" spans="1:12" x14ac:dyDescent="0.45">
      <c r="A14" s="10" t="s">
        <v>40</v>
      </c>
      <c r="B14" s="10" t="s">
        <v>41</v>
      </c>
      <c r="C14" s="12">
        <f>_xll.BDH("FIS US Equity","CF_ACCT_RCV_UNBILLED_REV","FY 2011","FY 2011","Currency=USD","Period=FY","BEST_FPERIOD_OVERRIDE=FY","FILING_STATUS=MR","SCALING_FORMAT=MLN","Sort=A","Dates=H","DateFormat=P","Fill=—","Direction=H","UseDPDF=Y")</f>
        <v>-31</v>
      </c>
      <c r="D14" s="12">
        <f>_xll.BDH("FIS US Equity","CF_ACCT_RCV_UNBILLED_REV","FY 2012","FY 2012","Currency=USD","Period=FY","BEST_FPERIOD_OVERRIDE=FY","FILING_STATUS=MR","SCALING_FORMAT=MLN","Sort=A","Dates=H","DateFormat=P","Fill=—","Direction=H","UseDPDF=Y")</f>
        <v>-68</v>
      </c>
      <c r="E14" s="12">
        <f>_xll.BDH("FIS US Equity","CF_ACCT_RCV_UNBILLED_REV","FY 2013","FY 2013","Currency=USD","Period=FY","BEST_FPERIOD_OVERRIDE=FY","FILING_STATUS=MR","SCALING_FORMAT=MLN","Sort=A","Dates=H","DateFormat=P","Fill=—","Direction=H","UseDPDF=Y")</f>
        <v>-56.1</v>
      </c>
      <c r="F14" s="12">
        <f>_xll.BDH("FIS US Equity","CF_ACCT_RCV_UNBILLED_REV","FY 2014","FY 2014","Currency=USD","Period=FY","BEST_FPERIOD_OVERRIDE=FY","FILING_STATUS=MR","SCALING_FORMAT=MLN","Sort=A","Dates=H","DateFormat=P","Fill=—","Direction=H","UseDPDF=Y")</f>
        <v>-115</v>
      </c>
      <c r="G14" s="12">
        <f>_xll.BDH("FIS US Equity","CF_ACCT_RCV_UNBILLED_REV","FY 2015","FY 2015","Currency=USD","Period=FY","BEST_FPERIOD_OVERRIDE=FY","FILING_STATUS=MR","SCALING_FORMAT=MLN","Sort=A","Dates=H","DateFormat=P","Fill=—","Direction=H","UseDPDF=Y")</f>
        <v>-103</v>
      </c>
      <c r="H14" s="12">
        <f>_xll.BDH("FIS US Equity","CF_ACCT_RCV_UNBILLED_REV","FY 2016","FY 2016","Currency=USD","Period=FY","BEST_FPERIOD_OVERRIDE=FY","FILING_STATUS=MR","SCALING_FORMAT=MLN","Sort=A","Dates=H","DateFormat=P","Fill=—","Direction=H","UseDPDF=Y")</f>
        <v>0</v>
      </c>
      <c r="I14" s="12">
        <f>_xll.BDH("FIS US Equity","CF_ACCT_RCV_UNBILLED_REV","FY 2017","FY 2017","Currency=USD","Period=FY","BEST_FPERIOD_OVERRIDE=FY","FILING_STATUS=MR","SCALING_FORMAT=MLN","Sort=A","Dates=H","DateFormat=P","Fill=—","Direction=H","UseDPDF=Y")</f>
        <v>0</v>
      </c>
      <c r="J14" s="12">
        <f>_xll.BDH("FIS US Equity","CF_ACCT_RCV_UNBILLED_REV","FY 2018","FY 2018","Currency=USD","Period=FY","BEST_FPERIOD_OVERRIDE=FY","FILING_STATUS=MR","SCALING_FORMAT=MLN","Sort=A","Dates=H","DateFormat=P","Fill=—","Direction=H","UseDPDF=Y")</f>
        <v>0</v>
      </c>
      <c r="K14" s="12">
        <f>_xll.BDH("FIS US Equity","CF_ACCT_RCV_UNBILLED_REV","FY 2019","FY 2019","Currency=USD","Period=FY","BEST_FPERIOD_OVERRIDE=FY","FILING_STATUS=MR","SCALING_FORMAT=MLN","Sort=A","Dates=H","DateFormat=P","Fill=—","Direction=H","UseDPDF=Y")</f>
        <v>0</v>
      </c>
      <c r="L14" s="14">
        <v>-12</v>
      </c>
    </row>
    <row r="15" spans="1:12" x14ac:dyDescent="0.45">
      <c r="A15" s="10" t="s">
        <v>42</v>
      </c>
      <c r="B15" s="10" t="s">
        <v>43</v>
      </c>
      <c r="C15" s="12" t="str">
        <f>_xll.BDH("FIS US Equity","CF_CHANGE_IN_INVENTORIES","FY 2011","FY 2011","Currency=USD","Period=FY","BEST_FPERIOD_OVERRIDE=FY","FILING_STATUS=MR","SCALING_FORMAT=MLN","Sort=A","Dates=H","DateFormat=P","Fill=—","Direction=H","UseDPDF=Y")</f>
        <v>—</v>
      </c>
      <c r="D15" s="12" t="str">
        <f>_xll.BDH("FIS US Equity","CF_CHANGE_IN_INVENTORIES","FY 2012","FY 2012","Currency=USD","Period=FY","BEST_FPERIOD_OVERRIDE=FY","FILING_STATUS=MR","SCALING_FORMAT=MLN","Sort=A","Dates=H","DateFormat=P","Fill=—","Direction=H","UseDPDF=Y")</f>
        <v>—</v>
      </c>
      <c r="E15" s="12" t="str">
        <f>_xll.BDH("FIS US Equity","CF_CHANGE_IN_INVENTORIES","FY 2013","FY 2013","Currency=USD","Period=FY","BEST_FPERIOD_OVERRIDE=FY","FILING_STATUS=MR","SCALING_FORMAT=MLN","Sort=A","Dates=H","DateFormat=P","Fill=—","Direction=H","UseDPDF=Y")</f>
        <v>—</v>
      </c>
      <c r="F15" s="12">
        <f>_xll.BDH("FIS US Equity","CF_CHANGE_IN_INVENTORIES","FY 2014","FY 2014","Currency=USD","Period=FY","BEST_FPERIOD_OVERRIDE=FY","FILING_STATUS=MR","SCALING_FORMAT=MLN","Sort=A","Dates=H","DateFormat=P","Fill=—","Direction=H","UseDPDF=Y")</f>
        <v>0</v>
      </c>
      <c r="G15" s="12">
        <f>_xll.BDH("FIS US Equity","CF_CHANGE_IN_INVENTORIES","FY 2015","FY 2015","Currency=USD","Period=FY","BEST_FPERIOD_OVERRIDE=FY","FILING_STATUS=MR","SCALING_FORMAT=MLN","Sort=A","Dates=H","DateFormat=P","Fill=—","Direction=H","UseDPDF=Y")</f>
        <v>0</v>
      </c>
      <c r="H15" s="12">
        <f>_xll.BDH("FIS US Equity","CF_CHANGE_IN_INVENTORIES","FY 2016","FY 2016","Currency=USD","Period=FY","BEST_FPERIOD_OVERRIDE=FY","FILING_STATUS=MR","SCALING_FORMAT=MLN","Sort=A","Dates=H","DateFormat=P","Fill=—","Direction=H","UseDPDF=Y")</f>
        <v>0</v>
      </c>
      <c r="I15" s="12">
        <f>_xll.BDH("FIS US Equity","CF_CHANGE_IN_INVENTORIES","FY 2017","FY 2017","Currency=USD","Period=FY","BEST_FPERIOD_OVERRIDE=FY","FILING_STATUS=MR","SCALING_FORMAT=MLN","Sort=A","Dates=H","DateFormat=P","Fill=—","Direction=H","UseDPDF=Y")</f>
        <v>0</v>
      </c>
      <c r="J15" s="12">
        <f>_xll.BDH("FIS US Equity","CF_CHANGE_IN_INVENTORIES","FY 2018","FY 2018","Currency=USD","Period=FY","BEST_FPERIOD_OVERRIDE=FY","FILING_STATUS=MR","SCALING_FORMAT=MLN","Sort=A","Dates=H","DateFormat=P","Fill=—","Direction=H","UseDPDF=Y")</f>
        <v>0</v>
      </c>
      <c r="K15" s="12">
        <f>_xll.BDH("FIS US Equity","CF_CHANGE_IN_INVENTORIES","FY 2019","FY 2019","Currency=USD","Period=FY","BEST_FPERIOD_OVERRIDE=FY","FILING_STATUS=MR","SCALING_FORMAT=MLN","Sort=A","Dates=H","DateFormat=P","Fill=—","Direction=H","UseDPDF=Y")</f>
        <v>0</v>
      </c>
      <c r="L15" s="14">
        <v>0</v>
      </c>
    </row>
    <row r="16" spans="1:12" x14ac:dyDescent="0.45">
      <c r="A16" s="10" t="s">
        <v>44</v>
      </c>
      <c r="B16" s="10" t="s">
        <v>45</v>
      </c>
      <c r="C16" s="12">
        <f>_xll.BDH("FIS US Equity","INC_DEC_IN_OT_OP_AST_LIAB_DETAIL","FY 2011","FY 2011","Currency=USD","Period=FY","BEST_FPERIOD_OVERRIDE=FY","FILING_STATUS=MR","SCALING_FORMAT=MLN","Sort=A","Dates=H","DateFormat=P","Fill=—","Direction=H","UseDPDF=Y")</f>
        <v>8.6</v>
      </c>
      <c r="D16" s="12">
        <f>_xll.BDH("FIS US Equity","INC_DEC_IN_OT_OP_AST_LIAB_DETAIL","FY 2012","FY 2012","Currency=USD","Period=FY","BEST_FPERIOD_OVERRIDE=FY","FILING_STATUS=MR","SCALING_FORMAT=MLN","Sort=A","Dates=H","DateFormat=P","Fill=—","Direction=H","UseDPDF=Y")</f>
        <v>42.6</v>
      </c>
      <c r="E16" s="12">
        <f>_xll.BDH("FIS US Equity","INC_DEC_IN_OT_OP_AST_LIAB_DETAIL","FY 2013","FY 2013","Currency=USD","Period=FY","BEST_FPERIOD_OVERRIDE=FY","FILING_STATUS=MR","SCALING_FORMAT=MLN","Sort=A","Dates=H","DateFormat=P","Fill=—","Direction=H","UseDPDF=Y")</f>
        <v>57.6</v>
      </c>
      <c r="F16" s="12">
        <f>_xll.BDH("FIS US Equity","INC_DEC_IN_OT_OP_AST_LIAB_DETAIL","FY 2014","FY 2014","Currency=USD","Period=FY","BEST_FPERIOD_OVERRIDE=FY","FILING_STATUS=MR","SCALING_FORMAT=MLN","Sort=A","Dates=H","DateFormat=P","Fill=—","Direction=H","UseDPDF=Y")</f>
        <v>-17</v>
      </c>
      <c r="G16" s="12">
        <f>_xll.BDH("FIS US Equity","INC_DEC_IN_OT_OP_AST_LIAB_DETAIL","FY 2015","FY 2015","Currency=USD","Period=FY","BEST_FPERIOD_OVERRIDE=FY","FILING_STATUS=MR","SCALING_FORMAT=MLN","Sort=A","Dates=H","DateFormat=P","Fill=—","Direction=H","UseDPDF=Y")</f>
        <v>51</v>
      </c>
      <c r="H16" s="12">
        <f>_xll.BDH("FIS US Equity","INC_DEC_IN_OT_OP_AST_LIAB_DETAIL","FY 2016","FY 2016","Currency=USD","Period=FY","BEST_FPERIOD_OVERRIDE=FY","FILING_STATUS=MR","SCALING_FORMAT=MLN","Sort=A","Dates=H","DateFormat=P","Fill=—","Direction=H","UseDPDF=Y")</f>
        <v>414</v>
      </c>
      <c r="I16" s="12">
        <f>_xll.BDH("FIS US Equity","INC_DEC_IN_OT_OP_AST_LIAB_DETAIL","FY 2017","FY 2017","Currency=USD","Period=FY","BEST_FPERIOD_OVERRIDE=FY","FILING_STATUS=MR","SCALING_FORMAT=MLN","Sort=A","Dates=H","DateFormat=P","Fill=—","Direction=H","UseDPDF=Y")</f>
        <v>-41</v>
      </c>
      <c r="J16" s="12">
        <f>_xll.BDH("FIS US Equity","INC_DEC_IN_OT_OP_AST_LIAB_DETAIL","FY 2018","FY 2018","Currency=USD","Period=FY","BEST_FPERIOD_OVERRIDE=FY","FILING_STATUS=MR","SCALING_FORMAT=MLN","Sort=A","Dates=H","DateFormat=P","Fill=—","Direction=H","UseDPDF=Y")</f>
        <v>-191</v>
      </c>
      <c r="K16" s="12">
        <f>_xll.BDH("FIS US Equity","INC_DEC_IN_OT_OP_AST_LIAB_DETAIL","FY 2019","FY 2019","Currency=USD","Period=FY","BEST_FPERIOD_OVERRIDE=FY","FILING_STATUS=MR","SCALING_FORMAT=MLN","Sort=A","Dates=H","DateFormat=P","Fill=—","Direction=H","UseDPDF=Y")</f>
        <v>-472</v>
      </c>
      <c r="L16" s="14">
        <v>-67</v>
      </c>
    </row>
    <row r="17" spans="1:12" x14ac:dyDescent="0.45">
      <c r="A17" s="10" t="s">
        <v>46</v>
      </c>
      <c r="B17" s="10" t="s">
        <v>47</v>
      </c>
      <c r="C17" s="12" t="str">
        <f>_xll.BDH("FIS US Equity","CF_NET_CASH_DISCONT_OPS_OPER","FY 2011","FY 2011","Currency=USD","Period=FY","BEST_FPERIOD_OVERRIDE=FY","FILING_STATUS=MR","SCALING_FORMAT=MLN","Sort=A","Dates=H","DateFormat=P","Fill=—","Direction=H","UseDPDF=Y")</f>
        <v>—</v>
      </c>
      <c r="D17" s="12" t="str">
        <f>_xll.BDH("FIS US Equity","CF_NET_CASH_DISCONT_OPS_OPER","FY 2012","FY 2012","Currency=USD","Period=FY","BEST_FPERIOD_OVERRIDE=FY","FILING_STATUS=MR","SCALING_FORMAT=MLN","Sort=A","Dates=H","DateFormat=P","Fill=—","Direction=H","UseDPDF=Y")</f>
        <v>—</v>
      </c>
      <c r="E17" s="12" t="str">
        <f>_xll.BDH("FIS US Equity","CF_NET_CASH_DISCONT_OPS_OPER","FY 2013","FY 2013","Currency=USD","Period=FY","BEST_FPERIOD_OVERRIDE=FY","FILING_STATUS=MR","SCALING_FORMAT=MLN","Sort=A","Dates=H","DateFormat=P","Fill=—","Direction=H","UseDPDF=Y")</f>
        <v>—</v>
      </c>
      <c r="F17" s="12" t="str">
        <f>_xll.BDH("FIS US Equity","CF_NET_CASH_DISCONT_OPS_OPER","FY 2014","FY 2014","Currency=USD","Period=FY","BEST_FPERIOD_OVERRIDE=FY","FILING_STATUS=MR","SCALING_FORMAT=MLN","Sort=A","Dates=H","DateFormat=P","Fill=—","Direction=H","UseDPDF=Y")</f>
        <v>—</v>
      </c>
      <c r="G17" s="12" t="str">
        <f>_xll.BDH("FIS US Equity","CF_NET_CASH_DISCONT_OPS_OPER","FY 2015","FY 2015","Currency=USD","Period=FY","BEST_FPERIOD_OVERRIDE=FY","FILING_STATUS=MR","SCALING_FORMAT=MLN","Sort=A","Dates=H","DateFormat=P","Fill=—","Direction=H","UseDPDF=Y")</f>
        <v>—</v>
      </c>
      <c r="H17" s="12" t="str">
        <f>_xll.BDH("FIS US Equity","CF_NET_CASH_DISCONT_OPS_OPER","FY 2016","FY 2016","Currency=USD","Period=FY","BEST_FPERIOD_OVERRIDE=FY","FILING_STATUS=MR","SCALING_FORMAT=MLN","Sort=A","Dates=H","DateFormat=P","Fill=—","Direction=H","UseDPDF=Y")</f>
        <v>—</v>
      </c>
      <c r="I17" s="12" t="str">
        <f>_xll.BDH("FIS US Equity","CF_NET_CASH_DISCONT_OPS_OPER","FY 2017","FY 2017","Currency=USD","Period=FY","BEST_FPERIOD_OVERRIDE=FY","FILING_STATUS=MR","SCALING_FORMAT=MLN","Sort=A","Dates=H","DateFormat=P","Fill=—","Direction=H","UseDPDF=Y")</f>
        <v>—</v>
      </c>
      <c r="J17" s="12">
        <f>_xll.BDH("FIS US Equity","CF_NET_CASH_DISCONT_OPS_OPER","FY 2018","FY 2018","Currency=USD","Period=FY","BEST_FPERIOD_OVERRIDE=FY","FILING_STATUS=MR","SCALING_FORMAT=MLN","Sort=A","Dates=H","DateFormat=P","Fill=—","Direction=H","UseDPDF=Y")</f>
        <v>0</v>
      </c>
      <c r="K17" s="12">
        <f>_xll.BDH("FIS US Equity","CF_NET_CASH_DISCONT_OPS_OPER","FY 2019","FY 2019","Currency=USD","Period=FY","BEST_FPERIOD_OVERRIDE=FY","FILING_STATUS=MR","SCALING_FORMAT=MLN","Sort=A","Dates=H","DateFormat=P","Fill=—","Direction=H","UseDPDF=Y")</f>
        <v>0</v>
      </c>
      <c r="L17" s="14">
        <v>0</v>
      </c>
    </row>
    <row r="18" spans="1:12" x14ac:dyDescent="0.45">
      <c r="A18" s="6" t="s">
        <v>25</v>
      </c>
      <c r="B18" s="6" t="s">
        <v>48</v>
      </c>
      <c r="C18" s="17">
        <f>_xll.BDH("FIS US Equity","CF_CASH_FROM_OPER","FY 2011","FY 2011","Currency=USD","Period=FY","BEST_FPERIOD_OVERRIDE=FY","FILING_STATUS=MR","SCALING_FORMAT=MLN","Sort=A","Dates=H","DateFormat=P","Fill=—","Direction=H","UseDPDF=Y")</f>
        <v>1171.5</v>
      </c>
      <c r="D18" s="17">
        <f>_xll.BDH("FIS US Equity","CF_CASH_FROM_OPER","FY 2012","FY 2012","Currency=USD","Period=FY","BEST_FPERIOD_OVERRIDE=FY","FILING_STATUS=MR","SCALING_FORMAT=MLN","Sort=A","Dates=H","DateFormat=P","Fill=—","Direction=H","UseDPDF=Y")</f>
        <v>1046.7</v>
      </c>
      <c r="E18" s="17">
        <f>_xll.BDH("FIS US Equity","CF_CASH_FROM_OPER","FY 2013","FY 2013","Currency=USD","Period=FY","BEST_FPERIOD_OVERRIDE=FY","FILING_STATUS=MR","SCALING_FORMAT=MLN","Sort=A","Dates=H","DateFormat=P","Fill=—","Direction=H","UseDPDF=Y")</f>
        <v>1060.3</v>
      </c>
      <c r="F18" s="17">
        <f>_xll.BDH("FIS US Equity","CF_CASH_FROM_OPER","FY 2014","FY 2014","Currency=USD","Period=FY","BEST_FPERIOD_OVERRIDE=FY","FILING_STATUS=MR","SCALING_FORMAT=MLN","Sort=A","Dates=H","DateFormat=P","Fill=—","Direction=H","UseDPDF=Y")</f>
        <v>1165</v>
      </c>
      <c r="G18" s="17">
        <f>_xll.BDH("FIS US Equity","CF_CASH_FROM_OPER","FY 2015","FY 2015","Currency=USD","Period=FY","BEST_FPERIOD_OVERRIDE=FY","FILING_STATUS=MR","SCALING_FORMAT=MLN","Sort=A","Dates=H","DateFormat=P","Fill=—","Direction=H","UseDPDF=Y")</f>
        <v>1131</v>
      </c>
      <c r="H18" s="17">
        <f>_xll.BDH("FIS US Equity","CF_CASH_FROM_OPER","FY 2016","FY 2016","Currency=USD","Period=FY","BEST_FPERIOD_OVERRIDE=FY","FILING_STATUS=MR","SCALING_FORMAT=MLN","Sort=A","Dates=H","DateFormat=P","Fill=—","Direction=H","UseDPDF=Y")</f>
        <v>1925</v>
      </c>
      <c r="I18" s="17">
        <f>_xll.BDH("FIS US Equity","CF_CASH_FROM_OPER","FY 2017","FY 2017","Currency=USD","Period=FY","BEST_FPERIOD_OVERRIDE=FY","FILING_STATUS=MR","SCALING_FORMAT=MLN","Sort=A","Dates=H","DateFormat=P","Fill=—","Direction=H","UseDPDF=Y")</f>
        <v>1741</v>
      </c>
      <c r="J18" s="17">
        <f>_xll.BDH("FIS US Equity","CF_CASH_FROM_OPER","FY 2018","FY 2018","Currency=USD","Period=FY","BEST_FPERIOD_OVERRIDE=FY","FILING_STATUS=MR","SCALING_FORMAT=MLN","Sort=A","Dates=H","DateFormat=P","Fill=—","Direction=H","UseDPDF=Y")</f>
        <v>1993</v>
      </c>
      <c r="K18" s="17">
        <f>_xll.BDH("FIS US Equity","CF_CASH_FROM_OPER","FY 2019","FY 2019","Currency=USD","Period=FY","BEST_FPERIOD_OVERRIDE=FY","FILING_STATUS=MR","SCALING_FORMAT=MLN","Sort=A","Dates=H","DateFormat=P","Fill=—","Direction=H","UseDPDF=Y")</f>
        <v>2410</v>
      </c>
      <c r="L18" s="19">
        <v>3693</v>
      </c>
    </row>
    <row r="19" spans="1:12" x14ac:dyDescent="0.45">
      <c r="A19" s="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8"/>
    </row>
    <row r="20" spans="1:12" x14ac:dyDescent="0.45">
      <c r="A20" s="6" t="s">
        <v>49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8"/>
    </row>
    <row r="21" spans="1:12" x14ac:dyDescent="0.45">
      <c r="A21" s="10" t="s">
        <v>50</v>
      </c>
      <c r="B21" s="10" t="s">
        <v>51</v>
      </c>
      <c r="C21" s="12">
        <f>_xll.BDH("FIS US Equity","CHG_IN_FXD_&amp;_INTANG_AST_DETAILED","FY 2011","FY 2011","Currency=USD","Period=FY","BEST_FPERIOD_OVERRIDE=FY","FILING_STATUS=MR","SCALING_FORMAT=MLN","Sort=A","Dates=H","DateFormat=P","Fill=—","Direction=H","UseDPDF=Y")</f>
        <v>-300.3</v>
      </c>
      <c r="D21" s="12">
        <f>_xll.BDH("FIS US Equity","CHG_IN_FXD_&amp;_INTANG_AST_DETAILED","FY 2012","FY 2012","Currency=USD","Period=FY","BEST_FPERIOD_OVERRIDE=FY","FILING_STATUS=MR","SCALING_FORMAT=MLN","Sort=A","Dates=H","DateFormat=P","Fill=—","Direction=H","UseDPDF=Y")</f>
        <v>-296.10000000000002</v>
      </c>
      <c r="E21" s="12">
        <f>_xll.BDH("FIS US Equity","CHG_IN_FXD_&amp;_INTANG_AST_DETAILED","FY 2013","FY 2013","Currency=USD","Period=FY","BEST_FPERIOD_OVERRIDE=FY","FILING_STATUS=MR","SCALING_FORMAT=MLN","Sort=A","Dates=H","DateFormat=P","Fill=—","Direction=H","UseDPDF=Y")</f>
        <v>-309.39999999999998</v>
      </c>
      <c r="F21" s="12">
        <f>_xll.BDH("FIS US Equity","CHG_IN_FXD_&amp;_INTANG_AST_DETAILED","FY 2014","FY 2014","Currency=USD","Period=FY","BEST_FPERIOD_OVERRIDE=FY","FILING_STATUS=MR","SCALING_FORMAT=MLN","Sort=A","Dates=H","DateFormat=P","Fill=—","Direction=H","UseDPDF=Y")</f>
        <v>-372</v>
      </c>
      <c r="G21" s="12">
        <f>_xll.BDH("FIS US Equity","CHG_IN_FXD_&amp;_INTANG_AST_DETAILED","FY 2015","FY 2015","Currency=USD","Period=FY","BEST_FPERIOD_OVERRIDE=FY","FILING_STATUS=MR","SCALING_FORMAT=MLN","Sort=A","Dates=H","DateFormat=P","Fill=—","Direction=H","UseDPDF=Y")</f>
        <v>-174</v>
      </c>
      <c r="H21" s="12">
        <f>_xll.BDH("FIS US Equity","CHG_IN_FXD_&amp;_INTANG_AST_DETAILED","FY 2016","FY 2016","Currency=USD","Period=FY","BEST_FPERIOD_OVERRIDE=FY","FILING_STATUS=MR","SCALING_FORMAT=MLN","Sort=A","Dates=H","DateFormat=P","Fill=—","Direction=H","UseDPDF=Y")</f>
        <v>-616</v>
      </c>
      <c r="I21" s="12">
        <f>_xll.BDH("FIS US Equity","CHG_IN_FXD_&amp;_INTANG_AST_DETAILED","FY 2017","FY 2017","Currency=USD","Period=FY","BEST_FPERIOD_OVERRIDE=FY","FILING_STATUS=MR","SCALING_FORMAT=MLN","Sort=A","Dates=H","DateFormat=P","Fill=—","Direction=H","UseDPDF=Y")</f>
        <v>-613</v>
      </c>
      <c r="J21" s="12">
        <f>_xll.BDH("FIS US Equity","CHG_IN_FXD_&amp;_INTANG_AST_DETAILED","FY 2018","FY 2018","Currency=USD","Period=FY","BEST_FPERIOD_OVERRIDE=FY","FILING_STATUS=MR","SCALING_FORMAT=MLN","Sort=A","Dates=H","DateFormat=P","Fill=—","Direction=H","UseDPDF=Y")</f>
        <v>-622</v>
      </c>
      <c r="K21" s="12">
        <f>_xll.BDH("FIS US Equity","CHG_IN_FXD_&amp;_INTANG_AST_DETAILED","FY 2019","FY 2019","Currency=USD","Period=FY","BEST_FPERIOD_OVERRIDE=FY","FILING_STATUS=MR","SCALING_FORMAT=MLN","Sort=A","Dates=H","DateFormat=P","Fill=—","Direction=H","UseDPDF=Y")</f>
        <v>-828</v>
      </c>
      <c r="L21" s="14">
        <v>-1122</v>
      </c>
    </row>
    <row r="22" spans="1:12" x14ac:dyDescent="0.45">
      <c r="A22" s="10" t="s">
        <v>52</v>
      </c>
      <c r="B22" s="10" t="s">
        <v>53</v>
      </c>
      <c r="C22" s="12">
        <f>_xll.BDH("FIS US Equity","DISP_FXD_&amp;_INTANGIBLES_DETAILED","FY 2011","FY 2011","Currency=USD","Period=FY","BEST_FPERIOD_OVERRIDE=FY","FILING_STATUS=MR","SCALING_FORMAT=MLN","Sort=A","Dates=H","DateFormat=P","Fill=—","Direction=H","UseDPDF=Y")</f>
        <v>0</v>
      </c>
      <c r="D22" s="12">
        <f>_xll.BDH("FIS US Equity","DISP_FXD_&amp;_INTANGIBLES_DETAILED","FY 2012","FY 2012","Currency=USD","Period=FY","BEST_FPERIOD_OVERRIDE=FY","FILING_STATUS=MR","SCALING_FORMAT=MLN","Sort=A","Dates=H","DateFormat=P","Fill=—","Direction=H","UseDPDF=Y")</f>
        <v>0</v>
      </c>
      <c r="E22" s="12">
        <f>_xll.BDH("FIS US Equity","DISP_FXD_&amp;_INTANGIBLES_DETAILED","FY 2013","FY 2013","Currency=USD","Period=FY","BEST_FPERIOD_OVERRIDE=FY","FILING_STATUS=MR","SCALING_FORMAT=MLN","Sort=A","Dates=H","DateFormat=P","Fill=—","Direction=H","UseDPDF=Y")</f>
        <v>26.8</v>
      </c>
      <c r="F22" s="12">
        <f>_xll.BDH("FIS US Equity","DISP_FXD_&amp;_INTANGIBLES_DETAILED","FY 2014","FY 2014","Currency=USD","Period=FY","BEST_FPERIOD_OVERRIDE=FY","FILING_STATUS=MR","SCALING_FORMAT=MLN","Sort=A","Dates=H","DateFormat=P","Fill=—","Direction=H","UseDPDF=Y")</f>
        <v>0</v>
      </c>
      <c r="G22" s="12">
        <f>_xll.BDH("FIS US Equity","DISP_FXD_&amp;_INTANGIBLES_DETAILED","FY 2015","FY 2015","Currency=USD","Period=FY","BEST_FPERIOD_OVERRIDE=FY","FILING_STATUS=MR","SCALING_FORMAT=MLN","Sort=A","Dates=H","DateFormat=P","Fill=—","Direction=H","UseDPDF=Y")</f>
        <v>241</v>
      </c>
      <c r="H22" s="12">
        <f>_xll.BDH("FIS US Equity","DISP_FXD_&amp;_INTANGIBLES_DETAILED","FY 2016","FY 2016","Currency=USD","Period=FY","BEST_FPERIOD_OVERRIDE=FY","FILING_STATUS=MR","SCALING_FORMAT=MLN","Sort=A","Dates=H","DateFormat=P","Fill=—","Direction=H","UseDPDF=Y")</f>
        <v>0</v>
      </c>
      <c r="I22" s="12">
        <f>_xll.BDH("FIS US Equity","DISP_FXD_&amp;_INTANGIBLES_DETAILED","FY 2017","FY 2017","Currency=USD","Period=FY","BEST_FPERIOD_OVERRIDE=FY","FILING_STATUS=MR","SCALING_FORMAT=MLN","Sort=A","Dates=H","DateFormat=P","Fill=—","Direction=H","UseDPDF=Y")</f>
        <v>0</v>
      </c>
      <c r="J22" s="12">
        <f>_xll.BDH("FIS US Equity","DISP_FXD_&amp;_INTANGIBLES_DETAILED","FY 2018","FY 2018","Currency=USD","Period=FY","BEST_FPERIOD_OVERRIDE=FY","FILING_STATUS=MR","SCALING_FORMAT=MLN","Sort=A","Dates=H","DateFormat=P","Fill=—","Direction=H","UseDPDF=Y")</f>
        <v>0</v>
      </c>
      <c r="K22" s="12">
        <f>_xll.BDH("FIS US Equity","DISP_FXD_&amp;_INTANGIBLES_DETAILED","FY 2019","FY 2019","Currency=USD","Period=FY","BEST_FPERIOD_OVERRIDE=FY","FILING_STATUS=MR","SCALING_FORMAT=MLN","Sort=A","Dates=H","DateFormat=P","Fill=—","Direction=H","UseDPDF=Y")</f>
        <v>0</v>
      </c>
      <c r="L22" s="14">
        <v>0</v>
      </c>
    </row>
    <row r="23" spans="1:12" x14ac:dyDescent="0.45">
      <c r="A23" s="11" t="s">
        <v>54</v>
      </c>
      <c r="B23" s="11" t="s">
        <v>55</v>
      </c>
      <c r="C23" s="20">
        <f>_xll.BDH("FIS US Equity","CF_DISPOSAL_OF_FIXED_PROD_ASSETS","FY 2011","FY 2011","Currency=USD","Period=FY","BEST_FPERIOD_OVERRIDE=FY","FILING_STATUS=MR","SCALING_FORMAT=MLN","Sort=A","Dates=H","DateFormat=P","Fill=—","Direction=H","UseDPDF=Y")</f>
        <v>0</v>
      </c>
      <c r="D23" s="20">
        <f>_xll.BDH("FIS US Equity","CF_DISPOSAL_OF_FIXED_PROD_ASSETS","FY 2012","FY 2012","Currency=USD","Period=FY","BEST_FPERIOD_OVERRIDE=FY","FILING_STATUS=MR","SCALING_FORMAT=MLN","Sort=A","Dates=H","DateFormat=P","Fill=—","Direction=H","UseDPDF=Y")</f>
        <v>0</v>
      </c>
      <c r="E23" s="20">
        <f>_xll.BDH("FIS US Equity","CF_DISPOSAL_OF_FIXED_PROD_ASSETS","FY 2013","FY 2013","Currency=USD","Period=FY","BEST_FPERIOD_OVERRIDE=FY","FILING_STATUS=MR","SCALING_FORMAT=MLN","Sort=A","Dates=H","DateFormat=P","Fill=—","Direction=H","UseDPDF=Y")</f>
        <v>26.8</v>
      </c>
      <c r="F23" s="20">
        <f>_xll.BDH("FIS US Equity","CF_DISPOSAL_OF_FIXED_PROD_ASSETS","FY 2014","FY 2014","Currency=USD","Period=FY","BEST_FPERIOD_OVERRIDE=FY","FILING_STATUS=MR","SCALING_FORMAT=MLN","Sort=A","Dates=H","DateFormat=P","Fill=—","Direction=H","UseDPDF=Y")</f>
        <v>0</v>
      </c>
      <c r="G23" s="20">
        <f>_xll.BDH("FIS US Equity","CF_DISPOSAL_OF_FIXED_PROD_ASSETS","FY 2015","FY 2015","Currency=USD","Period=FY","BEST_FPERIOD_OVERRIDE=FY","FILING_STATUS=MR","SCALING_FORMAT=MLN","Sort=A","Dates=H","DateFormat=P","Fill=—","Direction=H","UseDPDF=Y")</f>
        <v>241</v>
      </c>
      <c r="H23" s="20">
        <f>_xll.BDH("FIS US Equity","CF_DISPOSAL_OF_FIXED_PROD_ASSETS","FY 2016","FY 2016","Currency=USD","Period=FY","BEST_FPERIOD_OVERRIDE=FY","FILING_STATUS=MR","SCALING_FORMAT=MLN","Sort=A","Dates=H","DateFormat=P","Fill=—","Direction=H","UseDPDF=Y")</f>
        <v>0</v>
      </c>
      <c r="I23" s="20" t="str">
        <f>_xll.BDH("FIS US Equity","CF_DISPOSAL_OF_FIXED_PROD_ASSETS","FY 2017","FY 2017","Currency=USD","Period=FY","BEST_FPERIOD_OVERRIDE=FY","FILING_STATUS=MR","SCALING_FORMAT=MLN","Sort=A","Dates=H","DateFormat=P","Fill=—","Direction=H","UseDPDF=Y")</f>
        <v>—</v>
      </c>
      <c r="J23" s="20">
        <f>_xll.BDH("FIS US Equity","CF_DISPOSAL_OF_FIXED_PROD_ASSETS","FY 2018","FY 2018","Currency=USD","Period=FY","BEST_FPERIOD_OVERRIDE=FY","FILING_STATUS=MR","SCALING_FORMAT=MLN","Sort=A","Dates=H","DateFormat=P","Fill=—","Direction=H","UseDPDF=Y")</f>
        <v>0</v>
      </c>
      <c r="K23" s="20">
        <f>_xll.BDH("FIS US Equity","CF_DISPOSAL_OF_FIXED_PROD_ASSETS","FY 2019","FY 2019","Currency=USD","Period=FY","BEST_FPERIOD_OVERRIDE=FY","FILING_STATUS=MR","SCALING_FORMAT=MLN","Sort=A","Dates=H","DateFormat=P","Fill=—","Direction=H","UseDPDF=Y")</f>
        <v>0</v>
      </c>
      <c r="L23" s="21">
        <v>0</v>
      </c>
    </row>
    <row r="24" spans="1:12" x14ac:dyDescent="0.45">
      <c r="A24" s="11" t="s">
        <v>56</v>
      </c>
      <c r="B24" s="11" t="s">
        <v>57</v>
      </c>
      <c r="C24" s="20">
        <f>_xll.BDH("FIS US Equity","CF_DISPOSAL_OF_INTANGIBLE_ASSETS","FY 2011","FY 2011","Currency=USD","Period=FY","BEST_FPERIOD_OVERRIDE=FY","FILING_STATUS=MR","SCALING_FORMAT=MLN","Sort=A","Dates=H","DateFormat=P","Fill=—","Direction=H","UseDPDF=Y")</f>
        <v>0</v>
      </c>
      <c r="D24" s="20">
        <f>_xll.BDH("FIS US Equity","CF_DISPOSAL_OF_INTANGIBLE_ASSETS","FY 2012","FY 2012","Currency=USD","Period=FY","BEST_FPERIOD_OVERRIDE=FY","FILING_STATUS=MR","SCALING_FORMAT=MLN","Sort=A","Dates=H","DateFormat=P","Fill=—","Direction=H","UseDPDF=Y")</f>
        <v>0</v>
      </c>
      <c r="E24" s="20">
        <f>_xll.BDH("FIS US Equity","CF_DISPOSAL_OF_INTANGIBLE_ASSETS","FY 2013","FY 2013","Currency=USD","Period=FY","BEST_FPERIOD_OVERRIDE=FY","FILING_STATUS=MR","SCALING_FORMAT=MLN","Sort=A","Dates=H","DateFormat=P","Fill=—","Direction=H","UseDPDF=Y")</f>
        <v>0</v>
      </c>
      <c r="F24" s="20">
        <f>_xll.BDH("FIS US Equity","CF_DISPOSAL_OF_INTANGIBLE_ASSETS","FY 2014","FY 2014","Currency=USD","Period=FY","BEST_FPERIOD_OVERRIDE=FY","FILING_STATUS=MR","SCALING_FORMAT=MLN","Sort=A","Dates=H","DateFormat=P","Fill=—","Direction=H","UseDPDF=Y")</f>
        <v>0</v>
      </c>
      <c r="G24" s="20">
        <f>_xll.BDH("FIS US Equity","CF_DISPOSAL_OF_INTANGIBLE_ASSETS","FY 2015","FY 2015","Currency=USD","Period=FY","BEST_FPERIOD_OVERRIDE=FY","FILING_STATUS=MR","SCALING_FORMAT=MLN","Sort=A","Dates=H","DateFormat=P","Fill=—","Direction=H","UseDPDF=Y")</f>
        <v>0</v>
      </c>
      <c r="H24" s="20">
        <f>_xll.BDH("FIS US Equity","CF_DISPOSAL_OF_INTANGIBLE_ASSETS","FY 2016","FY 2016","Currency=USD","Period=FY","BEST_FPERIOD_OVERRIDE=FY","FILING_STATUS=MR","SCALING_FORMAT=MLN","Sort=A","Dates=H","DateFormat=P","Fill=—","Direction=H","UseDPDF=Y")</f>
        <v>0</v>
      </c>
      <c r="I24" s="20" t="str">
        <f>_xll.BDH("FIS US Equity","CF_DISPOSAL_OF_INTANGIBLE_ASSETS","FY 2017","FY 2017","Currency=USD","Period=FY","BEST_FPERIOD_OVERRIDE=FY","FILING_STATUS=MR","SCALING_FORMAT=MLN","Sort=A","Dates=H","DateFormat=P","Fill=—","Direction=H","UseDPDF=Y")</f>
        <v>—</v>
      </c>
      <c r="J24" s="20">
        <f>_xll.BDH("FIS US Equity","CF_DISPOSAL_OF_INTANGIBLE_ASSETS","FY 2018","FY 2018","Currency=USD","Period=FY","BEST_FPERIOD_OVERRIDE=FY","FILING_STATUS=MR","SCALING_FORMAT=MLN","Sort=A","Dates=H","DateFormat=P","Fill=—","Direction=H","UseDPDF=Y")</f>
        <v>0</v>
      </c>
      <c r="K24" s="20">
        <f>_xll.BDH("FIS US Equity","CF_DISPOSAL_OF_INTANGIBLE_ASSETS","FY 2019","FY 2019","Currency=USD","Period=FY","BEST_FPERIOD_OVERRIDE=FY","FILING_STATUS=MR","SCALING_FORMAT=MLN","Sort=A","Dates=H","DateFormat=P","Fill=—","Direction=H","UseDPDF=Y")</f>
        <v>0</v>
      </c>
      <c r="L24" s="21">
        <v>0</v>
      </c>
    </row>
    <row r="25" spans="1:12" x14ac:dyDescent="0.45">
      <c r="A25" s="10" t="s">
        <v>58</v>
      </c>
      <c r="B25" s="10" t="s">
        <v>59</v>
      </c>
      <c r="C25" s="12">
        <f>_xll.BDH("FIS US Equity","ACQUIS_FXD_&amp;_INTANG_DETAILED","FY 2011","FY 2011","Currency=USD","Period=FY","BEST_FPERIOD_OVERRIDE=FY","FILING_STATUS=MR","SCALING_FORMAT=MLN","Sort=A","Dates=H","DateFormat=P","Fill=—","Direction=H","UseDPDF=Y")</f>
        <v>-300.3</v>
      </c>
      <c r="D25" s="12">
        <f>_xll.BDH("FIS US Equity","ACQUIS_FXD_&amp;_INTANG_DETAILED","FY 2012","FY 2012","Currency=USD","Period=FY","BEST_FPERIOD_OVERRIDE=FY","FILING_STATUS=MR","SCALING_FORMAT=MLN","Sort=A","Dates=H","DateFormat=P","Fill=—","Direction=H","UseDPDF=Y")</f>
        <v>-296.10000000000002</v>
      </c>
      <c r="E25" s="12">
        <f>_xll.BDH("FIS US Equity","ACQUIS_FXD_&amp;_INTANG_DETAILED","FY 2013","FY 2013","Currency=USD","Period=FY","BEST_FPERIOD_OVERRIDE=FY","FILING_STATUS=MR","SCALING_FORMAT=MLN","Sort=A","Dates=H","DateFormat=P","Fill=—","Direction=H","UseDPDF=Y")</f>
        <v>-336.2</v>
      </c>
      <c r="F25" s="12">
        <f>_xll.BDH("FIS US Equity","ACQUIS_FXD_&amp;_INTANG_DETAILED","FY 2014","FY 2014","Currency=USD","Period=FY","BEST_FPERIOD_OVERRIDE=FY","FILING_STATUS=MR","SCALING_FORMAT=MLN","Sort=A","Dates=H","DateFormat=P","Fill=—","Direction=H","UseDPDF=Y")</f>
        <v>-372</v>
      </c>
      <c r="G25" s="12">
        <f>_xll.BDH("FIS US Equity","ACQUIS_FXD_&amp;_INTANG_DETAILED","FY 2015","FY 2015","Currency=USD","Period=FY","BEST_FPERIOD_OVERRIDE=FY","FILING_STATUS=MR","SCALING_FORMAT=MLN","Sort=A","Dates=H","DateFormat=P","Fill=—","Direction=H","UseDPDF=Y")</f>
        <v>-415</v>
      </c>
      <c r="H25" s="12">
        <f>_xll.BDH("FIS US Equity","ACQUIS_FXD_&amp;_INTANG_DETAILED","FY 2016","FY 2016","Currency=USD","Period=FY","BEST_FPERIOD_OVERRIDE=FY","FILING_STATUS=MR","SCALING_FORMAT=MLN","Sort=A","Dates=H","DateFormat=P","Fill=—","Direction=H","UseDPDF=Y")</f>
        <v>-616</v>
      </c>
      <c r="I25" s="12">
        <f>_xll.BDH("FIS US Equity","ACQUIS_FXD_&amp;_INTANG_DETAILED","FY 2017","FY 2017","Currency=USD","Period=FY","BEST_FPERIOD_OVERRIDE=FY","FILING_STATUS=MR","SCALING_FORMAT=MLN","Sort=A","Dates=H","DateFormat=P","Fill=—","Direction=H","UseDPDF=Y")</f>
        <v>-613</v>
      </c>
      <c r="J25" s="12">
        <f>_xll.BDH("FIS US Equity","ACQUIS_FXD_&amp;_INTANG_DETAILED","FY 2018","FY 2018","Currency=USD","Period=FY","BEST_FPERIOD_OVERRIDE=FY","FILING_STATUS=MR","SCALING_FORMAT=MLN","Sort=A","Dates=H","DateFormat=P","Fill=—","Direction=H","UseDPDF=Y")</f>
        <v>-622</v>
      </c>
      <c r="K25" s="12">
        <f>_xll.BDH("FIS US Equity","ACQUIS_FXD_&amp;_INTANG_DETAILED","FY 2019","FY 2019","Currency=USD","Period=FY","BEST_FPERIOD_OVERRIDE=FY","FILING_STATUS=MR","SCALING_FORMAT=MLN","Sort=A","Dates=H","DateFormat=P","Fill=—","Direction=H","UseDPDF=Y")</f>
        <v>-828</v>
      </c>
      <c r="L25" s="14">
        <v>-1122</v>
      </c>
    </row>
    <row r="26" spans="1:12" x14ac:dyDescent="0.45">
      <c r="A26" s="11" t="s">
        <v>60</v>
      </c>
      <c r="B26" s="11" t="s">
        <v>61</v>
      </c>
      <c r="C26" s="20">
        <f>_xll.BDH("FIS US Equity","CF_PURCHASE_OF_FIXED_PROD_ASSETS","FY 2011","FY 2011","Currency=USD","Period=FY","BEST_FPERIOD_OVERRIDE=FY","FILING_STATUS=MR","SCALING_FORMAT=MLN","Sort=A","Dates=H","DateFormat=P","Fill=—","Direction=H","UseDPDF=Y")</f>
        <v>-123.9</v>
      </c>
      <c r="D26" s="20">
        <f>_xll.BDH("FIS US Equity","CF_PURCHASE_OF_FIXED_PROD_ASSETS","FY 2012","FY 2012","Currency=USD","Period=FY","BEST_FPERIOD_OVERRIDE=FY","FILING_STATUS=MR","SCALING_FORMAT=MLN","Sort=A","Dates=H","DateFormat=P","Fill=—","Direction=H","UseDPDF=Y")</f>
        <v>-123.7</v>
      </c>
      <c r="E26" s="20">
        <f>_xll.BDH("FIS US Equity","CF_PURCHASE_OF_FIXED_PROD_ASSETS","FY 2013","FY 2013","Currency=USD","Period=FY","BEST_FPERIOD_OVERRIDE=FY","FILING_STATUS=MR","SCALING_FORMAT=MLN","Sort=A","Dates=H","DateFormat=P","Fill=—","Direction=H","UseDPDF=Y")</f>
        <v>-131.69999999999999</v>
      </c>
      <c r="F26" s="20">
        <f>_xll.BDH("FIS US Equity","CF_PURCHASE_OF_FIXED_PROD_ASSETS","FY 2014","FY 2014","Currency=USD","Period=FY","BEST_FPERIOD_OVERRIDE=FY","FILING_STATUS=MR","SCALING_FORMAT=MLN","Sort=A","Dates=H","DateFormat=P","Fill=—","Direction=H","UseDPDF=Y")</f>
        <v>-149</v>
      </c>
      <c r="G26" s="20">
        <f>_xll.BDH("FIS US Equity","CF_PURCHASE_OF_FIXED_PROD_ASSETS","FY 2015","FY 2015","Currency=USD","Period=FY","BEST_FPERIOD_OVERRIDE=FY","FILING_STATUS=MR","SCALING_FORMAT=MLN","Sort=A","Dates=H","DateFormat=P","Fill=—","Direction=H","UseDPDF=Y")</f>
        <v>-133</v>
      </c>
      <c r="H26" s="20">
        <f>_xll.BDH("FIS US Equity","CF_PURCHASE_OF_FIXED_PROD_ASSETS","FY 2016","FY 2016","Currency=USD","Period=FY","BEST_FPERIOD_OVERRIDE=FY","FILING_STATUS=MR","SCALING_FORMAT=MLN","Sort=A","Dates=H","DateFormat=P","Fill=—","Direction=H","UseDPDF=Y")</f>
        <v>-145</v>
      </c>
      <c r="I26" s="20">
        <f>_xll.BDH("FIS US Equity","CF_PURCHASE_OF_FIXED_PROD_ASSETS","FY 2017","FY 2017","Currency=USD","Period=FY","BEST_FPERIOD_OVERRIDE=FY","FILING_STATUS=MR","SCALING_FORMAT=MLN","Sort=A","Dates=H","DateFormat=P","Fill=—","Direction=H","UseDPDF=Y")</f>
        <v>-145</v>
      </c>
      <c r="J26" s="20">
        <f>_xll.BDH("FIS US Equity","CF_PURCHASE_OF_FIXED_PROD_ASSETS","FY 2018","FY 2018","Currency=USD","Period=FY","BEST_FPERIOD_OVERRIDE=FY","FILING_STATUS=MR","SCALING_FORMAT=MLN","Sort=A","Dates=H","DateFormat=P","Fill=—","Direction=H","UseDPDF=Y")</f>
        <v>-127</v>
      </c>
      <c r="K26" s="20">
        <f>_xll.BDH("FIS US Equity","CF_PURCHASE_OF_FIXED_PROD_ASSETS","FY 2019","FY 2019","Currency=USD","Period=FY","BEST_FPERIOD_OVERRIDE=FY","FILING_STATUS=MR","SCALING_FORMAT=MLN","Sort=A","Dates=H","DateFormat=P","Fill=—","Direction=H","UseDPDF=Y")</f>
        <v>-200</v>
      </c>
      <c r="L26" s="21">
        <v>-251</v>
      </c>
    </row>
    <row r="27" spans="1:12" x14ac:dyDescent="0.45">
      <c r="A27" s="11" t="s">
        <v>62</v>
      </c>
      <c r="B27" s="11" t="s">
        <v>63</v>
      </c>
      <c r="C27" s="20">
        <f>_xll.BDH("FIS US Equity","CF_ACQUISITION_OF_INTANG_ASSETS","FY 2011","FY 2011","Currency=USD","Period=FY","BEST_FPERIOD_OVERRIDE=FY","FILING_STATUS=MR","SCALING_FORMAT=MLN","Sort=A","Dates=H","DateFormat=P","Fill=—","Direction=H","UseDPDF=Y")</f>
        <v>-176.4</v>
      </c>
      <c r="D27" s="20">
        <f>_xll.BDH("FIS US Equity","CF_ACQUISITION_OF_INTANG_ASSETS","FY 2012","FY 2012","Currency=USD","Period=FY","BEST_FPERIOD_OVERRIDE=FY","FILING_STATUS=MR","SCALING_FORMAT=MLN","Sort=A","Dates=H","DateFormat=P","Fill=—","Direction=H","UseDPDF=Y")</f>
        <v>-172.4</v>
      </c>
      <c r="E27" s="20">
        <f>_xll.BDH("FIS US Equity","CF_ACQUISITION_OF_INTANG_ASSETS","FY 2013","FY 2013","Currency=USD","Period=FY","BEST_FPERIOD_OVERRIDE=FY","FILING_STATUS=MR","SCALING_FORMAT=MLN","Sort=A","Dates=H","DateFormat=P","Fill=—","Direction=H","UseDPDF=Y")</f>
        <v>-204.5</v>
      </c>
      <c r="F27" s="20">
        <f>_xll.BDH("FIS US Equity","CF_ACQUISITION_OF_INTANG_ASSETS","FY 2014","FY 2014","Currency=USD","Period=FY","BEST_FPERIOD_OVERRIDE=FY","FILING_STATUS=MR","SCALING_FORMAT=MLN","Sort=A","Dates=H","DateFormat=P","Fill=—","Direction=H","UseDPDF=Y")</f>
        <v>-223</v>
      </c>
      <c r="G27" s="20">
        <f>_xll.BDH("FIS US Equity","CF_ACQUISITION_OF_INTANG_ASSETS","FY 2015","FY 2015","Currency=USD","Period=FY","BEST_FPERIOD_OVERRIDE=FY","FILING_STATUS=MR","SCALING_FORMAT=MLN","Sort=A","Dates=H","DateFormat=P","Fill=—","Direction=H","UseDPDF=Y")</f>
        <v>-282</v>
      </c>
      <c r="H27" s="20">
        <f>_xll.BDH("FIS US Equity","CF_ACQUISITION_OF_INTANG_ASSETS","FY 2016","FY 2016","Currency=USD","Period=FY","BEST_FPERIOD_OVERRIDE=FY","FILING_STATUS=MR","SCALING_FORMAT=MLN","Sort=A","Dates=H","DateFormat=P","Fill=—","Direction=H","UseDPDF=Y")</f>
        <v>-471</v>
      </c>
      <c r="I27" s="20">
        <f>_xll.BDH("FIS US Equity","CF_ACQUISITION_OF_INTANG_ASSETS","FY 2017","FY 2017","Currency=USD","Period=FY","BEST_FPERIOD_OVERRIDE=FY","FILING_STATUS=MR","SCALING_FORMAT=MLN","Sort=A","Dates=H","DateFormat=P","Fill=—","Direction=H","UseDPDF=Y")</f>
        <v>-468</v>
      </c>
      <c r="J27" s="20">
        <f>_xll.BDH("FIS US Equity","CF_ACQUISITION_OF_INTANG_ASSETS","FY 2018","FY 2018","Currency=USD","Period=FY","BEST_FPERIOD_OVERRIDE=FY","FILING_STATUS=MR","SCALING_FORMAT=MLN","Sort=A","Dates=H","DateFormat=P","Fill=—","Direction=H","UseDPDF=Y")</f>
        <v>-495</v>
      </c>
      <c r="K27" s="20">
        <f>_xll.BDH("FIS US Equity","CF_ACQUISITION_OF_INTANG_ASSETS","FY 2019","FY 2019","Currency=USD","Period=FY","BEST_FPERIOD_OVERRIDE=FY","FILING_STATUS=MR","SCALING_FORMAT=MLN","Sort=A","Dates=H","DateFormat=P","Fill=—","Direction=H","UseDPDF=Y")</f>
        <v>-628</v>
      </c>
      <c r="L27" s="21">
        <v>-871</v>
      </c>
    </row>
    <row r="28" spans="1:12" x14ac:dyDescent="0.45">
      <c r="A28" s="10" t="s">
        <v>64</v>
      </c>
      <c r="B28" s="10" t="s">
        <v>65</v>
      </c>
      <c r="C28" s="12">
        <f>_xll.BDH("FIS US Equity","NET_CHG_IN_LT_INVEST_DETAILED","FY 2011","FY 2011","Currency=USD","Period=FY","BEST_FPERIOD_OVERRIDE=FY","FILING_STATUS=MR","SCALING_FORMAT=MLN","Sort=A","Dates=H","DateFormat=P","Fill=—","Direction=H","UseDPDF=Y")</f>
        <v>0</v>
      </c>
      <c r="D28" s="12">
        <f>_xll.BDH("FIS US Equity","NET_CHG_IN_LT_INVEST_DETAILED","FY 2012","FY 2012","Currency=USD","Period=FY","BEST_FPERIOD_OVERRIDE=FY","FILING_STATUS=MR","SCALING_FORMAT=MLN","Sort=A","Dates=H","DateFormat=P","Fill=—","Direction=H","UseDPDF=Y")</f>
        <v>0</v>
      </c>
      <c r="E28" s="12">
        <f>_xll.BDH("FIS US Equity","NET_CHG_IN_LT_INVEST_DETAILED","FY 2013","FY 2013","Currency=USD","Period=FY","BEST_FPERIOD_OVERRIDE=FY","FILING_STATUS=MR","SCALING_FORMAT=MLN","Sort=A","Dates=H","DateFormat=P","Fill=—","Direction=H","UseDPDF=Y")</f>
        <v>0</v>
      </c>
      <c r="F28" s="12">
        <f>_xll.BDH("FIS US Equity","NET_CHG_IN_LT_INVEST_DETAILED","FY 2014","FY 2014","Currency=USD","Period=FY","BEST_FPERIOD_OVERRIDE=FY","FILING_STATUS=MR","SCALING_FORMAT=MLN","Sort=A","Dates=H","DateFormat=P","Fill=—","Direction=H","UseDPDF=Y")</f>
        <v>0</v>
      </c>
      <c r="G28" s="12">
        <f>_xll.BDH("FIS US Equity","NET_CHG_IN_LT_INVEST_DETAILED","FY 2015","FY 2015","Currency=USD","Period=FY","BEST_FPERIOD_OVERRIDE=FY","FILING_STATUS=MR","SCALING_FORMAT=MLN","Sort=A","Dates=H","DateFormat=P","Fill=—","Direction=H","UseDPDF=Y")</f>
        <v>0</v>
      </c>
      <c r="H28" s="12">
        <f>_xll.BDH("FIS US Equity","NET_CHG_IN_LT_INVEST_DETAILED","FY 2016","FY 2016","Currency=USD","Period=FY","BEST_FPERIOD_OVERRIDE=FY","FILING_STATUS=MR","SCALING_FORMAT=MLN","Sort=A","Dates=H","DateFormat=P","Fill=—","Direction=H","UseDPDF=Y")</f>
        <v>0</v>
      </c>
      <c r="I28" s="12">
        <f>_xll.BDH("FIS US Equity","NET_CHG_IN_LT_INVEST_DETAILED","FY 2017","FY 2017","Currency=USD","Period=FY","BEST_FPERIOD_OVERRIDE=FY","FILING_STATUS=MR","SCALING_FORMAT=MLN","Sort=A","Dates=H","DateFormat=P","Fill=—","Direction=H","UseDPDF=Y")</f>
        <v>0</v>
      </c>
      <c r="J28" s="12">
        <f>_xll.BDH("FIS US Equity","NET_CHG_IN_LT_INVEST_DETAILED","FY 2018","FY 2018","Currency=USD","Period=FY","BEST_FPERIOD_OVERRIDE=FY","FILING_STATUS=MR","SCALING_FORMAT=MLN","Sort=A","Dates=H","DateFormat=P","Fill=—","Direction=H","UseDPDF=Y")</f>
        <v>0</v>
      </c>
      <c r="K28" s="12">
        <f>_xll.BDH("FIS US Equity","NET_CHG_IN_LT_INVEST_DETAILED","FY 2019","FY 2019","Currency=USD","Period=FY","BEST_FPERIOD_OVERRIDE=FY","FILING_STATUS=MR","SCALING_FORMAT=MLN","Sort=A","Dates=H","DateFormat=P","Fill=—","Direction=H","UseDPDF=Y")</f>
        <v>0</v>
      </c>
      <c r="L28" s="14">
        <v>0</v>
      </c>
    </row>
    <row r="29" spans="1:12" x14ac:dyDescent="0.45">
      <c r="A29" s="10" t="s">
        <v>66</v>
      </c>
      <c r="B29" s="10" t="s">
        <v>67</v>
      </c>
      <c r="C29" s="12">
        <f>_xll.BDH("FIS US Equity","CF_DECR_INVEST","FY 2011","FY 2011","Currency=USD","Period=FY","BEST_FPERIOD_OVERRIDE=FY","FILING_STATUS=MR","SCALING_FORMAT=MLN","Sort=A","Dates=H","DateFormat=P","Fill=—","Direction=H","UseDPDF=Y")</f>
        <v>0</v>
      </c>
      <c r="D29" s="12">
        <f>_xll.BDH("FIS US Equity","CF_DECR_INVEST","FY 2012","FY 2012","Currency=USD","Period=FY","BEST_FPERIOD_OVERRIDE=FY","FILING_STATUS=MR","SCALING_FORMAT=MLN","Sort=A","Dates=H","DateFormat=P","Fill=—","Direction=H","UseDPDF=Y")</f>
        <v>0</v>
      </c>
      <c r="E29" s="12">
        <f>_xll.BDH("FIS US Equity","CF_DECR_INVEST","FY 2013","FY 2013","Currency=USD","Period=FY","BEST_FPERIOD_OVERRIDE=FY","FILING_STATUS=MR","SCALING_FORMAT=MLN","Sort=A","Dates=H","DateFormat=P","Fill=—","Direction=H","UseDPDF=Y")</f>
        <v>0</v>
      </c>
      <c r="F29" s="12">
        <f>_xll.BDH("FIS US Equity","CF_DECR_INVEST","FY 2014","FY 2014","Currency=USD","Period=FY","BEST_FPERIOD_OVERRIDE=FY","FILING_STATUS=MR","SCALING_FORMAT=MLN","Sort=A","Dates=H","DateFormat=P","Fill=—","Direction=H","UseDPDF=Y")</f>
        <v>0</v>
      </c>
      <c r="G29" s="12">
        <f>_xll.BDH("FIS US Equity","CF_DECR_INVEST","FY 2015","FY 2015","Currency=USD","Period=FY","BEST_FPERIOD_OVERRIDE=FY","FILING_STATUS=MR","SCALING_FORMAT=MLN","Sort=A","Dates=H","DateFormat=P","Fill=—","Direction=H","UseDPDF=Y")</f>
        <v>0</v>
      </c>
      <c r="H29" s="12">
        <f>_xll.BDH("FIS US Equity","CF_DECR_INVEST","FY 2016","FY 2016","Currency=USD","Period=FY","BEST_FPERIOD_OVERRIDE=FY","FILING_STATUS=MR","SCALING_FORMAT=MLN","Sort=A","Dates=H","DateFormat=P","Fill=—","Direction=H","UseDPDF=Y")</f>
        <v>0</v>
      </c>
      <c r="I29" s="12">
        <f>_xll.BDH("FIS US Equity","CF_DECR_INVEST","FY 2017","FY 2017","Currency=USD","Period=FY","BEST_FPERIOD_OVERRIDE=FY","FILING_STATUS=MR","SCALING_FORMAT=MLN","Sort=A","Dates=H","DateFormat=P","Fill=—","Direction=H","UseDPDF=Y")</f>
        <v>0</v>
      </c>
      <c r="J29" s="12">
        <f>_xll.BDH("FIS US Equity","CF_DECR_INVEST","FY 2018","FY 2018","Currency=USD","Period=FY","BEST_FPERIOD_OVERRIDE=FY","FILING_STATUS=MR","SCALING_FORMAT=MLN","Sort=A","Dates=H","DateFormat=P","Fill=—","Direction=H","UseDPDF=Y")</f>
        <v>0</v>
      </c>
      <c r="K29" s="12">
        <f>_xll.BDH("FIS US Equity","CF_DECR_INVEST","FY 2019","FY 2019","Currency=USD","Period=FY","BEST_FPERIOD_OVERRIDE=FY","FILING_STATUS=MR","SCALING_FORMAT=MLN","Sort=A","Dates=H","DateFormat=P","Fill=—","Direction=H","UseDPDF=Y")</f>
        <v>0</v>
      </c>
      <c r="L29" s="14">
        <v>0</v>
      </c>
    </row>
    <row r="30" spans="1:12" x14ac:dyDescent="0.45">
      <c r="A30" s="10" t="s">
        <v>68</v>
      </c>
      <c r="B30" s="10" t="s">
        <v>69</v>
      </c>
      <c r="C30" s="12">
        <f>_xll.BDH("FIS US Equity","CF_INCR_INVEST","FY 2011","FY 2011","Currency=USD","Period=FY","BEST_FPERIOD_OVERRIDE=FY","FILING_STATUS=MR","SCALING_FORMAT=MLN","Sort=A","Dates=H","DateFormat=P","Fill=—","Direction=H","UseDPDF=Y")</f>
        <v>0</v>
      </c>
      <c r="D30" s="12">
        <f>_xll.BDH("FIS US Equity","CF_INCR_INVEST","FY 2012","FY 2012","Currency=USD","Period=FY","BEST_FPERIOD_OVERRIDE=FY","FILING_STATUS=MR","SCALING_FORMAT=MLN","Sort=A","Dates=H","DateFormat=P","Fill=—","Direction=H","UseDPDF=Y")</f>
        <v>0</v>
      </c>
      <c r="E30" s="12">
        <f>_xll.BDH("FIS US Equity","CF_INCR_INVEST","FY 2013","FY 2013","Currency=USD","Period=FY","BEST_FPERIOD_OVERRIDE=FY","FILING_STATUS=MR","SCALING_FORMAT=MLN","Sort=A","Dates=H","DateFormat=P","Fill=—","Direction=H","UseDPDF=Y")</f>
        <v>0</v>
      </c>
      <c r="F30" s="12">
        <f>_xll.BDH("FIS US Equity","CF_INCR_INVEST","FY 2014","FY 2014","Currency=USD","Period=FY","BEST_FPERIOD_OVERRIDE=FY","FILING_STATUS=MR","SCALING_FORMAT=MLN","Sort=A","Dates=H","DateFormat=P","Fill=—","Direction=H","UseDPDF=Y")</f>
        <v>0</v>
      </c>
      <c r="G30" s="12">
        <f>_xll.BDH("FIS US Equity","CF_INCR_INVEST","FY 2015","FY 2015","Currency=USD","Period=FY","BEST_FPERIOD_OVERRIDE=FY","FILING_STATUS=MR","SCALING_FORMAT=MLN","Sort=A","Dates=H","DateFormat=P","Fill=—","Direction=H","UseDPDF=Y")</f>
        <v>0</v>
      </c>
      <c r="H30" s="12">
        <f>_xll.BDH("FIS US Equity","CF_INCR_INVEST","FY 2016","FY 2016","Currency=USD","Period=FY","BEST_FPERIOD_OVERRIDE=FY","FILING_STATUS=MR","SCALING_FORMAT=MLN","Sort=A","Dates=H","DateFormat=P","Fill=—","Direction=H","UseDPDF=Y")</f>
        <v>0</v>
      </c>
      <c r="I30" s="12">
        <f>_xll.BDH("FIS US Equity","CF_INCR_INVEST","FY 2017","FY 2017","Currency=USD","Period=FY","BEST_FPERIOD_OVERRIDE=FY","FILING_STATUS=MR","SCALING_FORMAT=MLN","Sort=A","Dates=H","DateFormat=P","Fill=—","Direction=H","UseDPDF=Y")</f>
        <v>0</v>
      </c>
      <c r="J30" s="12">
        <f>_xll.BDH("FIS US Equity","CF_INCR_INVEST","FY 2018","FY 2018","Currency=USD","Period=FY","BEST_FPERIOD_OVERRIDE=FY","FILING_STATUS=MR","SCALING_FORMAT=MLN","Sort=A","Dates=H","DateFormat=P","Fill=—","Direction=H","UseDPDF=Y")</f>
        <v>0</v>
      </c>
      <c r="K30" s="12">
        <f>_xll.BDH("FIS US Equity","CF_INCR_INVEST","FY 2019","FY 2019","Currency=USD","Period=FY","BEST_FPERIOD_OVERRIDE=FY","FILING_STATUS=MR","SCALING_FORMAT=MLN","Sort=A","Dates=H","DateFormat=P","Fill=—","Direction=H","UseDPDF=Y")</f>
        <v>0</v>
      </c>
      <c r="L30" s="14">
        <v>0</v>
      </c>
    </row>
    <row r="31" spans="1:12" x14ac:dyDescent="0.45">
      <c r="A31" s="10" t="s">
        <v>70</v>
      </c>
      <c r="B31" s="10" t="s">
        <v>71</v>
      </c>
      <c r="C31" s="12">
        <f>_xll.BDH("FIS US Equity","CF_NT_CSH_RCVD_PD_FOR_ACQUIS_DIV","FY 2011","FY 2011","Currency=USD","Period=FY","BEST_FPERIOD_OVERRIDE=FY","FILING_STATUS=MR","SCALING_FORMAT=MLN","Sort=A","Dates=H","DateFormat=P","Fill=—","Direction=H","UseDPDF=Y")</f>
        <v>-20.2</v>
      </c>
      <c r="D31" s="12">
        <f>_xll.BDH("FIS US Equity","CF_NT_CSH_RCVD_PD_FOR_ACQUIS_DIV","FY 2012","FY 2012","Currency=USD","Period=FY","BEST_FPERIOD_OVERRIDE=FY","FILING_STATUS=MR","SCALING_FORMAT=MLN","Sort=A","Dates=H","DateFormat=P","Fill=—","Direction=H","UseDPDF=Y")</f>
        <v>-63.6</v>
      </c>
      <c r="E31" s="12">
        <f>_xll.BDH("FIS US Equity","CF_NT_CSH_RCVD_PD_FOR_ACQUIS_DIV","FY 2013","FY 2013","Currency=USD","Period=FY","BEST_FPERIOD_OVERRIDE=FY","FILING_STATUS=MR","SCALING_FORMAT=MLN","Sort=A","Dates=H","DateFormat=P","Fill=—","Direction=H","UseDPDF=Y")</f>
        <v>-150.5</v>
      </c>
      <c r="F31" s="12">
        <f>_xll.BDH("FIS US Equity","CF_NT_CSH_RCVD_PD_FOR_ACQUIS_DIV","FY 2014","FY 2014","Currency=USD","Period=FY","BEST_FPERIOD_OVERRIDE=FY","FILING_STATUS=MR","SCALING_FORMAT=MLN","Sort=A","Dates=H","DateFormat=P","Fill=—","Direction=H","UseDPDF=Y")</f>
        <v>-595</v>
      </c>
      <c r="G31" s="12">
        <f>_xll.BDH("FIS US Equity","CF_NT_CSH_RCVD_PD_FOR_ACQUIS_DIV","FY 2015","FY 2015","Currency=USD","Period=FY","BEST_FPERIOD_OVERRIDE=FY","FILING_STATUS=MR","SCALING_FORMAT=MLN","Sort=A","Dates=H","DateFormat=P","Fill=—","Direction=H","UseDPDF=Y")</f>
        <v>-1720</v>
      </c>
      <c r="H31" s="12">
        <f>_xll.BDH("FIS US Equity","CF_NT_CSH_RCVD_PD_FOR_ACQUIS_DIV","FY 2016","FY 2016","Currency=USD","Period=FY","BEST_FPERIOD_OVERRIDE=FY","FILING_STATUS=MR","SCALING_FORMAT=MLN","Sort=A","Dates=H","DateFormat=P","Fill=—","Direction=H","UseDPDF=Y")</f>
        <v>0</v>
      </c>
      <c r="I31" s="12">
        <f>_xll.BDH("FIS US Equity","CF_NT_CSH_RCVD_PD_FOR_ACQUIS_DIV","FY 2017","FY 2017","Currency=USD","Period=FY","BEST_FPERIOD_OVERRIDE=FY","FILING_STATUS=MR","SCALING_FORMAT=MLN","Sort=A","Dates=H","DateFormat=P","Fill=—","Direction=H","UseDPDF=Y")</f>
        <v>1307</v>
      </c>
      <c r="J31" s="12">
        <f>_xll.BDH("FIS US Equity","CF_NT_CSH_RCVD_PD_FOR_ACQUIS_DIV","FY 2018","FY 2018","Currency=USD","Period=FY","BEST_FPERIOD_OVERRIDE=FY","FILING_STATUS=MR","SCALING_FORMAT=MLN","Sort=A","Dates=H","DateFormat=P","Fill=—","Direction=H","UseDPDF=Y")</f>
        <v>0</v>
      </c>
      <c r="K31" s="12">
        <f>_xll.BDH("FIS US Equity","CF_NT_CSH_RCVD_PD_FOR_ACQUIS_DIV","FY 2019","FY 2019","Currency=USD","Period=FY","BEST_FPERIOD_OVERRIDE=FY","FILING_STATUS=MR","SCALING_FORMAT=MLN","Sort=A","Dates=H","DateFormat=P","Fill=—","Direction=H","UseDPDF=Y")</f>
        <v>-6583</v>
      </c>
      <c r="L31" s="14">
        <v>-472</v>
      </c>
    </row>
    <row r="32" spans="1:12" x14ac:dyDescent="0.45">
      <c r="A32" s="10" t="s">
        <v>72</v>
      </c>
      <c r="B32" s="10" t="s">
        <v>73</v>
      </c>
      <c r="C32" s="12">
        <f>_xll.BDH("FIS US Equity","CF_CASH_FOR_DIVESTITURES","FY 2011","FY 2011","Currency=USD","Period=FY","BEST_FPERIOD_OVERRIDE=FY","FILING_STATUS=MR","SCALING_FORMAT=MLN","Sort=A","Dates=H","DateFormat=P","Fill=—","Direction=H","UseDPDF=Y")</f>
        <v>0</v>
      </c>
      <c r="D32" s="12">
        <f>_xll.BDH("FIS US Equity","CF_CASH_FOR_DIVESTITURES","FY 2012","FY 2012","Currency=USD","Period=FY","BEST_FPERIOD_OVERRIDE=FY","FILING_STATUS=MR","SCALING_FORMAT=MLN","Sort=A","Dates=H","DateFormat=P","Fill=—","Direction=H","UseDPDF=Y")</f>
        <v>0</v>
      </c>
      <c r="E32" s="12">
        <f>_xll.BDH("FIS US Equity","CF_CASH_FOR_DIVESTITURES","FY 2013","FY 2013","Currency=USD","Period=FY","BEST_FPERIOD_OVERRIDE=FY","FILING_STATUS=MR","SCALING_FORMAT=MLN","Sort=A","Dates=H","DateFormat=P","Fill=—","Direction=H","UseDPDF=Y")</f>
        <v>0</v>
      </c>
      <c r="F32" s="12">
        <f>_xll.BDH("FIS US Equity","CF_CASH_FOR_DIVESTITURES","FY 2014","FY 2014","Currency=USD","Period=FY","BEST_FPERIOD_OVERRIDE=FY","FILING_STATUS=MR","SCALING_FORMAT=MLN","Sort=A","Dates=H","DateFormat=P","Fill=—","Direction=H","UseDPDF=Y")</f>
        <v>0</v>
      </c>
      <c r="G32" s="12">
        <f>_xll.BDH("FIS US Equity","CF_CASH_FOR_DIVESTITURES","FY 2015","FY 2015","Currency=USD","Period=FY","BEST_FPERIOD_OVERRIDE=FY","FILING_STATUS=MR","SCALING_FORMAT=MLN","Sort=A","Dates=H","DateFormat=P","Fill=—","Direction=H","UseDPDF=Y")</f>
        <v>0</v>
      </c>
      <c r="H32" s="12">
        <f>_xll.BDH("FIS US Equity","CF_CASH_FOR_DIVESTITURES","FY 2016","FY 2016","Currency=USD","Period=FY","BEST_FPERIOD_OVERRIDE=FY","FILING_STATUS=MR","SCALING_FORMAT=MLN","Sort=A","Dates=H","DateFormat=P","Fill=—","Direction=H","UseDPDF=Y")</f>
        <v>0</v>
      </c>
      <c r="I32" s="12">
        <f>_xll.BDH("FIS US Equity","CF_CASH_FOR_DIVESTITURES","FY 2017","FY 2017","Currency=USD","Period=FY","BEST_FPERIOD_OVERRIDE=FY","FILING_STATUS=MR","SCALING_FORMAT=MLN","Sort=A","Dates=H","DateFormat=P","Fill=—","Direction=H","UseDPDF=Y")</f>
        <v>1307</v>
      </c>
      <c r="J32" s="12">
        <f>_xll.BDH("FIS US Equity","CF_CASH_FOR_DIVESTITURES","FY 2018","FY 2018","Currency=USD","Period=FY","BEST_FPERIOD_OVERRIDE=FY","FILING_STATUS=MR","SCALING_FORMAT=MLN","Sort=A","Dates=H","DateFormat=P","Fill=—","Direction=H","UseDPDF=Y")</f>
        <v>0</v>
      </c>
      <c r="K32" s="12">
        <f>_xll.BDH("FIS US Equity","CF_CASH_FOR_DIVESTITURES","FY 2019","FY 2019","Currency=USD","Period=FY","BEST_FPERIOD_OVERRIDE=FY","FILING_STATUS=MR","SCALING_FORMAT=MLN","Sort=A","Dates=H","DateFormat=P","Fill=—","Direction=H","UseDPDF=Y")</f>
        <v>49</v>
      </c>
      <c r="L32" s="14">
        <v>0</v>
      </c>
    </row>
    <row r="33" spans="1:12" x14ac:dyDescent="0.45">
      <c r="A33" s="10" t="s">
        <v>74</v>
      </c>
      <c r="B33" s="10" t="s">
        <v>75</v>
      </c>
      <c r="C33" s="12">
        <f>_xll.BDH("FIS US Equity","CF_CASH_FOR_ACQUIS_SUBSIDIARIES","FY 2011","FY 2011","Currency=USD","Period=FY","BEST_FPERIOD_OVERRIDE=FY","FILING_STATUS=MR","SCALING_FORMAT=MLN","Sort=A","Dates=H","DateFormat=P","Fill=—","Direction=H","UseDPDF=Y")</f>
        <v>-20.2</v>
      </c>
      <c r="D33" s="12">
        <f>_xll.BDH("FIS US Equity","CF_CASH_FOR_ACQUIS_SUBSIDIARIES","FY 2012","FY 2012","Currency=USD","Period=FY","BEST_FPERIOD_OVERRIDE=FY","FILING_STATUS=MR","SCALING_FORMAT=MLN","Sort=A","Dates=H","DateFormat=P","Fill=—","Direction=H","UseDPDF=Y")</f>
        <v>-63.6</v>
      </c>
      <c r="E33" s="12">
        <f>_xll.BDH("FIS US Equity","CF_CASH_FOR_ACQUIS_SUBSIDIARIES","FY 2013","FY 2013","Currency=USD","Period=FY","BEST_FPERIOD_OVERRIDE=FY","FILING_STATUS=MR","SCALING_FORMAT=MLN","Sort=A","Dates=H","DateFormat=P","Fill=—","Direction=H","UseDPDF=Y")</f>
        <v>-150.5</v>
      </c>
      <c r="F33" s="12">
        <f>_xll.BDH("FIS US Equity","CF_CASH_FOR_ACQUIS_SUBSIDIARIES","FY 2014","FY 2014","Currency=USD","Period=FY","BEST_FPERIOD_OVERRIDE=FY","FILING_STATUS=MR","SCALING_FORMAT=MLN","Sort=A","Dates=H","DateFormat=P","Fill=—","Direction=H","UseDPDF=Y")</f>
        <v>-595</v>
      </c>
      <c r="G33" s="12">
        <f>_xll.BDH("FIS US Equity","CF_CASH_FOR_ACQUIS_SUBSIDIARIES","FY 2015","FY 2015","Currency=USD","Period=FY","BEST_FPERIOD_OVERRIDE=FY","FILING_STATUS=MR","SCALING_FORMAT=MLN","Sort=A","Dates=H","DateFormat=P","Fill=—","Direction=H","UseDPDF=Y")</f>
        <v>-1720</v>
      </c>
      <c r="H33" s="12">
        <f>_xll.BDH("FIS US Equity","CF_CASH_FOR_ACQUIS_SUBSIDIARIES","FY 2016","FY 2016","Currency=USD","Period=FY","BEST_FPERIOD_OVERRIDE=FY","FILING_STATUS=MR","SCALING_FORMAT=MLN","Sort=A","Dates=H","DateFormat=P","Fill=—","Direction=H","UseDPDF=Y")</f>
        <v>0</v>
      </c>
      <c r="I33" s="12">
        <f>_xll.BDH("FIS US Equity","CF_CASH_FOR_ACQUIS_SUBSIDIARIES","FY 2017","FY 2017","Currency=USD","Period=FY","BEST_FPERIOD_OVERRIDE=FY","FILING_STATUS=MR","SCALING_FORMAT=MLN","Sort=A","Dates=H","DateFormat=P","Fill=—","Direction=H","UseDPDF=Y")</f>
        <v>0</v>
      </c>
      <c r="J33" s="12">
        <f>_xll.BDH("FIS US Equity","CF_CASH_FOR_ACQUIS_SUBSIDIARIES","FY 2018","FY 2018","Currency=USD","Period=FY","BEST_FPERIOD_OVERRIDE=FY","FILING_STATUS=MR","SCALING_FORMAT=MLN","Sort=A","Dates=H","DateFormat=P","Fill=—","Direction=H","UseDPDF=Y")</f>
        <v>0</v>
      </c>
      <c r="K33" s="12">
        <f>_xll.BDH("FIS US Equity","CF_CASH_FOR_ACQUIS_SUBSIDIARIES","FY 2019","FY 2019","Currency=USD","Period=FY","BEST_FPERIOD_OVERRIDE=FY","FILING_STATUS=MR","SCALING_FORMAT=MLN","Sort=A","Dates=H","DateFormat=P","Fill=—","Direction=H","UseDPDF=Y")</f>
        <v>-6632</v>
      </c>
      <c r="L33" s="14">
        <v>-472</v>
      </c>
    </row>
    <row r="34" spans="1:12" x14ac:dyDescent="0.45">
      <c r="A34" s="10" t="s">
        <v>76</v>
      </c>
      <c r="B34" s="10" t="s">
        <v>77</v>
      </c>
      <c r="C34" s="12">
        <f>_xll.BDH("FIS US Equity","CF_CASH_FOR_JOINT_VENTURES_ASSOC","FY 2011","FY 2011","Currency=USD","Period=FY","BEST_FPERIOD_OVERRIDE=FY","FILING_STATUS=MR","SCALING_FORMAT=MLN","Sort=A","Dates=H","DateFormat=P","Fill=—","Direction=H","UseDPDF=Y")</f>
        <v>0</v>
      </c>
      <c r="D34" s="12">
        <f>_xll.BDH("FIS US Equity","CF_CASH_FOR_JOINT_VENTURES_ASSOC","FY 2012","FY 2012","Currency=USD","Period=FY","BEST_FPERIOD_OVERRIDE=FY","FILING_STATUS=MR","SCALING_FORMAT=MLN","Sort=A","Dates=H","DateFormat=P","Fill=—","Direction=H","UseDPDF=Y")</f>
        <v>0</v>
      </c>
      <c r="E34" s="12">
        <f>_xll.BDH("FIS US Equity","CF_CASH_FOR_JOINT_VENTURES_ASSOC","FY 2013","FY 2013","Currency=USD","Period=FY","BEST_FPERIOD_OVERRIDE=FY","FILING_STATUS=MR","SCALING_FORMAT=MLN","Sort=A","Dates=H","DateFormat=P","Fill=—","Direction=H","UseDPDF=Y")</f>
        <v>0</v>
      </c>
      <c r="F34" s="12">
        <f>_xll.BDH("FIS US Equity","CF_CASH_FOR_JOINT_VENTURES_ASSOC","FY 2014","FY 2014","Currency=USD","Period=FY","BEST_FPERIOD_OVERRIDE=FY","FILING_STATUS=MR","SCALING_FORMAT=MLN","Sort=A","Dates=H","DateFormat=P","Fill=—","Direction=H","UseDPDF=Y")</f>
        <v>0</v>
      </c>
      <c r="G34" s="12">
        <f>_xll.BDH("FIS US Equity","CF_CASH_FOR_JOINT_VENTURES_ASSOC","FY 2015","FY 2015","Currency=USD","Period=FY","BEST_FPERIOD_OVERRIDE=FY","FILING_STATUS=MR","SCALING_FORMAT=MLN","Sort=A","Dates=H","DateFormat=P","Fill=—","Direction=H","UseDPDF=Y")</f>
        <v>0</v>
      </c>
      <c r="H34" s="12">
        <f>_xll.BDH("FIS US Equity","CF_CASH_FOR_JOINT_VENTURES_ASSOC","FY 2016","FY 2016","Currency=USD","Period=FY","BEST_FPERIOD_OVERRIDE=FY","FILING_STATUS=MR","SCALING_FORMAT=MLN","Sort=A","Dates=H","DateFormat=P","Fill=—","Direction=H","UseDPDF=Y")</f>
        <v>0</v>
      </c>
      <c r="I34" s="12">
        <f>_xll.BDH("FIS US Equity","CF_CASH_FOR_JOINT_VENTURES_ASSOC","FY 2017","FY 2017","Currency=USD","Period=FY","BEST_FPERIOD_OVERRIDE=FY","FILING_STATUS=MR","SCALING_FORMAT=MLN","Sort=A","Dates=H","DateFormat=P","Fill=—","Direction=H","UseDPDF=Y")</f>
        <v>0</v>
      </c>
      <c r="J34" s="12">
        <f>_xll.BDH("FIS US Equity","CF_CASH_FOR_JOINT_VENTURES_ASSOC","FY 2018","FY 2018","Currency=USD","Period=FY","BEST_FPERIOD_OVERRIDE=FY","FILING_STATUS=MR","SCALING_FORMAT=MLN","Sort=A","Dates=H","DateFormat=P","Fill=—","Direction=H","UseDPDF=Y")</f>
        <v>0</v>
      </c>
      <c r="K34" s="12">
        <f>_xll.BDH("FIS US Equity","CF_CASH_FOR_JOINT_VENTURES_ASSOC","FY 2019","FY 2019","Currency=USD","Period=FY","BEST_FPERIOD_OVERRIDE=FY","FILING_STATUS=MR","SCALING_FORMAT=MLN","Sort=A","Dates=H","DateFormat=P","Fill=—","Direction=H","UseDPDF=Y")</f>
        <v>0</v>
      </c>
      <c r="L34" s="14">
        <v>0</v>
      </c>
    </row>
    <row r="35" spans="1:12" x14ac:dyDescent="0.45">
      <c r="A35" s="10" t="s">
        <v>78</v>
      </c>
      <c r="B35" s="10" t="s">
        <v>79</v>
      </c>
      <c r="C35" s="12">
        <f>_xll.BDH("FIS US Equity","OTHER_INVESTING_ACT_DETAILED","FY 2011","FY 2011","Currency=USD","Period=FY","BEST_FPERIOD_OVERRIDE=FY","FILING_STATUS=MR","SCALING_FORMAT=MLN","Sort=A","Dates=H","DateFormat=P","Fill=—","Direction=H","UseDPDF=Y")</f>
        <v>21.3</v>
      </c>
      <c r="D35" s="12">
        <f>_xll.BDH("FIS US Equity","OTHER_INVESTING_ACT_DETAILED","FY 2012","FY 2012","Currency=USD","Period=FY","BEST_FPERIOD_OVERRIDE=FY","FILING_STATUS=MR","SCALING_FORMAT=MLN","Sort=A","Dates=H","DateFormat=P","Fill=—","Direction=H","UseDPDF=Y")</f>
        <v>336.5</v>
      </c>
      <c r="E35" s="12">
        <f>_xll.BDH("FIS US Equity","OTHER_INVESTING_ACT_DETAILED","FY 2013","FY 2013","Currency=USD","Period=FY","BEST_FPERIOD_OVERRIDE=FY","FILING_STATUS=MR","SCALING_FORMAT=MLN","Sort=A","Dates=H","DateFormat=P","Fill=—","Direction=H","UseDPDF=Y")</f>
        <v>-4.8</v>
      </c>
      <c r="F35" s="12">
        <f>_xll.BDH("FIS US Equity","OTHER_INVESTING_ACT_DETAILED","FY 2014","FY 2014","Currency=USD","Period=FY","BEST_FPERIOD_OVERRIDE=FY","FILING_STATUS=MR","SCALING_FORMAT=MLN","Sort=A","Dates=H","DateFormat=P","Fill=—","Direction=H","UseDPDF=Y")</f>
        <v>-18</v>
      </c>
      <c r="G35" s="12">
        <f>_xll.BDH("FIS US Equity","OTHER_INVESTING_ACT_DETAILED","FY 2015","FY 2015","Currency=USD","Period=FY","BEST_FPERIOD_OVERRIDE=FY","FILING_STATUS=MR","SCALING_FORMAT=MLN","Sort=A","Dates=H","DateFormat=P","Fill=—","Direction=H","UseDPDF=Y")</f>
        <v>-4</v>
      </c>
      <c r="H35" s="12">
        <f>_xll.BDH("FIS US Equity","OTHER_INVESTING_ACT_DETAILED","FY 2016","FY 2016","Currency=USD","Period=FY","BEST_FPERIOD_OVERRIDE=FY","FILING_STATUS=MR","SCALING_FORMAT=MLN","Sort=A","Dates=H","DateFormat=P","Fill=—","Direction=H","UseDPDF=Y")</f>
        <v>-3</v>
      </c>
      <c r="I35" s="12">
        <f>_xll.BDH("FIS US Equity","OTHER_INVESTING_ACT_DETAILED","FY 2017","FY 2017","Currency=USD","Period=FY","BEST_FPERIOD_OVERRIDE=FY","FILING_STATUS=MR","SCALING_FORMAT=MLN","Sort=A","Dates=H","DateFormat=P","Fill=—","Direction=H","UseDPDF=Y")</f>
        <v>-4</v>
      </c>
      <c r="J35" s="12">
        <f>_xll.BDH("FIS US Equity","OTHER_INVESTING_ACT_DETAILED","FY 2018","FY 2018","Currency=USD","Period=FY","BEST_FPERIOD_OVERRIDE=FY","FILING_STATUS=MR","SCALING_FORMAT=MLN","Sort=A","Dates=H","DateFormat=P","Fill=—","Direction=H","UseDPDF=Y")</f>
        <v>-46</v>
      </c>
      <c r="K35" s="12">
        <f>_xll.BDH("FIS US Equity","OTHER_INVESTING_ACT_DETAILED","FY 2019","FY 2019","Currency=USD","Period=FY","BEST_FPERIOD_OVERRIDE=FY","FILING_STATUS=MR","SCALING_FORMAT=MLN","Sort=A","Dates=H","DateFormat=P","Fill=—","Direction=H","UseDPDF=Y")</f>
        <v>-90</v>
      </c>
      <c r="L35" s="14">
        <v>45</v>
      </c>
    </row>
    <row r="36" spans="1:12" x14ac:dyDescent="0.45">
      <c r="A36" s="10" t="s">
        <v>46</v>
      </c>
      <c r="B36" s="10" t="s">
        <v>80</v>
      </c>
      <c r="C36" s="12" t="str">
        <f>_xll.BDH("FIS US Equity","CF_NET_CASH_DISCONTINUED_OPS_INV","FY 2011","FY 2011","Currency=USD","Period=FY","BEST_FPERIOD_OVERRIDE=FY","FILING_STATUS=MR","SCALING_FORMAT=MLN","Sort=A","Dates=H","DateFormat=P","Fill=—","Direction=H","UseDPDF=Y")</f>
        <v>—</v>
      </c>
      <c r="D36" s="12" t="str">
        <f>_xll.BDH("FIS US Equity","CF_NET_CASH_DISCONTINUED_OPS_INV","FY 2012","FY 2012","Currency=USD","Period=FY","BEST_FPERIOD_OVERRIDE=FY","FILING_STATUS=MR","SCALING_FORMAT=MLN","Sort=A","Dates=H","DateFormat=P","Fill=—","Direction=H","UseDPDF=Y")</f>
        <v>—</v>
      </c>
      <c r="E36" s="12" t="str">
        <f>_xll.BDH("FIS US Equity","CF_NET_CASH_DISCONTINUED_OPS_INV","FY 2013","FY 2013","Currency=USD","Period=FY","BEST_FPERIOD_OVERRIDE=FY","FILING_STATUS=MR","SCALING_FORMAT=MLN","Sort=A","Dates=H","DateFormat=P","Fill=—","Direction=H","UseDPDF=Y")</f>
        <v>—</v>
      </c>
      <c r="F36" s="12" t="str">
        <f>_xll.BDH("FIS US Equity","CF_NET_CASH_DISCONTINUED_OPS_INV","FY 2014","FY 2014","Currency=USD","Period=FY","BEST_FPERIOD_OVERRIDE=FY","FILING_STATUS=MR","SCALING_FORMAT=MLN","Sort=A","Dates=H","DateFormat=P","Fill=—","Direction=H","UseDPDF=Y")</f>
        <v>—</v>
      </c>
      <c r="G36" s="12" t="str">
        <f>_xll.BDH("FIS US Equity","CF_NET_CASH_DISCONTINUED_OPS_INV","FY 2015","FY 2015","Currency=USD","Period=FY","BEST_FPERIOD_OVERRIDE=FY","FILING_STATUS=MR","SCALING_FORMAT=MLN","Sort=A","Dates=H","DateFormat=P","Fill=—","Direction=H","UseDPDF=Y")</f>
        <v>—</v>
      </c>
      <c r="H36" s="12">
        <f>_xll.BDH("FIS US Equity","CF_NET_CASH_DISCONTINUED_OPS_INV","FY 2016","FY 2016","Currency=USD","Period=FY","BEST_FPERIOD_OVERRIDE=FY","FILING_STATUS=MR","SCALING_FORMAT=MLN","Sort=A","Dates=H","DateFormat=P","Fill=—","Direction=H","UseDPDF=Y")</f>
        <v>0</v>
      </c>
      <c r="I36" s="12" t="str">
        <f>_xll.BDH("FIS US Equity","CF_NET_CASH_DISCONTINUED_OPS_INV","FY 2017","FY 2017","Currency=USD","Period=FY","BEST_FPERIOD_OVERRIDE=FY","FILING_STATUS=MR","SCALING_FORMAT=MLN","Sort=A","Dates=H","DateFormat=P","Fill=—","Direction=H","UseDPDF=Y")</f>
        <v>—</v>
      </c>
      <c r="J36" s="12">
        <f>_xll.BDH("FIS US Equity","CF_NET_CASH_DISCONTINUED_OPS_INV","FY 2018","FY 2018","Currency=USD","Period=FY","BEST_FPERIOD_OVERRIDE=FY","FILING_STATUS=MR","SCALING_FORMAT=MLN","Sort=A","Dates=H","DateFormat=P","Fill=—","Direction=H","UseDPDF=Y")</f>
        <v>0</v>
      </c>
      <c r="K36" s="12">
        <f>_xll.BDH("FIS US Equity","CF_NET_CASH_DISCONTINUED_OPS_INV","FY 2019","FY 2019","Currency=USD","Period=FY","BEST_FPERIOD_OVERRIDE=FY","FILING_STATUS=MR","SCALING_FORMAT=MLN","Sort=A","Dates=H","DateFormat=P","Fill=—","Direction=H","UseDPDF=Y")</f>
        <v>0</v>
      </c>
      <c r="L36" s="14">
        <v>0</v>
      </c>
    </row>
    <row r="37" spans="1:12" x14ac:dyDescent="0.45">
      <c r="A37" s="6" t="s">
        <v>49</v>
      </c>
      <c r="B37" s="6" t="s">
        <v>81</v>
      </c>
      <c r="C37" s="17">
        <f>_xll.BDH("FIS US Equity","CF_CASH_FROM_INV_ACT","FY 2011","FY 2011","Currency=USD","Period=FY","BEST_FPERIOD_OVERRIDE=FY","FILING_STATUS=MR","SCALING_FORMAT=MLN","Sort=A","Dates=H","DateFormat=P","Fill=—","Direction=H","UseDPDF=Y")</f>
        <v>-299.2</v>
      </c>
      <c r="D37" s="17">
        <f>_xll.BDH("FIS US Equity","CF_CASH_FROM_INV_ACT","FY 2012","FY 2012","Currency=USD","Period=FY","BEST_FPERIOD_OVERRIDE=FY","FILING_STATUS=MR","SCALING_FORMAT=MLN","Sort=A","Dates=H","DateFormat=P","Fill=—","Direction=H","UseDPDF=Y")</f>
        <v>-23.2</v>
      </c>
      <c r="E37" s="17">
        <f>_xll.BDH("FIS US Equity","CF_CASH_FROM_INV_ACT","FY 2013","FY 2013","Currency=USD","Period=FY","BEST_FPERIOD_OVERRIDE=FY","FILING_STATUS=MR","SCALING_FORMAT=MLN","Sort=A","Dates=H","DateFormat=P","Fill=—","Direction=H","UseDPDF=Y")</f>
        <v>-464.7</v>
      </c>
      <c r="F37" s="17">
        <f>_xll.BDH("FIS US Equity","CF_CASH_FROM_INV_ACT","FY 2014","FY 2014","Currency=USD","Period=FY","BEST_FPERIOD_OVERRIDE=FY","FILING_STATUS=MR","SCALING_FORMAT=MLN","Sort=A","Dates=H","DateFormat=P","Fill=—","Direction=H","UseDPDF=Y")</f>
        <v>-985</v>
      </c>
      <c r="G37" s="17">
        <f>_xll.BDH("FIS US Equity","CF_CASH_FROM_INV_ACT","FY 2015","FY 2015","Currency=USD","Period=FY","BEST_FPERIOD_OVERRIDE=FY","FILING_STATUS=MR","SCALING_FORMAT=MLN","Sort=A","Dates=H","DateFormat=P","Fill=—","Direction=H","UseDPDF=Y")</f>
        <v>-1898</v>
      </c>
      <c r="H37" s="17">
        <f>_xll.BDH("FIS US Equity","CF_CASH_FROM_INV_ACT","FY 2016","FY 2016","Currency=USD","Period=FY","BEST_FPERIOD_OVERRIDE=FY","FILING_STATUS=MR","SCALING_FORMAT=MLN","Sort=A","Dates=H","DateFormat=P","Fill=—","Direction=H","UseDPDF=Y")</f>
        <v>-619</v>
      </c>
      <c r="I37" s="17">
        <f>_xll.BDH("FIS US Equity","CF_CASH_FROM_INV_ACT","FY 2017","FY 2017","Currency=USD","Period=FY","BEST_FPERIOD_OVERRIDE=FY","FILING_STATUS=MR","SCALING_FORMAT=MLN","Sort=A","Dates=H","DateFormat=P","Fill=—","Direction=H","UseDPDF=Y")</f>
        <v>690</v>
      </c>
      <c r="J37" s="17">
        <f>_xll.BDH("FIS US Equity","CF_CASH_FROM_INV_ACT","FY 2018","FY 2018","Currency=USD","Period=FY","BEST_FPERIOD_OVERRIDE=FY","FILING_STATUS=MR","SCALING_FORMAT=MLN","Sort=A","Dates=H","DateFormat=P","Fill=—","Direction=H","UseDPDF=Y")</f>
        <v>-668</v>
      </c>
      <c r="K37" s="17">
        <f>_xll.BDH("FIS US Equity","CF_CASH_FROM_INV_ACT","FY 2019","FY 2019","Currency=USD","Period=FY","BEST_FPERIOD_OVERRIDE=FY","FILING_STATUS=MR","SCALING_FORMAT=MLN","Sort=A","Dates=H","DateFormat=P","Fill=—","Direction=H","UseDPDF=Y")</f>
        <v>-7501</v>
      </c>
      <c r="L37" s="19">
        <v>-1549</v>
      </c>
    </row>
    <row r="38" spans="1:12" x14ac:dyDescent="0.45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8"/>
    </row>
    <row r="39" spans="1:12" x14ac:dyDescent="0.45">
      <c r="A39" s="6" t="s">
        <v>82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8"/>
    </row>
    <row r="40" spans="1:12" x14ac:dyDescent="0.45">
      <c r="A40" s="10" t="s">
        <v>83</v>
      </c>
      <c r="B40" s="10" t="s">
        <v>84</v>
      </c>
      <c r="C40" s="12">
        <f>_xll.BDH("FIS US Equity","CF_DVD_PAID","FY 2011","FY 2011","Currency=USD","Period=FY","BEST_FPERIOD_OVERRIDE=FY","FILING_STATUS=MR","SCALING_FORMAT=MLN","Sort=A","Dates=H","DateFormat=P","Fill=—","Direction=H","UseDPDF=Y")</f>
        <v>-60.4</v>
      </c>
      <c r="D40" s="12">
        <f>_xll.BDH("FIS US Equity","CF_DVD_PAID","FY 2012","FY 2012","Currency=USD","Period=FY","BEST_FPERIOD_OVERRIDE=FY","FILING_STATUS=MR","SCALING_FORMAT=MLN","Sort=A","Dates=H","DateFormat=P","Fill=—","Direction=H","UseDPDF=Y")</f>
        <v>-234.8</v>
      </c>
      <c r="E40" s="12">
        <f>_xll.BDH("FIS US Equity","CF_DVD_PAID","FY 2013","FY 2013","Currency=USD","Period=FY","BEST_FPERIOD_OVERRIDE=FY","FILING_STATUS=MR","SCALING_FORMAT=MLN","Sort=A","Dates=H","DateFormat=P","Fill=—","Direction=H","UseDPDF=Y")</f>
        <v>-256.3</v>
      </c>
      <c r="F40" s="12">
        <f>_xll.BDH("FIS US Equity","CF_DVD_PAID","FY 2014","FY 2014","Currency=USD","Period=FY","BEST_FPERIOD_OVERRIDE=FY","FILING_STATUS=MR","SCALING_FORMAT=MLN","Sort=A","Dates=H","DateFormat=P","Fill=—","Direction=H","UseDPDF=Y")</f>
        <v>-275</v>
      </c>
      <c r="G40" s="12">
        <f>_xll.BDH("FIS US Equity","CF_DVD_PAID","FY 2015","FY 2015","Currency=USD","Period=FY","BEST_FPERIOD_OVERRIDE=FY","FILING_STATUS=MR","SCALING_FORMAT=MLN","Sort=A","Dates=H","DateFormat=P","Fill=—","Direction=H","UseDPDF=Y")</f>
        <v>-305</v>
      </c>
      <c r="H40" s="12">
        <f>_xll.BDH("FIS US Equity","CF_DVD_PAID","FY 2016","FY 2016","Currency=USD","Period=FY","BEST_FPERIOD_OVERRIDE=FY","FILING_STATUS=MR","SCALING_FORMAT=MLN","Sort=A","Dates=H","DateFormat=P","Fill=—","Direction=H","UseDPDF=Y")</f>
        <v>-341</v>
      </c>
      <c r="I40" s="12">
        <f>_xll.BDH("FIS US Equity","CF_DVD_PAID","FY 2017","FY 2017","Currency=USD","Period=FY","BEST_FPERIOD_OVERRIDE=FY","FILING_STATUS=MR","SCALING_FORMAT=MLN","Sort=A","Dates=H","DateFormat=P","Fill=—","Direction=H","UseDPDF=Y")</f>
        <v>-385</v>
      </c>
      <c r="J40" s="12">
        <f>_xll.BDH("FIS US Equity","CF_DVD_PAID","FY 2018","FY 2018","Currency=USD","Period=FY","BEST_FPERIOD_OVERRIDE=FY","FILING_STATUS=MR","SCALING_FORMAT=MLN","Sort=A","Dates=H","DateFormat=P","Fill=—","Direction=H","UseDPDF=Y")</f>
        <v>-421</v>
      </c>
      <c r="K40" s="12">
        <f>_xll.BDH("FIS US Equity","CF_DVD_PAID","FY 2019","FY 2019","Currency=USD","Period=FY","BEST_FPERIOD_OVERRIDE=FY","FILING_STATUS=MR","SCALING_FORMAT=MLN","Sort=A","Dates=H","DateFormat=P","Fill=—","Direction=H","UseDPDF=Y")</f>
        <v>-656</v>
      </c>
      <c r="L40" s="14">
        <v>-865</v>
      </c>
    </row>
    <row r="41" spans="1:12" x14ac:dyDescent="0.45">
      <c r="A41" s="10" t="s">
        <v>85</v>
      </c>
      <c r="B41" s="10" t="s">
        <v>86</v>
      </c>
      <c r="C41" s="12">
        <f>_xll.BDH("FIS US Equity","PROC_FR_REPAYMNTS_BOR_DETAILED","FY 2011","FY 2011","Currency=USD","Period=FY","BEST_FPERIOD_OVERRIDE=FY","FILING_STATUS=MR","SCALING_FORMAT=MLN","Sort=A","Dates=H","DateFormat=P","Fill=—","Direction=H","UseDPDF=Y")</f>
        <v>-413.9</v>
      </c>
      <c r="D41" s="12">
        <f>_xll.BDH("FIS US Equity","PROC_FR_REPAYMNTS_BOR_DETAILED","FY 2012","FY 2012","Currency=USD","Period=FY","BEST_FPERIOD_OVERRIDE=FY","FILING_STATUS=MR","SCALING_FORMAT=MLN","Sort=A","Dates=H","DateFormat=P","Fill=—","Direction=H","UseDPDF=Y")</f>
        <v>-427.1</v>
      </c>
      <c r="E41" s="12">
        <f>_xll.BDH("FIS US Equity","PROC_FR_REPAYMNTS_BOR_DETAILED","FY 2013","FY 2013","Currency=USD","Period=FY","BEST_FPERIOD_OVERRIDE=FY","FILING_STATUS=MR","SCALING_FORMAT=MLN","Sort=A","Dates=H","DateFormat=P","Fill=—","Direction=H","UseDPDF=Y")</f>
        <v>72.599999999999994</v>
      </c>
      <c r="F41" s="12">
        <f>_xll.BDH("FIS US Equity","PROC_FR_REPAYMNTS_BOR_DETAILED","FY 2014","FY 2014","Currency=USD","Period=FY","BEST_FPERIOD_OVERRIDE=FY","FILING_STATUS=MR","SCALING_FORMAT=MLN","Sort=A","Dates=H","DateFormat=P","Fill=—","Direction=H","UseDPDF=Y")</f>
        <v>572</v>
      </c>
      <c r="G41" s="12">
        <f>_xll.BDH("FIS US Equity","PROC_FR_REPAYMNTS_BOR_DETAILED","FY 2015","FY 2015","Currency=USD","Period=FY","BEST_FPERIOD_OVERRIDE=FY","FILING_STATUS=MR","SCALING_FORMAT=MLN","Sort=A","Dates=H","DateFormat=P","Fill=—","Direction=H","UseDPDF=Y")</f>
        <v>1655</v>
      </c>
      <c r="H41" s="12">
        <f>_xll.BDH("FIS US Equity","PROC_FR_REPAYMNTS_BOR_DETAILED","FY 2016","FY 2016","Currency=USD","Period=FY","BEST_FPERIOD_OVERRIDE=FY","FILING_STATUS=MR","SCALING_FORMAT=MLN","Sort=A","Dates=H","DateFormat=P","Fill=—","Direction=H","UseDPDF=Y")</f>
        <v>-1004</v>
      </c>
      <c r="I41" s="12">
        <f>_xll.BDH("FIS US Equity","PROC_FR_REPAYMNTS_BOR_DETAILED","FY 2017","FY 2017","Currency=USD","Period=FY","BEST_FPERIOD_OVERRIDE=FY","FILING_STATUS=MR","SCALING_FORMAT=MLN","Sort=A","Dates=H","DateFormat=P","Fill=—","Direction=H","UseDPDF=Y")</f>
        <v>-2074</v>
      </c>
      <c r="J41" s="12">
        <f>_xll.BDH("FIS US Equity","PROC_FR_REPAYMNTS_BOR_DETAILED","FY 2018","FY 2018","Currency=USD","Period=FY","BEST_FPERIOD_OVERRIDE=FY","FILING_STATUS=MR","SCALING_FORMAT=MLN","Sort=A","Dates=H","DateFormat=P","Fill=—","Direction=H","UseDPDF=Y")</f>
        <v>223</v>
      </c>
      <c r="K41" s="12">
        <f>_xll.BDH("FIS US Equity","PROC_FR_REPAYMNTS_BOR_DETAILED","FY 2019","FY 2019","Currency=USD","Period=FY","BEST_FPERIOD_OVERRIDE=FY","FILING_STATUS=MR","SCALING_FORMAT=MLN","Sort=A","Dates=H","DateFormat=P","Fill=—","Direction=H","UseDPDF=Y")</f>
        <v>8680</v>
      </c>
      <c r="L41" s="14">
        <v>-1269</v>
      </c>
    </row>
    <row r="42" spans="1:12" x14ac:dyDescent="0.45">
      <c r="A42" s="10" t="s">
        <v>87</v>
      </c>
      <c r="B42" s="10" t="s">
        <v>88</v>
      </c>
      <c r="C42" s="12">
        <f>_xll.BDH("FIS US Equity","CF_NET_CHG_IN_ST_DBT_&amp;_CPTL_LEAS","FY 2011","FY 2011","Currency=USD","Period=FY","BEST_FPERIOD_OVERRIDE=FY","FILING_STATUS=MR","SCALING_FORMAT=MLN","Sort=A","Dates=H","DateFormat=P","Fill=—","Direction=H","UseDPDF=Y")</f>
        <v>0</v>
      </c>
      <c r="D42" s="12">
        <f>_xll.BDH("FIS US Equity","CF_NET_CHG_IN_ST_DBT_&amp;_CPTL_LEAS","FY 2012","FY 2012","Currency=USD","Period=FY","BEST_FPERIOD_OVERRIDE=FY","FILING_STATUS=MR","SCALING_FORMAT=MLN","Sort=A","Dates=H","DateFormat=P","Fill=—","Direction=H","UseDPDF=Y")</f>
        <v>0</v>
      </c>
      <c r="E42" s="12">
        <f>_xll.BDH("FIS US Equity","CF_NET_CHG_IN_ST_DBT_&amp;_CPTL_LEAS","FY 2013","FY 2013","Currency=USD","Period=FY","BEST_FPERIOD_OVERRIDE=FY","FILING_STATUS=MR","SCALING_FORMAT=MLN","Sort=A","Dates=H","DateFormat=P","Fill=—","Direction=H","UseDPDF=Y")</f>
        <v>0</v>
      </c>
      <c r="F42" s="12">
        <f>_xll.BDH("FIS US Equity","CF_NET_CHG_IN_ST_DBT_&amp;_CPTL_LEAS","FY 2014","FY 2014","Currency=USD","Period=FY","BEST_FPERIOD_OVERRIDE=FY","FILING_STATUS=MR","SCALING_FORMAT=MLN","Sort=A","Dates=H","DateFormat=P","Fill=—","Direction=H","UseDPDF=Y")</f>
        <v>0</v>
      </c>
      <c r="G42" s="12" t="str">
        <f>_xll.BDH("FIS US Equity","CF_NET_CHG_IN_ST_DBT_&amp;_CPTL_LEAS","FY 2015","FY 2015","Currency=USD","Period=FY","BEST_FPERIOD_OVERRIDE=FY","FILING_STATUS=MR","SCALING_FORMAT=MLN","Sort=A","Dates=H","DateFormat=P","Fill=—","Direction=H","UseDPDF=Y")</f>
        <v>—</v>
      </c>
      <c r="H42" s="12" t="str">
        <f>_xll.BDH("FIS US Equity","CF_NET_CHG_IN_ST_DBT_&amp;_CPTL_LEAS","FY 2016","FY 2016","Currency=USD","Period=FY","BEST_FPERIOD_OVERRIDE=FY","FILING_STATUS=MR","SCALING_FORMAT=MLN","Sort=A","Dates=H","DateFormat=P","Fill=—","Direction=H","UseDPDF=Y")</f>
        <v>—</v>
      </c>
      <c r="I42" s="12" t="str">
        <f>_xll.BDH("FIS US Equity","CF_NET_CHG_IN_ST_DBT_&amp;_CPTL_LEAS","FY 2017","FY 2017","Currency=USD","Period=FY","BEST_FPERIOD_OVERRIDE=FY","FILING_STATUS=MR","SCALING_FORMAT=MLN","Sort=A","Dates=H","DateFormat=P","Fill=—","Direction=H","UseDPDF=Y")</f>
        <v>—</v>
      </c>
      <c r="J42" s="12" t="str">
        <f>_xll.BDH("FIS US Equity","CF_NET_CHG_IN_ST_DBT_&amp;_CPTL_LEAS","FY 2018","FY 2018","Currency=USD","Period=FY","BEST_FPERIOD_OVERRIDE=FY","FILING_STATUS=MR","SCALING_FORMAT=MLN","Sort=A","Dates=H","DateFormat=P","Fill=—","Direction=H","UseDPDF=Y")</f>
        <v>—</v>
      </c>
      <c r="K42" s="12" t="str">
        <f>_xll.BDH("FIS US Equity","CF_NET_CHG_IN_ST_DBT_&amp;_CPTL_LEAS","FY 2019","FY 2019","Currency=USD","Period=FY","BEST_FPERIOD_OVERRIDE=FY","FILING_STATUS=MR","SCALING_FORMAT=MLN","Sort=A","Dates=H","DateFormat=P","Fill=—","Direction=H","UseDPDF=Y")</f>
        <v>—</v>
      </c>
      <c r="L42" s="14"/>
    </row>
    <row r="43" spans="1:12" x14ac:dyDescent="0.45">
      <c r="A43" s="10" t="s">
        <v>89</v>
      </c>
      <c r="B43" s="10" t="s">
        <v>90</v>
      </c>
      <c r="C43" s="12">
        <f>_xll.BDH("FIS US Equity","CF_PROC_LT_DEBT_&amp;_CAPITAL_LEASE","FY 2011","FY 2011","Currency=USD","Period=FY","BEST_FPERIOD_OVERRIDE=FY","FILING_STATUS=MR","SCALING_FORMAT=MLN","Sort=A","Dates=H","DateFormat=P","Fill=—","Direction=H","UseDPDF=Y")</f>
        <v>9547.2999999999993</v>
      </c>
      <c r="D43" s="12">
        <f>_xll.BDH("FIS US Equity","CF_PROC_LT_DEBT_&amp;_CAPITAL_LEASE","FY 2012","FY 2012","Currency=USD","Period=FY","BEST_FPERIOD_OVERRIDE=FY","FILING_STATUS=MR","SCALING_FORMAT=MLN","Sort=A","Dates=H","DateFormat=P","Fill=—","Direction=H","UseDPDF=Y")</f>
        <v>11160.3</v>
      </c>
      <c r="E43" s="12">
        <f>_xll.BDH("FIS US Equity","CF_PROC_LT_DEBT_&amp;_CAPITAL_LEASE","FY 2013","FY 2013","Currency=USD","Period=FY","BEST_FPERIOD_OVERRIDE=FY","FILING_STATUS=MR","SCALING_FORMAT=MLN","Sort=A","Dates=H","DateFormat=P","Fill=—","Direction=H","UseDPDF=Y")</f>
        <v>10494.4</v>
      </c>
      <c r="F43" s="12">
        <f>_xll.BDH("FIS US Equity","CF_PROC_LT_DEBT_&amp;_CAPITAL_LEASE","FY 2014","FY 2014","Currency=USD","Period=FY","BEST_FPERIOD_OVERRIDE=FY","FILING_STATUS=MR","SCALING_FORMAT=MLN","Sort=A","Dates=H","DateFormat=P","Fill=—","Direction=H","UseDPDF=Y")</f>
        <v>7936</v>
      </c>
      <c r="G43" s="12" t="str">
        <f>_xll.BDH("FIS US Equity","CF_PROC_LT_DEBT_&amp;_CAPITAL_LEASE","FY 2015","FY 2015","Currency=USD","Period=FY","BEST_FPERIOD_OVERRIDE=FY","FILING_STATUS=MR","SCALING_FORMAT=MLN","Sort=A","Dates=H","DateFormat=P","Fill=—","Direction=H","UseDPDF=Y")</f>
        <v>—</v>
      </c>
      <c r="H43" s="12" t="str">
        <f>_xll.BDH("FIS US Equity","CF_PROC_LT_DEBT_&amp;_CAPITAL_LEASE","FY 2016","FY 2016","Currency=USD","Period=FY","BEST_FPERIOD_OVERRIDE=FY","FILING_STATUS=MR","SCALING_FORMAT=MLN","Sort=A","Dates=H","DateFormat=P","Fill=—","Direction=H","UseDPDF=Y")</f>
        <v>—</v>
      </c>
      <c r="I43" s="12" t="str">
        <f>_xll.BDH("FIS US Equity","CF_PROC_LT_DEBT_&amp;_CAPITAL_LEASE","FY 2017","FY 2017","Currency=USD","Period=FY","BEST_FPERIOD_OVERRIDE=FY","FILING_STATUS=MR","SCALING_FORMAT=MLN","Sort=A","Dates=H","DateFormat=P","Fill=—","Direction=H","UseDPDF=Y")</f>
        <v>—</v>
      </c>
      <c r="J43" s="12" t="str">
        <f>_xll.BDH("FIS US Equity","CF_PROC_LT_DEBT_&amp;_CAPITAL_LEASE","FY 2018","FY 2018","Currency=USD","Period=FY","BEST_FPERIOD_OVERRIDE=FY","FILING_STATUS=MR","SCALING_FORMAT=MLN","Sort=A","Dates=H","DateFormat=P","Fill=—","Direction=H","UseDPDF=Y")</f>
        <v>—</v>
      </c>
      <c r="K43" s="12" t="str">
        <f>_xll.BDH("FIS US Equity","CF_PROC_LT_DEBT_&amp;_CAPITAL_LEASE","FY 2019","FY 2019","Currency=USD","Period=FY","BEST_FPERIOD_OVERRIDE=FY","FILING_STATUS=MR","SCALING_FORMAT=MLN","Sort=A","Dates=H","DateFormat=P","Fill=—","Direction=H","UseDPDF=Y")</f>
        <v>—</v>
      </c>
      <c r="L43" s="14"/>
    </row>
    <row r="44" spans="1:12" x14ac:dyDescent="0.45">
      <c r="A44" s="10" t="s">
        <v>91</v>
      </c>
      <c r="B44" s="10" t="s">
        <v>92</v>
      </c>
      <c r="C44" s="12">
        <f>_xll.BDH("FIS US Equity","CF_PYMT_LT_DEBT_&amp;_CAPITAL_LEASE","FY 2011","FY 2011","Currency=USD","Period=FY","BEST_FPERIOD_OVERRIDE=FY","FILING_STATUS=MR","SCALING_FORMAT=MLN","Sort=A","Dates=H","DateFormat=P","Fill=—","Direction=H","UseDPDF=Y")</f>
        <v>-9961.2000000000007</v>
      </c>
      <c r="D44" s="12">
        <f>_xll.BDH("FIS US Equity","CF_PYMT_LT_DEBT_&amp;_CAPITAL_LEASE","FY 2012","FY 2012","Currency=USD","Period=FY","BEST_FPERIOD_OVERRIDE=FY","FILING_STATUS=MR","SCALING_FORMAT=MLN","Sort=A","Dates=H","DateFormat=P","Fill=—","Direction=H","UseDPDF=Y")</f>
        <v>-11587.4</v>
      </c>
      <c r="E44" s="12">
        <f>_xll.BDH("FIS US Equity","CF_PYMT_LT_DEBT_&amp;_CAPITAL_LEASE","FY 2013","FY 2013","Currency=USD","Period=FY","BEST_FPERIOD_OVERRIDE=FY","FILING_STATUS=MR","SCALING_FORMAT=MLN","Sort=A","Dates=H","DateFormat=P","Fill=—","Direction=H","UseDPDF=Y")</f>
        <v>-10421.799999999999</v>
      </c>
      <c r="F44" s="12">
        <f>_xll.BDH("FIS US Equity","CF_PYMT_LT_DEBT_&amp;_CAPITAL_LEASE","FY 2014","FY 2014","Currency=USD","Period=FY","BEST_FPERIOD_OVERRIDE=FY","FILING_STATUS=MR","SCALING_FORMAT=MLN","Sort=A","Dates=H","DateFormat=P","Fill=—","Direction=H","UseDPDF=Y")</f>
        <v>-7364</v>
      </c>
      <c r="G44" s="12" t="str">
        <f>_xll.BDH("FIS US Equity","CF_PYMT_LT_DEBT_&amp;_CAPITAL_LEASE","FY 2015","FY 2015","Currency=USD","Period=FY","BEST_FPERIOD_OVERRIDE=FY","FILING_STATUS=MR","SCALING_FORMAT=MLN","Sort=A","Dates=H","DateFormat=P","Fill=—","Direction=H","UseDPDF=Y")</f>
        <v>—</v>
      </c>
      <c r="H44" s="12" t="str">
        <f>_xll.BDH("FIS US Equity","CF_PYMT_LT_DEBT_&amp;_CAPITAL_LEASE","FY 2016","FY 2016","Currency=USD","Period=FY","BEST_FPERIOD_OVERRIDE=FY","FILING_STATUS=MR","SCALING_FORMAT=MLN","Sort=A","Dates=H","DateFormat=P","Fill=—","Direction=H","UseDPDF=Y")</f>
        <v>—</v>
      </c>
      <c r="I44" s="12" t="str">
        <f>_xll.BDH("FIS US Equity","CF_PYMT_LT_DEBT_&amp;_CAPITAL_LEASE","FY 2017","FY 2017","Currency=USD","Period=FY","BEST_FPERIOD_OVERRIDE=FY","FILING_STATUS=MR","SCALING_FORMAT=MLN","Sort=A","Dates=H","DateFormat=P","Fill=—","Direction=H","UseDPDF=Y")</f>
        <v>—</v>
      </c>
      <c r="J44" s="12" t="str">
        <f>_xll.BDH("FIS US Equity","CF_PYMT_LT_DEBT_&amp;_CAPITAL_LEASE","FY 2018","FY 2018","Currency=USD","Period=FY","BEST_FPERIOD_OVERRIDE=FY","FILING_STATUS=MR","SCALING_FORMAT=MLN","Sort=A","Dates=H","DateFormat=P","Fill=—","Direction=H","UseDPDF=Y")</f>
        <v>—</v>
      </c>
      <c r="K44" s="12" t="str">
        <f>_xll.BDH("FIS US Equity","CF_PYMT_LT_DEBT_&amp;_CAPITAL_LEASE","FY 2019","FY 2019","Currency=USD","Period=FY","BEST_FPERIOD_OVERRIDE=FY","FILING_STATUS=MR","SCALING_FORMAT=MLN","Sort=A","Dates=H","DateFormat=P","Fill=—","Direction=H","UseDPDF=Y")</f>
        <v>—</v>
      </c>
      <c r="L44" s="14"/>
    </row>
    <row r="45" spans="1:12" x14ac:dyDescent="0.45">
      <c r="A45" s="10" t="s">
        <v>93</v>
      </c>
      <c r="B45" s="10" t="s">
        <v>94</v>
      </c>
      <c r="C45" s="12">
        <f>_xll.BDH("FIS US Equity","PROC_FR_REPURCH_EQTY_DETAILED","FY 2011","FY 2011","Currency=USD","Period=FY","BEST_FPERIOD_OVERRIDE=FY","FILING_STATUS=MR","SCALING_FORMAT=MLN","Sort=A","Dates=H","DateFormat=P","Fill=—","Direction=H","UseDPDF=Y")</f>
        <v>-287.5</v>
      </c>
      <c r="D45" s="12">
        <f>_xll.BDH("FIS US Equity","PROC_FR_REPURCH_EQTY_DETAILED","FY 2012","FY 2012","Currency=USD","Period=FY","BEST_FPERIOD_OVERRIDE=FY","FILING_STATUS=MR","SCALING_FORMAT=MLN","Sort=A","Dates=H","DateFormat=P","Fill=—","Direction=H","UseDPDF=Y")</f>
        <v>-204.1</v>
      </c>
      <c r="E45" s="12">
        <f>_xll.BDH("FIS US Equity","PROC_FR_REPURCH_EQTY_DETAILED","FY 2013","FY 2013","Currency=USD","Period=FY","BEST_FPERIOD_OVERRIDE=FY","FILING_STATUS=MR","SCALING_FORMAT=MLN","Sort=A","Dates=H","DateFormat=P","Fill=—","Direction=H","UseDPDF=Y")</f>
        <v>-292.5</v>
      </c>
      <c r="F45" s="12">
        <f>_xll.BDH("FIS US Equity","PROC_FR_REPURCH_EQTY_DETAILED","FY 2014","FY 2014","Currency=USD","Period=FY","BEST_FPERIOD_OVERRIDE=FY","FILING_STATUS=MR","SCALING_FORMAT=MLN","Sort=A","Dates=H","DateFormat=P","Fill=—","Direction=H","UseDPDF=Y")</f>
        <v>-421</v>
      </c>
      <c r="G45" s="12">
        <f>_xll.BDH("FIS US Equity","PROC_FR_REPURCH_EQTY_DETAILED","FY 2015","FY 2015","Currency=USD","Period=FY","BEST_FPERIOD_OVERRIDE=FY","FILING_STATUS=MR","SCALING_FORMAT=MLN","Sort=A","Dates=H","DateFormat=P","Fill=—","Direction=H","UseDPDF=Y")</f>
        <v>-234</v>
      </c>
      <c r="H45" s="12">
        <f>_xll.BDH("FIS US Equity","PROC_FR_REPURCH_EQTY_DETAILED","FY 2016","FY 2016","Currency=USD","Period=FY","BEST_FPERIOD_OVERRIDE=FY","FILING_STATUS=MR","SCALING_FORMAT=MLN","Sort=A","Dates=H","DateFormat=P","Fill=—","Direction=H","UseDPDF=Y")</f>
        <v>104</v>
      </c>
      <c r="I45" s="12">
        <f>_xll.BDH("FIS US Equity","PROC_FR_REPURCH_EQTY_DETAILED","FY 2017","FY 2017","Currency=USD","Period=FY","BEST_FPERIOD_OVERRIDE=FY","FILING_STATUS=MR","SCALING_FORMAT=MLN","Sort=A","Dates=H","DateFormat=P","Fill=—","Direction=H","UseDPDF=Y")</f>
        <v>55</v>
      </c>
      <c r="J45" s="12">
        <f>_xll.BDH("FIS US Equity","PROC_FR_REPURCH_EQTY_DETAILED","FY 2018","FY 2018","Currency=USD","Period=FY","BEST_FPERIOD_OVERRIDE=FY","FILING_STATUS=MR","SCALING_FORMAT=MLN","Sort=A","Dates=H","DateFormat=P","Fill=—","Direction=H","UseDPDF=Y")</f>
        <v>-967</v>
      </c>
      <c r="K45" s="12">
        <f>_xll.BDH("FIS US Equity","PROC_FR_REPURCH_EQTY_DETAILED","FY 2019","FY 2019","Currency=USD","Period=FY","BEST_FPERIOD_OVERRIDE=FY","FILING_STATUS=MR","SCALING_FORMAT=MLN","Sort=A","Dates=H","DateFormat=P","Fill=—","Direction=H","UseDPDF=Y")</f>
        <v>-292</v>
      </c>
      <c r="L45" s="14">
        <v>194</v>
      </c>
    </row>
    <row r="46" spans="1:12" x14ac:dyDescent="0.45">
      <c r="A46" s="10" t="s">
        <v>95</v>
      </c>
      <c r="B46" s="10" t="s">
        <v>96</v>
      </c>
      <c r="C46" s="12">
        <f>_xll.BDH("FIS US Equity","CF_INCR_CAP_STOCK","FY 2011","FY 2011","Currency=USD","Period=FY","BEST_FPERIOD_OVERRIDE=FY","FILING_STATUS=MR","SCALING_FORMAT=MLN","Sort=A","Dates=H","DateFormat=P","Fill=—","Direction=H","UseDPDF=Y")</f>
        <v>76.7</v>
      </c>
      <c r="D46" s="12">
        <f>_xll.BDH("FIS US Equity","CF_INCR_CAP_STOCK","FY 2012","FY 2012","Currency=USD","Period=FY","BEST_FPERIOD_OVERRIDE=FY","FILING_STATUS=MR","SCALING_FORMAT=MLN","Sort=A","Dates=H","DateFormat=P","Fill=—","Direction=H","UseDPDF=Y")</f>
        <v>307.2</v>
      </c>
      <c r="E46" s="12">
        <f>_xll.BDH("FIS US Equity","CF_INCR_CAP_STOCK","FY 2013","FY 2013","Currency=USD","Period=FY","BEST_FPERIOD_OVERRIDE=FY","FILING_STATUS=MR","SCALING_FORMAT=MLN","Sort=A","Dates=H","DateFormat=P","Fill=—","Direction=H","UseDPDF=Y")</f>
        <v>183.4</v>
      </c>
      <c r="F46" s="12">
        <f>_xll.BDH("FIS US Equity","CF_INCR_CAP_STOCK","FY 2014","FY 2014","Currency=USD","Period=FY","BEST_FPERIOD_OVERRIDE=FY","FILING_STATUS=MR","SCALING_FORMAT=MLN","Sort=A","Dates=H","DateFormat=P","Fill=—","Direction=H","UseDPDF=Y")</f>
        <v>101</v>
      </c>
      <c r="G46" s="12">
        <f>_xll.BDH("FIS US Equity","CF_INCR_CAP_STOCK","FY 2015","FY 2015","Currency=USD","Period=FY","BEST_FPERIOD_OVERRIDE=FY","FILING_STATUS=MR","SCALING_FORMAT=MLN","Sort=A","Dates=H","DateFormat=P","Fill=—","Direction=H","UseDPDF=Y")</f>
        <v>86</v>
      </c>
      <c r="H46" s="12">
        <f>_xll.BDH("FIS US Equity","CF_INCR_CAP_STOCK","FY 2016","FY 2016","Currency=USD","Period=FY","BEST_FPERIOD_OVERRIDE=FY","FILING_STATUS=MR","SCALING_FORMAT=MLN","Sort=A","Dates=H","DateFormat=P","Fill=—","Direction=H","UseDPDF=Y")</f>
        <v>144</v>
      </c>
      <c r="I46" s="12">
        <f>_xll.BDH("FIS US Equity","CF_INCR_CAP_STOCK","FY 2017","FY 2017","Currency=USD","Period=FY","BEST_FPERIOD_OVERRIDE=FY","FILING_STATUS=MR","SCALING_FORMAT=MLN","Sort=A","Dates=H","DateFormat=P","Fill=—","Direction=H","UseDPDF=Y")</f>
        <v>208</v>
      </c>
      <c r="J46" s="12">
        <f>_xll.BDH("FIS US Equity","CF_INCR_CAP_STOCK","FY 2018","FY 2018","Currency=USD","Period=FY","BEST_FPERIOD_OVERRIDE=FY","FILING_STATUS=MR","SCALING_FORMAT=MLN","Sort=A","Dates=H","DateFormat=P","Fill=—","Direction=H","UseDPDF=Y")</f>
        <v>288</v>
      </c>
      <c r="K46" s="12">
        <f>_xll.BDH("FIS US Equity","CF_INCR_CAP_STOCK","FY 2019","FY 2019","Currency=USD","Period=FY","BEST_FPERIOD_OVERRIDE=FY","FILING_STATUS=MR","SCALING_FORMAT=MLN","Sort=A","Dates=H","DateFormat=P","Fill=—","Direction=H","UseDPDF=Y")</f>
        <v>161</v>
      </c>
      <c r="L46" s="14">
        <v>327</v>
      </c>
    </row>
    <row r="47" spans="1:12" x14ac:dyDescent="0.45">
      <c r="A47" s="10" t="s">
        <v>97</v>
      </c>
      <c r="B47" s="10" t="s">
        <v>98</v>
      </c>
      <c r="C47" s="12">
        <f>_xll.BDH("FIS US Equity","CF_DECR_CAP_STOCK","FY 2011","FY 2011","Currency=USD","Period=FY","BEST_FPERIOD_OVERRIDE=FY","FILING_STATUS=MR","SCALING_FORMAT=MLN","Sort=A","Dates=H","DateFormat=P","Fill=—","Direction=H","UseDPDF=Y")</f>
        <v>-364.2</v>
      </c>
      <c r="D47" s="12">
        <f>_xll.BDH("FIS US Equity","CF_DECR_CAP_STOCK","FY 2012","FY 2012","Currency=USD","Period=FY","BEST_FPERIOD_OVERRIDE=FY","FILING_STATUS=MR","SCALING_FORMAT=MLN","Sort=A","Dates=H","DateFormat=P","Fill=—","Direction=H","UseDPDF=Y")</f>
        <v>-511.3</v>
      </c>
      <c r="E47" s="12">
        <f>_xll.BDH("FIS US Equity","CF_DECR_CAP_STOCK","FY 2013","FY 2013","Currency=USD","Period=FY","BEST_FPERIOD_OVERRIDE=FY","FILING_STATUS=MR","SCALING_FORMAT=MLN","Sort=A","Dates=H","DateFormat=P","Fill=—","Direction=H","UseDPDF=Y")</f>
        <v>-475.9</v>
      </c>
      <c r="F47" s="12">
        <f>_xll.BDH("FIS US Equity","CF_DECR_CAP_STOCK","FY 2014","FY 2014","Currency=USD","Period=FY","BEST_FPERIOD_OVERRIDE=FY","FILING_STATUS=MR","SCALING_FORMAT=MLN","Sort=A","Dates=H","DateFormat=P","Fill=—","Direction=H","UseDPDF=Y")</f>
        <v>-522</v>
      </c>
      <c r="G47" s="12">
        <f>_xll.BDH("FIS US Equity","CF_DECR_CAP_STOCK","FY 2015","FY 2015","Currency=USD","Period=FY","BEST_FPERIOD_OVERRIDE=FY","FILING_STATUS=MR","SCALING_FORMAT=MLN","Sort=A","Dates=H","DateFormat=P","Fill=—","Direction=H","UseDPDF=Y")</f>
        <v>-320</v>
      </c>
      <c r="H47" s="12">
        <f>_xll.BDH("FIS US Equity","CF_DECR_CAP_STOCK","FY 2016","FY 2016","Currency=USD","Period=FY","BEST_FPERIOD_OVERRIDE=FY","FILING_STATUS=MR","SCALING_FORMAT=MLN","Sort=A","Dates=H","DateFormat=P","Fill=—","Direction=H","UseDPDF=Y")</f>
        <v>-40</v>
      </c>
      <c r="I47" s="12">
        <f>_xll.BDH("FIS US Equity","CF_DECR_CAP_STOCK","FY 2017","FY 2017","Currency=USD","Period=FY","BEST_FPERIOD_OVERRIDE=FY","FILING_STATUS=MR","SCALING_FORMAT=MLN","Sort=A","Dates=H","DateFormat=P","Fill=—","Direction=H","UseDPDF=Y")</f>
        <v>-153</v>
      </c>
      <c r="J47" s="12">
        <f>_xll.BDH("FIS US Equity","CF_DECR_CAP_STOCK","FY 2018","FY 2018","Currency=USD","Period=FY","BEST_FPERIOD_OVERRIDE=FY","FILING_STATUS=MR","SCALING_FORMAT=MLN","Sort=A","Dates=H","DateFormat=P","Fill=—","Direction=H","UseDPDF=Y")</f>
        <v>-1255</v>
      </c>
      <c r="K47" s="12">
        <f>_xll.BDH("FIS US Equity","CF_DECR_CAP_STOCK","FY 2019","FY 2019","Currency=USD","Period=FY","BEST_FPERIOD_OVERRIDE=FY","FILING_STATUS=MR","SCALING_FORMAT=MLN","Sort=A","Dates=H","DateFormat=P","Fill=—","Direction=H","UseDPDF=Y")</f>
        <v>-453</v>
      </c>
      <c r="L47" s="14">
        <v>-133</v>
      </c>
    </row>
    <row r="48" spans="1:12" x14ac:dyDescent="0.45">
      <c r="A48" s="10" t="s">
        <v>99</v>
      </c>
      <c r="B48" s="10" t="s">
        <v>100</v>
      </c>
      <c r="C48" s="12">
        <f>_xll.BDH("FIS US Equity","OTHER_FIN_AND_DEC_CAP","FY 2011","FY 2011","Currency=USD","Period=FY","BEST_FPERIOD_OVERRIDE=FY","FILING_STATUS=MR","SCALING_FORMAT=MLN","Sort=A","Dates=H","DateFormat=P","Fill=—","Direction=H","UseDPDF=Y")</f>
        <v>-22.9</v>
      </c>
      <c r="D48" s="12">
        <f>_xll.BDH("FIS US Equity","OTHER_FIN_AND_DEC_CAP","FY 2012","FY 2012","Currency=USD","Period=FY","BEST_FPERIOD_OVERRIDE=FY","FILING_STATUS=MR","SCALING_FORMAT=MLN","Sort=A","Dates=H","DateFormat=P","Fill=—","Direction=H","UseDPDF=Y")</f>
        <v>-54.8</v>
      </c>
      <c r="E48" s="12">
        <f>_xll.BDH("FIS US Equity","OTHER_FIN_AND_DEC_CAP","FY 2013","FY 2013","Currency=USD","Period=FY","BEST_FPERIOD_OVERRIDE=FY","FILING_STATUS=MR","SCALING_FORMAT=MLN","Sort=A","Dates=H","DateFormat=P","Fill=—","Direction=H","UseDPDF=Y")</f>
        <v>-69.8</v>
      </c>
      <c r="F48" s="12">
        <f>_xll.BDH("FIS US Equity","OTHER_FIN_AND_DEC_CAP","FY 2014","FY 2014","Currency=USD","Period=FY","BEST_FPERIOD_OVERRIDE=FY","FILING_STATUS=MR","SCALING_FORMAT=MLN","Sort=A","Dates=H","DateFormat=P","Fill=—","Direction=H","UseDPDF=Y")</f>
        <v>-74</v>
      </c>
      <c r="G48" s="12">
        <f>_xll.BDH("FIS US Equity","OTHER_FIN_AND_DEC_CAP","FY 2015","FY 2015","Currency=USD","Period=FY","BEST_FPERIOD_OVERRIDE=FY","FILING_STATUS=MR","SCALING_FORMAT=MLN","Sort=A","Dates=H","DateFormat=P","Fill=—","Direction=H","UseDPDF=Y")</f>
        <v>-101</v>
      </c>
      <c r="H48" s="12">
        <f>_xll.BDH("FIS US Equity","OTHER_FIN_AND_DEC_CAP","FY 2016","FY 2016","Currency=USD","Period=FY","BEST_FPERIOD_OVERRIDE=FY","FILING_STATUS=MR","SCALING_FORMAT=MLN","Sort=A","Dates=H","DateFormat=P","Fill=—","Direction=H","UseDPDF=Y")</f>
        <v>-68</v>
      </c>
      <c r="I48" s="12">
        <f>_xll.BDH("FIS US Equity","OTHER_FIN_AND_DEC_CAP","FY 2017","FY 2017","Currency=USD","Period=FY","BEST_FPERIOD_OVERRIDE=FY","FILING_STATUS=MR","SCALING_FORMAT=MLN","Sort=A","Dates=H","DateFormat=P","Fill=—","Direction=H","UseDPDF=Y")</f>
        <v>-76</v>
      </c>
      <c r="J48" s="12">
        <f>_xll.BDH("FIS US Equity","OTHER_FIN_AND_DEC_CAP","FY 2018","FY 2018","Currency=USD","Period=FY","BEST_FPERIOD_OVERRIDE=FY","FILING_STATUS=MR","SCALING_FORMAT=MLN","Sort=A","Dates=H","DateFormat=P","Fill=—","Direction=H","UseDPDF=Y")</f>
        <v>-71</v>
      </c>
      <c r="K48" s="12">
        <f>_xll.BDH("FIS US Equity","OTHER_FIN_AND_DEC_CAP","FY 2019","FY 2019","Currency=USD","Period=FY","BEST_FPERIOD_OVERRIDE=FY","FILING_STATUS=MR","SCALING_FORMAT=MLN","Sort=A","Dates=H","DateFormat=P","Fill=—","Direction=H","UseDPDF=Y")</f>
        <v>-151</v>
      </c>
      <c r="L48" s="14">
        <v>-263</v>
      </c>
    </row>
    <row r="49" spans="1:12" x14ac:dyDescent="0.45">
      <c r="A49" s="10" t="s">
        <v>46</v>
      </c>
      <c r="B49" s="10" t="s">
        <v>101</v>
      </c>
      <c r="C49" s="12" t="str">
        <f>_xll.BDH("FIS US Equity","CF_NET_CASH_DISCONTINUED_OPS_FIN","FY 2011","FY 2011","Currency=USD","Period=FY","BEST_FPERIOD_OVERRIDE=FY","FILING_STATUS=MR","SCALING_FORMAT=MLN","Sort=A","Dates=H","DateFormat=P","Fill=—","Direction=H","UseDPDF=Y")</f>
        <v>—</v>
      </c>
      <c r="D49" s="12" t="str">
        <f>_xll.BDH("FIS US Equity","CF_NET_CASH_DISCONTINUED_OPS_FIN","FY 2012","FY 2012","Currency=USD","Period=FY","BEST_FPERIOD_OVERRIDE=FY","FILING_STATUS=MR","SCALING_FORMAT=MLN","Sort=A","Dates=H","DateFormat=P","Fill=—","Direction=H","UseDPDF=Y")</f>
        <v>—</v>
      </c>
      <c r="E49" s="12" t="str">
        <f>_xll.BDH("FIS US Equity","CF_NET_CASH_DISCONTINUED_OPS_FIN","FY 2013","FY 2013","Currency=USD","Period=FY","BEST_FPERIOD_OVERRIDE=FY","FILING_STATUS=MR","SCALING_FORMAT=MLN","Sort=A","Dates=H","DateFormat=P","Fill=—","Direction=H","UseDPDF=Y")</f>
        <v>—</v>
      </c>
      <c r="F49" s="12" t="str">
        <f>_xll.BDH("FIS US Equity","CF_NET_CASH_DISCONTINUED_OPS_FIN","FY 2014","FY 2014","Currency=USD","Period=FY","BEST_FPERIOD_OVERRIDE=FY","FILING_STATUS=MR","SCALING_FORMAT=MLN","Sort=A","Dates=H","DateFormat=P","Fill=—","Direction=H","UseDPDF=Y")</f>
        <v>—</v>
      </c>
      <c r="G49" s="12" t="str">
        <f>_xll.BDH("FIS US Equity","CF_NET_CASH_DISCONTINUED_OPS_FIN","FY 2015","FY 2015","Currency=USD","Period=FY","BEST_FPERIOD_OVERRIDE=FY","FILING_STATUS=MR","SCALING_FORMAT=MLN","Sort=A","Dates=H","DateFormat=P","Fill=—","Direction=H","UseDPDF=Y")</f>
        <v>—</v>
      </c>
      <c r="H49" s="12">
        <f>_xll.BDH("FIS US Equity","CF_NET_CASH_DISCONTINUED_OPS_FIN","FY 2016","FY 2016","Currency=USD","Period=FY","BEST_FPERIOD_OVERRIDE=FY","FILING_STATUS=MR","SCALING_FORMAT=MLN","Sort=A","Dates=H","DateFormat=P","Fill=—","Direction=H","UseDPDF=Y")</f>
        <v>0</v>
      </c>
      <c r="I49" s="12" t="str">
        <f>_xll.BDH("FIS US Equity","CF_NET_CASH_DISCONTINUED_OPS_FIN","FY 2017","FY 2017","Currency=USD","Period=FY","BEST_FPERIOD_OVERRIDE=FY","FILING_STATUS=MR","SCALING_FORMAT=MLN","Sort=A","Dates=H","DateFormat=P","Fill=—","Direction=H","UseDPDF=Y")</f>
        <v>—</v>
      </c>
      <c r="J49" s="12">
        <f>_xll.BDH("FIS US Equity","CF_NET_CASH_DISCONTINUED_OPS_FIN","FY 2018","FY 2018","Currency=USD","Period=FY","BEST_FPERIOD_OVERRIDE=FY","FILING_STATUS=MR","SCALING_FORMAT=MLN","Sort=A","Dates=H","DateFormat=P","Fill=—","Direction=H","UseDPDF=Y")</f>
        <v>0</v>
      </c>
      <c r="K49" s="12">
        <f>_xll.BDH("FIS US Equity","CF_NET_CASH_DISCONTINUED_OPS_FIN","FY 2019","FY 2019","Currency=USD","Period=FY","BEST_FPERIOD_OVERRIDE=FY","FILING_STATUS=MR","SCALING_FORMAT=MLN","Sort=A","Dates=H","DateFormat=P","Fill=—","Direction=H","UseDPDF=Y")</f>
        <v>0</v>
      </c>
      <c r="L49" s="14">
        <v>0</v>
      </c>
    </row>
    <row r="50" spans="1:12" x14ac:dyDescent="0.45">
      <c r="A50" s="6" t="s">
        <v>82</v>
      </c>
      <c r="B50" s="6" t="s">
        <v>102</v>
      </c>
      <c r="C50" s="17">
        <f>_xll.BDH("FIS US Equity","CFF_ACTIVITIES_DETAILED","FY 2011","FY 2011","Currency=USD","Period=FY","BEST_FPERIOD_OVERRIDE=FY","FILING_STATUS=MR","SCALING_FORMAT=MLN","Sort=A","Dates=H","DateFormat=P","Fill=—","Direction=H","UseDPDF=Y")</f>
        <v>-784.7</v>
      </c>
      <c r="D50" s="17">
        <f>_xll.BDH("FIS US Equity","CFF_ACTIVITIES_DETAILED","FY 2012","FY 2012","Currency=USD","Period=FY","BEST_FPERIOD_OVERRIDE=FY","FILING_STATUS=MR","SCALING_FORMAT=MLN","Sort=A","Dates=H","DateFormat=P","Fill=—","Direction=H","UseDPDF=Y")</f>
        <v>-920.8</v>
      </c>
      <c r="E50" s="17">
        <f>_xll.BDH("FIS US Equity","CFF_ACTIVITIES_DETAILED","FY 2013","FY 2013","Currency=USD","Period=FY","BEST_FPERIOD_OVERRIDE=FY","FILING_STATUS=MR","SCALING_FORMAT=MLN","Sort=A","Dates=H","DateFormat=P","Fill=—","Direction=H","UseDPDF=Y")</f>
        <v>-546</v>
      </c>
      <c r="F50" s="17">
        <f>_xll.BDH("FIS US Equity","CFF_ACTIVITIES_DETAILED","FY 2014","FY 2014","Currency=USD","Period=FY","BEST_FPERIOD_OVERRIDE=FY","FILING_STATUS=MR","SCALING_FORMAT=MLN","Sort=A","Dates=H","DateFormat=P","Fill=—","Direction=H","UseDPDF=Y")</f>
        <v>-198</v>
      </c>
      <c r="G50" s="17">
        <f>_xll.BDH("FIS US Equity","CFF_ACTIVITIES_DETAILED","FY 2015","FY 2015","Currency=USD","Period=FY","BEST_FPERIOD_OVERRIDE=FY","FILING_STATUS=MR","SCALING_FORMAT=MLN","Sort=A","Dates=H","DateFormat=P","Fill=—","Direction=H","UseDPDF=Y")</f>
        <v>1015</v>
      </c>
      <c r="H50" s="17">
        <f>_xll.BDH("FIS US Equity","CFF_ACTIVITIES_DETAILED","FY 2016","FY 2016","Currency=USD","Period=FY","BEST_FPERIOD_OVERRIDE=FY","FILING_STATUS=MR","SCALING_FORMAT=MLN","Sort=A","Dates=H","DateFormat=P","Fill=—","Direction=H","UseDPDF=Y")</f>
        <v>-1309</v>
      </c>
      <c r="I50" s="17">
        <f>_xll.BDH("FIS US Equity","CFF_ACTIVITIES_DETAILED","FY 2017","FY 2017","Currency=USD","Period=FY","BEST_FPERIOD_OVERRIDE=FY","FILING_STATUS=MR","SCALING_FORMAT=MLN","Sort=A","Dates=H","DateFormat=P","Fill=—","Direction=H","UseDPDF=Y")</f>
        <v>-2480</v>
      </c>
      <c r="J50" s="17">
        <f>_xll.BDH("FIS US Equity","CFF_ACTIVITIES_DETAILED","FY 2018","FY 2018","Currency=USD","Period=FY","BEST_FPERIOD_OVERRIDE=FY","FILING_STATUS=MR","SCALING_FORMAT=MLN","Sort=A","Dates=H","DateFormat=P","Fill=—","Direction=H","UseDPDF=Y")</f>
        <v>-1236</v>
      </c>
      <c r="K50" s="17">
        <f>_xll.BDH("FIS US Equity","CFF_ACTIVITIES_DETAILED","FY 2019","FY 2019","Currency=USD","Period=FY","BEST_FPERIOD_OVERRIDE=FY","FILING_STATUS=MR","SCALING_FORMAT=MLN","Sort=A","Dates=H","DateFormat=P","Fill=—","Direction=H","UseDPDF=Y")</f>
        <v>7581</v>
      </c>
      <c r="L50" s="19">
        <v>-2203</v>
      </c>
    </row>
    <row r="51" spans="1:12" x14ac:dyDescent="0.45">
      <c r="A51" s="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8"/>
    </row>
    <row r="52" spans="1:12" x14ac:dyDescent="0.45">
      <c r="A52" s="10" t="s">
        <v>103</v>
      </c>
      <c r="B52" s="10" t="s">
        <v>104</v>
      </c>
      <c r="C52" s="12">
        <f>_xll.BDH("FIS US Equity","CF_EFFECT_FOREIGN_EXCHANGES","FY 2011","FY 2011","Currency=USD","Period=FY","BEST_FPERIOD_OVERRIDE=FY","FILING_STATUS=MR","SCALING_FORMAT=MLN","Sort=A","Dates=H","DateFormat=P","Fill=—","Direction=H","UseDPDF=Y")</f>
        <v>-10.1</v>
      </c>
      <c r="D52" s="12">
        <f>_xll.BDH("FIS US Equity","CF_EFFECT_FOREIGN_EXCHANGES","FY 2012","FY 2012","Currency=USD","Period=FY","BEST_FPERIOD_OVERRIDE=FY","FILING_STATUS=MR","SCALING_FORMAT=MLN","Sort=A","Dates=H","DateFormat=P","Fill=—","Direction=H","UseDPDF=Y")</f>
        <v>-0.6</v>
      </c>
      <c r="E52" s="12">
        <f>_xll.BDH("FIS US Equity","CF_EFFECT_FOREIGN_EXCHANGES","FY 2013","FY 2013","Currency=USD","Period=FY","BEST_FPERIOD_OVERRIDE=FY","FILING_STATUS=MR","SCALING_FORMAT=MLN","Sort=A","Dates=H","DateFormat=P","Fill=—","Direction=H","UseDPDF=Y")</f>
        <v>-19.7</v>
      </c>
      <c r="F52" s="12">
        <f>_xll.BDH("FIS US Equity","CF_EFFECT_FOREIGN_EXCHANGES","FY 2014","FY 2014","Currency=USD","Period=FY","BEST_FPERIOD_OVERRIDE=FY","FILING_STATUS=MR","SCALING_FORMAT=MLN","Sort=A","Dates=H","DateFormat=P","Fill=—","Direction=H","UseDPDF=Y")</f>
        <v>-37</v>
      </c>
      <c r="G52" s="12">
        <f>_xll.BDH("FIS US Equity","CF_EFFECT_FOREIGN_EXCHANGES","FY 2015","FY 2015","Currency=USD","Period=FY","BEST_FPERIOD_OVERRIDE=FY","FILING_STATUS=MR","SCALING_FORMAT=MLN","Sort=A","Dates=H","DateFormat=P","Fill=—","Direction=H","UseDPDF=Y")</f>
        <v>-59</v>
      </c>
      <c r="H52" s="12">
        <f>_xll.BDH("FIS US Equity","CF_EFFECT_FOREIGN_EXCHANGES","FY 2016","FY 2016","Currency=USD","Period=FY","BEST_FPERIOD_OVERRIDE=FY","FILING_STATUS=MR","SCALING_FORMAT=MLN","Sort=A","Dates=H","DateFormat=P","Fill=—","Direction=H","UseDPDF=Y")</f>
        <v>4</v>
      </c>
      <c r="I52" s="12">
        <f>_xll.BDH("FIS US Equity","CF_EFFECT_FOREIGN_EXCHANGES","FY 2017","FY 2017","Currency=USD","Period=FY","BEST_FPERIOD_OVERRIDE=FY","FILING_STATUS=MR","SCALING_FORMAT=MLN","Sort=A","Dates=H","DateFormat=P","Fill=—","Direction=H","UseDPDF=Y")</f>
        <v>31</v>
      </c>
      <c r="J52" s="12">
        <f>_xll.BDH("FIS US Equity","CF_EFFECT_FOREIGN_EXCHANGES","FY 2018","FY 2018","Currency=USD","Period=FY","BEST_FPERIOD_OVERRIDE=FY","FILING_STATUS=MR","SCALING_FORMAT=MLN","Sort=A","Dates=H","DateFormat=P","Fill=—","Direction=H","UseDPDF=Y")</f>
        <v>-51</v>
      </c>
      <c r="K52" s="12">
        <f>_xll.BDH("FIS US Equity","CF_EFFECT_FOREIGN_EXCHANGES","FY 2019","FY 2019","Currency=USD","Period=FY","BEST_FPERIOD_OVERRIDE=FY","FILING_STATUS=MR","SCALING_FORMAT=MLN","Sort=A","Dates=H","DateFormat=P","Fill=—","Direction=H","UseDPDF=Y")</f>
        <v>18</v>
      </c>
      <c r="L52" s="14">
        <v>64</v>
      </c>
    </row>
    <row r="53" spans="1:12" x14ac:dyDescent="0.4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8"/>
    </row>
    <row r="54" spans="1:12" x14ac:dyDescent="0.45">
      <c r="A54" s="6" t="s">
        <v>105</v>
      </c>
      <c r="B54" s="6" t="s">
        <v>106</v>
      </c>
      <c r="C54" s="17">
        <f>_xll.BDH("FIS US Equity","CF_NET_CHNG_CASH","FY 2011","FY 2011","Currency=USD","Period=FY","BEST_FPERIOD_OVERRIDE=FY","FILING_STATUS=MR","SCALING_FORMAT=MLN","Sort=A","Dates=H","DateFormat=P","Fill=—","Direction=H","UseDPDF=Y")</f>
        <v>77.5</v>
      </c>
      <c r="D54" s="17">
        <f>_xll.BDH("FIS US Equity","CF_NET_CHNG_CASH","FY 2012","FY 2012","Currency=USD","Period=FY","BEST_FPERIOD_OVERRIDE=FY","FILING_STATUS=MR","SCALING_FORMAT=MLN","Sort=A","Dates=H","DateFormat=P","Fill=—","Direction=H","UseDPDF=Y")</f>
        <v>102.1</v>
      </c>
      <c r="E54" s="17">
        <f>_xll.BDH("FIS US Equity","CF_NET_CHNG_CASH","FY 2013","FY 2013","Currency=USD","Period=FY","BEST_FPERIOD_OVERRIDE=FY","FILING_STATUS=MR","SCALING_FORMAT=MLN","Sort=A","Dates=H","DateFormat=P","Fill=—","Direction=H","UseDPDF=Y")</f>
        <v>29.9</v>
      </c>
      <c r="F54" s="17">
        <f>_xll.BDH("FIS US Equity","CF_NET_CHNG_CASH","FY 2014","FY 2014","Currency=USD","Period=FY","BEST_FPERIOD_OVERRIDE=FY","FILING_STATUS=MR","SCALING_FORMAT=MLN","Sort=A","Dates=H","DateFormat=P","Fill=—","Direction=H","UseDPDF=Y")</f>
        <v>-55</v>
      </c>
      <c r="G54" s="17">
        <f>_xll.BDH("FIS US Equity","CF_NET_CHNG_CASH","FY 2015","FY 2015","Currency=USD","Period=FY","BEST_FPERIOD_OVERRIDE=FY","FILING_STATUS=MR","SCALING_FORMAT=MLN","Sort=A","Dates=H","DateFormat=P","Fill=—","Direction=H","UseDPDF=Y")</f>
        <v>189</v>
      </c>
      <c r="H54" s="17">
        <f>_xll.BDH("FIS US Equity","CF_NET_CHNG_CASH","FY 2016","FY 2016","Currency=USD","Period=FY","BEST_FPERIOD_OVERRIDE=FY","FILING_STATUS=MR","SCALING_FORMAT=MLN","Sort=A","Dates=H","DateFormat=P","Fill=—","Direction=H","UseDPDF=Y")</f>
        <v>1</v>
      </c>
      <c r="I54" s="17">
        <f>_xll.BDH("FIS US Equity","CF_NET_CHNG_CASH","FY 2017","FY 2017","Currency=USD","Period=FY","BEST_FPERIOD_OVERRIDE=FY","FILING_STATUS=MR","SCALING_FORMAT=MLN","Sort=A","Dates=H","DateFormat=P","Fill=—","Direction=H","UseDPDF=Y")</f>
        <v>-18</v>
      </c>
      <c r="J54" s="17">
        <f>_xll.BDH("FIS US Equity","CF_NET_CHNG_CASH","FY 2018","FY 2018","Currency=USD","Period=FY","BEST_FPERIOD_OVERRIDE=FY","FILING_STATUS=MR","SCALING_FORMAT=MLN","Sort=A","Dates=H","DateFormat=P","Fill=—","Direction=H","UseDPDF=Y")</f>
        <v>38</v>
      </c>
      <c r="K54" s="17">
        <f>_xll.BDH("FIS US Equity","CF_NET_CHNG_CASH","FY 2019","FY 2019","Currency=USD","Period=FY","BEST_FPERIOD_OVERRIDE=FY","FILING_STATUS=MR","SCALING_FORMAT=MLN","Sort=A","Dates=H","DateFormat=P","Fill=—","Direction=H","UseDPDF=Y")</f>
        <v>2508</v>
      </c>
      <c r="L54" s="19">
        <v>5</v>
      </c>
    </row>
    <row r="55" spans="1:12" x14ac:dyDescent="0.45">
      <c r="A55" s="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8"/>
    </row>
    <row r="56" spans="1:12" x14ac:dyDescent="0.45">
      <c r="A56" s="6" t="s">
        <v>107</v>
      </c>
      <c r="B56" s="6" t="s">
        <v>108</v>
      </c>
      <c r="C56" s="17">
        <f>_xll.BDH("FIS US Equity","CF_CASH_PAID_FOR_TAX","FY 2011","FY 2011","Currency=USD","Period=FY","BEST_FPERIOD_OVERRIDE=FY","FILING_STATUS=MR","SCALING_FORMAT=MLN","Sort=A","Dates=H","DateFormat=P","Fill=—","Direction=H","UseDPDF=Y")</f>
        <v>205</v>
      </c>
      <c r="D56" s="17">
        <f>_xll.BDH("FIS US Equity","CF_CASH_PAID_FOR_TAX","FY 2012","FY 2012","Currency=USD","Period=FY","BEST_FPERIOD_OVERRIDE=FY","FILING_STATUS=MR","SCALING_FORMAT=MLN","Sort=A","Dates=H","DateFormat=P","Fill=—","Direction=H","UseDPDF=Y")</f>
        <v>316.3</v>
      </c>
      <c r="E56" s="17">
        <f>_xll.BDH("FIS US Equity","CF_CASH_PAID_FOR_TAX","FY 2013","FY 2013","Currency=USD","Period=FY","BEST_FPERIOD_OVERRIDE=FY","FILING_STATUS=MR","SCALING_FORMAT=MLN","Sort=A","Dates=H","DateFormat=P","Fill=—","Direction=H","UseDPDF=Y")</f>
        <v>320.3</v>
      </c>
      <c r="F56" s="17">
        <f>_xll.BDH("FIS US Equity","CF_CASH_PAID_FOR_TAX","FY 2014","FY 2014","Currency=USD","Period=FY","BEST_FPERIOD_OVERRIDE=FY","FILING_STATUS=MR","SCALING_FORMAT=MLN","Sort=A","Dates=H","DateFormat=P","Fill=—","Direction=H","UseDPDF=Y")</f>
        <v>292</v>
      </c>
      <c r="G56" s="17">
        <f>_xll.BDH("FIS US Equity","CF_CASH_PAID_FOR_TAX","FY 2015","FY 2015","Currency=USD","Period=FY","BEST_FPERIOD_OVERRIDE=FY","FILING_STATUS=MR","SCALING_FORMAT=MLN","Sort=A","Dates=H","DateFormat=P","Fill=—","Direction=H","UseDPDF=Y")</f>
        <v>355</v>
      </c>
      <c r="H56" s="17">
        <f>_xll.BDH("FIS US Equity","CF_CASH_PAID_FOR_TAX","FY 2016","FY 2016","Currency=USD","Period=FY","BEST_FPERIOD_OVERRIDE=FY","FILING_STATUS=MR","SCALING_FORMAT=MLN","Sort=A","Dates=H","DateFormat=P","Fill=—","Direction=H","UseDPDF=Y")</f>
        <v>341</v>
      </c>
      <c r="I56" s="17">
        <f>_xll.BDH("FIS US Equity","CF_CASH_PAID_FOR_TAX","FY 2017","FY 2017","Currency=USD","Period=FY","BEST_FPERIOD_OVERRIDE=FY","FILING_STATUS=MR","SCALING_FORMAT=MLN","Sort=A","Dates=H","DateFormat=P","Fill=—","Direction=H","UseDPDF=Y")</f>
        <v>545</v>
      </c>
      <c r="J56" s="17">
        <f>_xll.BDH("FIS US Equity","CF_CASH_PAID_FOR_TAX","FY 2018","FY 2018","Currency=USD","Period=FY","BEST_FPERIOD_OVERRIDE=FY","FILING_STATUS=MR","SCALING_FORMAT=MLN","Sort=A","Dates=H","DateFormat=P","Fill=—","Direction=H","UseDPDF=Y")</f>
        <v>503</v>
      </c>
      <c r="K56" s="17">
        <f>_xll.BDH("FIS US Equity","CF_CASH_PAID_FOR_TAX","FY 2019","FY 2019","Currency=USD","Period=FY","BEST_FPERIOD_OVERRIDE=FY","FILING_STATUS=MR","SCALING_FORMAT=MLN","Sort=A","Dates=H","DateFormat=P","Fill=—","Direction=H","UseDPDF=Y")</f>
        <v>321</v>
      </c>
      <c r="L56" s="19">
        <v>211</v>
      </c>
    </row>
    <row r="57" spans="1:12" x14ac:dyDescent="0.45">
      <c r="A57" s="6" t="s">
        <v>109</v>
      </c>
      <c r="B57" s="6" t="s">
        <v>110</v>
      </c>
      <c r="C57" s="17">
        <f>_xll.BDH("FIS US Equity","CF_ACT_CASH_PAID_FOR_INT_DEBT","FY 2011","FY 2011","Currency=USD","Period=FY","BEST_FPERIOD_OVERRIDE=FY","FILING_STATUS=MR","SCALING_FORMAT=MLN","Sort=A","Dates=H","DateFormat=P","Fill=—","Direction=H","UseDPDF=Y")</f>
        <v>264.2</v>
      </c>
      <c r="D57" s="17">
        <f>_xll.BDH("FIS US Equity","CF_ACT_CASH_PAID_FOR_INT_DEBT","FY 2012","FY 2012","Currency=USD","Period=FY","BEST_FPERIOD_OVERRIDE=FY","FILING_STATUS=MR","SCALING_FORMAT=MLN","Sort=A","Dates=H","DateFormat=P","Fill=—","Direction=H","UseDPDF=Y")</f>
        <v>200.1</v>
      </c>
      <c r="E57" s="17">
        <f>_xll.BDH("FIS US Equity","CF_ACT_CASH_PAID_FOR_INT_DEBT","FY 2013","FY 2013","Currency=USD","Period=FY","BEST_FPERIOD_OVERRIDE=FY","FILING_STATUS=MR","SCALING_FORMAT=MLN","Sort=A","Dates=H","DateFormat=P","Fill=—","Direction=H","UseDPDF=Y")</f>
        <v>193.5</v>
      </c>
      <c r="F57" s="17">
        <f>_xll.BDH("FIS US Equity","CF_ACT_CASH_PAID_FOR_INT_DEBT","FY 2014","FY 2014","Currency=USD","Period=FY","BEST_FPERIOD_OVERRIDE=FY","FILING_STATUS=MR","SCALING_FORMAT=MLN","Sort=A","Dates=H","DateFormat=P","Fill=—","Direction=H","UseDPDF=Y")</f>
        <v>169</v>
      </c>
      <c r="G57" s="17">
        <f>_xll.BDH("FIS US Equity","CF_ACT_CASH_PAID_FOR_INT_DEBT","FY 2015","FY 2015","Currency=USD","Period=FY","BEST_FPERIOD_OVERRIDE=FY","FILING_STATUS=MR","SCALING_FORMAT=MLN","Sort=A","Dates=H","DateFormat=P","Fill=—","Direction=H","UseDPDF=Y")</f>
        <v>142</v>
      </c>
      <c r="H57" s="17">
        <f>_xll.BDH("FIS US Equity","CF_ACT_CASH_PAID_FOR_INT_DEBT","FY 2016","FY 2016","Currency=USD","Period=FY","BEST_FPERIOD_OVERRIDE=FY","FILING_STATUS=MR","SCALING_FORMAT=MLN","Sort=A","Dates=H","DateFormat=P","Fill=—","Direction=H","UseDPDF=Y")</f>
        <v>351</v>
      </c>
      <c r="I57" s="17">
        <f>_xll.BDH("FIS US Equity","CF_ACT_CASH_PAID_FOR_INT_DEBT","FY 2017","FY 2017","Currency=USD","Period=FY","BEST_FPERIOD_OVERRIDE=FY","FILING_STATUS=MR","SCALING_FORMAT=MLN","Sort=A","Dates=H","DateFormat=P","Fill=—","Direction=H","UseDPDF=Y")</f>
        <v>354</v>
      </c>
      <c r="J57" s="17">
        <f>_xll.BDH("FIS US Equity","CF_ACT_CASH_PAID_FOR_INT_DEBT","FY 2018","FY 2018","Currency=USD","Period=FY","BEST_FPERIOD_OVERRIDE=FY","FILING_STATUS=MR","SCALING_FORMAT=MLN","Sort=A","Dates=H","DateFormat=P","Fill=—","Direction=H","UseDPDF=Y")</f>
        <v>298</v>
      </c>
      <c r="K57" s="17">
        <f>_xll.BDH("FIS US Equity","CF_ACT_CASH_PAID_FOR_INT_DEBT","FY 2019","FY 2019","Currency=USD","Period=FY","BEST_FPERIOD_OVERRIDE=FY","FILING_STATUS=MR","SCALING_FORMAT=MLN","Sort=A","Dates=H","DateFormat=P","Fill=—","Direction=H","UseDPDF=Y")</f>
        <v>332</v>
      </c>
      <c r="L57" s="19">
        <v>429</v>
      </c>
    </row>
    <row r="58" spans="1:12" x14ac:dyDescent="0.4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8"/>
    </row>
    <row r="59" spans="1:12" x14ac:dyDescent="0.45">
      <c r="A59" s="6" t="s">
        <v>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8"/>
    </row>
    <row r="60" spans="1:12" x14ac:dyDescent="0.45">
      <c r="A60" s="10" t="s">
        <v>111</v>
      </c>
      <c r="B60" s="10" t="s">
        <v>111</v>
      </c>
      <c r="C60" s="12">
        <f>_xll.BDH("FIS US Equity","EBITDA","FY 2011","FY 2011","Currency=USD","Period=FY","BEST_FPERIOD_OVERRIDE=FY","FILING_STATUS=MR","SCALING_FORMAT=MLN","FA_ADJUSTED=GAAP","Sort=A","Dates=H","DateFormat=P","Fill=—","Direction=H","UseDPDF=Y")</f>
        <v>1724.9</v>
      </c>
      <c r="D60" s="12">
        <f>_xll.BDH("FIS US Equity","EBITDA","FY 2012","FY 2012","Currency=USD","Period=FY","BEST_FPERIOD_OVERRIDE=FY","FILING_STATUS=MR","SCALING_FORMAT=MLN","FA_ADJUSTED=GAAP","Sort=A","Dates=H","DateFormat=P","Fill=—","Direction=H","UseDPDF=Y")</f>
        <v>1738.5</v>
      </c>
      <c r="E60" s="12">
        <f>_xll.BDH("FIS US Equity","EBITDA","FY 2013","FY 2013","Currency=USD","Period=FY","BEST_FPERIOD_OVERRIDE=FY","FILING_STATUS=MR","SCALING_FORMAT=MLN","FA_ADJUSTED=GAAP","Sort=A","Dates=H","DateFormat=P","Fill=—","Direction=H","UseDPDF=Y")</f>
        <v>1697.4</v>
      </c>
      <c r="F60" s="12">
        <f>_xll.BDH("FIS US Equity","EBITDA","FY 2014","FY 2014","Currency=USD","Period=FY","BEST_FPERIOD_OVERRIDE=FY","FILING_STATUS=MR","SCALING_FORMAT=MLN","FA_ADJUSTED=GAAP","Sort=A","Dates=H","DateFormat=P","Fill=—","Direction=H","UseDPDF=Y")</f>
        <v>1897</v>
      </c>
      <c r="G60" s="12">
        <f>_xll.BDH("FIS US Equity","EBITDA","FY 2015","FY 2015","Currency=USD","Period=FY","BEST_FPERIOD_OVERRIDE=FY","FILING_STATUS=MR","SCALING_FORMAT=MLN","FA_ADJUSTED=GAAP","Sort=A","Dates=H","DateFormat=P","Fill=—","Direction=H","UseDPDF=Y")</f>
        <v>1768</v>
      </c>
      <c r="H60" s="12">
        <f>_xll.BDH("FIS US Equity","EBITDA","FY 2016","FY 2016","Currency=USD","Period=FY","BEST_FPERIOD_OVERRIDE=FY","FILING_STATUS=MR","SCALING_FORMAT=MLN","FA_ADJUSTED=GAAP","Sort=A","Dates=H","DateFormat=P","Fill=—","Direction=H","UseDPDF=Y")</f>
        <v>2382</v>
      </c>
      <c r="I60" s="12">
        <f>_xll.BDH("FIS US Equity","EBITDA","FY 2017","FY 2017","Currency=USD","Period=FY","BEST_FPERIOD_OVERRIDE=FY","FILING_STATUS=MR","SCALING_FORMAT=MLN","FA_ADJUSTED=GAAP","Sort=A","Dates=H","DateFormat=P","Fill=—","Direction=H","UseDPDF=Y")</f>
        <v>2798</v>
      </c>
      <c r="J60" s="12">
        <f>_xll.BDH("FIS US Equity","EBITDA","FY 2018","FY 2018","Currency=USD","Period=FY","BEST_FPERIOD_OVERRIDE=FY","FILING_STATUS=MR","SCALING_FORMAT=MLN","FA_ADJUSTED=GAAP","Sort=A","Dates=H","DateFormat=P","Fill=—","Direction=H","UseDPDF=Y")</f>
        <v>2878</v>
      </c>
      <c r="K60" s="12">
        <f>_xll.BDH("FIS US Equity","EBITDA","FY 2019","FY 2019","Currency=USD","Period=FY","BEST_FPERIOD_OVERRIDE=FY","FILING_STATUS=MR","SCALING_FORMAT=MLN","FA_ADJUSTED=GAAP","Sort=A","Dates=H","DateFormat=P","Fill=—","Direction=H","UseDPDF=Y")</f>
        <v>3558</v>
      </c>
      <c r="L60" s="14">
        <v>4266</v>
      </c>
    </row>
    <row r="61" spans="1:12" x14ac:dyDescent="0.45">
      <c r="A61" s="10" t="s">
        <v>112</v>
      </c>
      <c r="B61" s="10" t="s">
        <v>113</v>
      </c>
      <c r="C61" s="13">
        <f>_xll.BDH("FIS US Equity","EBITDA_MARGIN","FY 2011","FY 2011","Currency=USD","Period=FY","BEST_FPERIOD_OVERRIDE=FY","FILING_STATUS=MR","FA_ADJUSTED=GAAP","Sort=A","Dates=H","DateFormat=P","Fill=—","Direction=H","UseDPDF=Y")</f>
        <v>30.6616</v>
      </c>
      <c r="D61" s="13">
        <f>_xll.BDH("FIS US Equity","EBITDA_MARGIN","FY 2012","FY 2012","Currency=USD","Period=FY","BEST_FPERIOD_OVERRIDE=FY","FILING_STATUS=MR","FA_ADJUSTED=GAAP","Sort=A","Dates=H","DateFormat=P","Fill=—","Direction=H","UseDPDF=Y")</f>
        <v>29.995899999999999</v>
      </c>
      <c r="E61" s="13">
        <f>_xll.BDH("FIS US Equity","EBITDA_MARGIN","FY 2013","FY 2013","Currency=USD","Period=FY","BEST_FPERIOD_OVERRIDE=FY","FILING_STATUS=MR","FA_ADJUSTED=GAAP","Sort=A","Dates=H","DateFormat=P","Fill=—","Direction=H","UseDPDF=Y")</f>
        <v>27.994199999999999</v>
      </c>
      <c r="F61" s="13">
        <f>_xll.BDH("FIS US Equity","EBITDA_MARGIN","FY 2014","FY 2014","Currency=USD","Period=FY","BEST_FPERIOD_OVERRIDE=FY","FILING_STATUS=MR","FA_ADJUSTED=GAAP","Sort=A","Dates=H","DateFormat=P","Fill=—","Direction=H","UseDPDF=Y")</f>
        <v>29.580500000000001</v>
      </c>
      <c r="G61" s="13">
        <f>_xll.BDH("FIS US Equity","EBITDA_MARGIN","FY 2015","FY 2015","Currency=USD","Period=FY","BEST_FPERIOD_OVERRIDE=FY","FILING_STATUS=MR","FA_ADJUSTED=GAAP","Sort=A","Dates=H","DateFormat=P","Fill=—","Direction=H","UseDPDF=Y")</f>
        <v>26.804099999999998</v>
      </c>
      <c r="H61" s="13">
        <f>_xll.BDH("FIS US Equity","EBITDA_MARGIN","FY 2016","FY 2016","Currency=USD","Period=FY","BEST_FPERIOD_OVERRIDE=FY","FILING_STATUS=MR","FA_ADJUSTED=GAAP","Sort=A","Dates=H","DateFormat=P","Fill=—","Direction=H","UseDPDF=Y")</f>
        <v>26.973199999999999</v>
      </c>
      <c r="I61" s="13">
        <f>_xll.BDH("FIS US Equity","EBITDA_MARGIN","FY 2017","FY 2017","Currency=USD","Period=FY","BEST_FPERIOD_OVERRIDE=FY","FILING_STATUS=MR","FA_ADJUSTED=GAAP","Sort=A","Dates=H","DateFormat=P","Fill=—","Direction=H","UseDPDF=Y")</f>
        <v>32.279600000000002</v>
      </c>
      <c r="J61" s="13">
        <f>_xll.BDH("FIS US Equity","EBITDA_MARGIN","FY 2018","FY 2018","Currency=USD","Period=FY","BEST_FPERIOD_OVERRIDE=FY","FILING_STATUS=MR","FA_ADJUSTED=GAAP","Sort=A","Dates=H","DateFormat=P","Fill=—","Direction=H","UseDPDF=Y")</f>
        <v>34.168300000000002</v>
      </c>
      <c r="K61" s="13">
        <f>_xll.BDH("FIS US Equity","EBITDA_MARGIN","FY 2019","FY 2019","Currency=USD","Period=FY","BEST_FPERIOD_OVERRIDE=FY","FILING_STATUS=MR","FA_ADJUSTED=GAAP","Sort=A","Dates=H","DateFormat=P","Fill=—","Direction=H","UseDPDF=Y")</f>
        <v>34.433399999999999</v>
      </c>
      <c r="L61" s="15">
        <v>33.916361901733197</v>
      </c>
    </row>
    <row r="62" spans="1:12" x14ac:dyDescent="0.45">
      <c r="A62" s="10" t="s">
        <v>114</v>
      </c>
      <c r="B62" s="10" t="s">
        <v>115</v>
      </c>
      <c r="C62" s="12">
        <f>_xll.BDH("FIS US Equity","CF_NET_CASH_PAID_FOR_AQUIS","FY 2011","FY 2011","Currency=USD","Period=FY","BEST_FPERIOD_OVERRIDE=FY","FILING_STATUS=MR","SCALING_FORMAT=MLN","Sort=A","Dates=H","DateFormat=P","Fill=—","Direction=H","UseDPDF=Y")</f>
        <v>20.2</v>
      </c>
      <c r="D62" s="12">
        <f>_xll.BDH("FIS US Equity","CF_NET_CASH_PAID_FOR_AQUIS","FY 2012","FY 2012","Currency=USD","Period=FY","BEST_FPERIOD_OVERRIDE=FY","FILING_STATUS=MR","SCALING_FORMAT=MLN","Sort=A","Dates=H","DateFormat=P","Fill=—","Direction=H","UseDPDF=Y")</f>
        <v>63.6</v>
      </c>
      <c r="E62" s="12">
        <f>_xll.BDH("FIS US Equity","CF_NET_CASH_PAID_FOR_AQUIS","FY 2013","FY 2013","Currency=USD","Period=FY","BEST_FPERIOD_OVERRIDE=FY","FILING_STATUS=MR","SCALING_FORMAT=MLN","Sort=A","Dates=H","DateFormat=P","Fill=—","Direction=H","UseDPDF=Y")</f>
        <v>150.5</v>
      </c>
      <c r="F62" s="12">
        <f>_xll.BDH("FIS US Equity","CF_NET_CASH_PAID_FOR_AQUIS","FY 2014","FY 2014","Currency=USD","Period=FY","BEST_FPERIOD_OVERRIDE=FY","FILING_STATUS=MR","SCALING_FORMAT=MLN","Sort=A","Dates=H","DateFormat=P","Fill=—","Direction=H","UseDPDF=Y")</f>
        <v>595</v>
      </c>
      <c r="G62" s="12">
        <f>_xll.BDH("FIS US Equity","CF_NET_CASH_PAID_FOR_AQUIS","FY 2015","FY 2015","Currency=USD","Period=FY","BEST_FPERIOD_OVERRIDE=FY","FILING_STATUS=MR","SCALING_FORMAT=MLN","Sort=A","Dates=H","DateFormat=P","Fill=—","Direction=H","UseDPDF=Y")</f>
        <v>1720</v>
      </c>
      <c r="H62" s="12">
        <f>_xll.BDH("FIS US Equity","CF_NET_CASH_PAID_FOR_AQUIS","FY 2016","FY 2016","Currency=USD","Period=FY","BEST_FPERIOD_OVERRIDE=FY","FILING_STATUS=MR","SCALING_FORMAT=MLN","Sort=A","Dates=H","DateFormat=P","Fill=—","Direction=H","UseDPDF=Y")</f>
        <v>0</v>
      </c>
      <c r="I62" s="12">
        <f>_xll.BDH("FIS US Equity","CF_NET_CASH_PAID_FOR_AQUIS","FY 2017","FY 2017","Currency=USD","Period=FY","BEST_FPERIOD_OVERRIDE=FY","FILING_STATUS=MR","SCALING_FORMAT=MLN","Sort=A","Dates=H","DateFormat=P","Fill=—","Direction=H","UseDPDF=Y")</f>
        <v>0</v>
      </c>
      <c r="J62" s="12">
        <f>_xll.BDH("FIS US Equity","CF_NET_CASH_PAID_FOR_AQUIS","FY 2018","FY 2018","Currency=USD","Period=FY","BEST_FPERIOD_OVERRIDE=FY","FILING_STATUS=MR","SCALING_FORMAT=MLN","Sort=A","Dates=H","DateFormat=P","Fill=—","Direction=H","UseDPDF=Y")</f>
        <v>0</v>
      </c>
      <c r="K62" s="12">
        <f>_xll.BDH("FIS US Equity","CF_NET_CASH_PAID_FOR_AQUIS","FY 2019","FY 2019","Currency=USD","Period=FY","BEST_FPERIOD_OVERRIDE=FY","FILING_STATUS=MR","SCALING_FORMAT=MLN","Sort=A","Dates=H","DateFormat=P","Fill=—","Direction=H","UseDPDF=Y")</f>
        <v>6632</v>
      </c>
      <c r="L62" s="14">
        <v>472</v>
      </c>
    </row>
    <row r="63" spans="1:12" x14ac:dyDescent="0.45">
      <c r="A63" s="10" t="s">
        <v>116</v>
      </c>
      <c r="B63" s="10" t="s">
        <v>117</v>
      </c>
      <c r="C63" s="12">
        <f>_xll.BDH("FIS US Equity","CF_TAX_BENEFIT_FRM_STOCK_OPTIONS","FY 2011","FY 2011","Currency=USD","Period=FY","BEST_FPERIOD_OVERRIDE=FY","FILING_STATUS=MR","SCALING_FORMAT=MLN","Sort=A","Dates=H","DateFormat=P","Fill=—","Direction=H","UseDPDF=Y")</f>
        <v>7.5</v>
      </c>
      <c r="D63" s="12">
        <f>_xll.BDH("FIS US Equity","CF_TAX_BENEFIT_FRM_STOCK_OPTIONS","FY 2012","FY 2012","Currency=USD","Period=FY","BEST_FPERIOD_OVERRIDE=FY","FILING_STATUS=MR","SCALING_FORMAT=MLN","Sort=A","Dates=H","DateFormat=P","Fill=—","Direction=H","UseDPDF=Y")</f>
        <v>30.6</v>
      </c>
      <c r="E63" s="12">
        <f>_xll.BDH("FIS US Equity","CF_TAX_BENEFIT_FRM_STOCK_OPTIONS","FY 2013","FY 2013","Currency=USD","Period=FY","BEST_FPERIOD_OVERRIDE=FY","FILING_STATUS=MR","SCALING_FORMAT=MLN","Sort=A","Dates=H","DateFormat=P","Fill=—","Direction=H","UseDPDF=Y")</f>
        <v>40.4</v>
      </c>
      <c r="F63" s="12">
        <f>_xll.BDH("FIS US Equity","CF_TAX_BENEFIT_FRM_STOCK_OPTIONS","FY 2014","FY 2014","Currency=USD","Period=FY","BEST_FPERIOD_OVERRIDE=FY","FILING_STATUS=MR","SCALING_FORMAT=MLN","Sort=A","Dates=H","DateFormat=P","Fill=—","Direction=H","UseDPDF=Y")</f>
        <v>40</v>
      </c>
      <c r="G63" s="12">
        <f>_xll.BDH("FIS US Equity","CF_TAX_BENEFIT_FRM_STOCK_OPTIONS","FY 2015","FY 2015","Currency=USD","Period=FY","BEST_FPERIOD_OVERRIDE=FY","FILING_STATUS=MR","SCALING_FORMAT=MLN","Sort=A","Dates=H","DateFormat=P","Fill=—","Direction=H","UseDPDF=Y")</f>
        <v>29</v>
      </c>
      <c r="H63" s="12">
        <f>_xll.BDH("FIS US Equity","CF_TAX_BENEFIT_FRM_STOCK_OPTIONS","FY 2016","FY 2016","Currency=USD","Period=FY","BEST_FPERIOD_OVERRIDE=FY","FILING_STATUS=MR","SCALING_FORMAT=MLN","Sort=A","Dates=H","DateFormat=P","Fill=—","Direction=H","UseDPDF=Y")</f>
        <v>32</v>
      </c>
      <c r="I63" s="12">
        <f>_xll.BDH("FIS US Equity","CF_TAX_BENEFIT_FRM_STOCK_OPTIONS","FY 2017","FY 2017","Currency=USD","Period=FY","BEST_FPERIOD_OVERRIDE=FY","FILING_STATUS=MR","SCALING_FORMAT=MLN","Sort=A","Dates=H","DateFormat=P","Fill=—","Direction=H","UseDPDF=Y")</f>
        <v>0</v>
      </c>
      <c r="J63" s="12">
        <f>_xll.BDH("FIS US Equity","CF_TAX_BENEFIT_FRM_STOCK_OPTIONS","FY 2018","FY 2018","Currency=USD","Period=FY","BEST_FPERIOD_OVERRIDE=FY","FILING_STATUS=MR","SCALING_FORMAT=MLN","Sort=A","Dates=H","DateFormat=P","Fill=—","Direction=H","UseDPDF=Y")</f>
        <v>0</v>
      </c>
      <c r="K63" s="12">
        <f>_xll.BDH("FIS US Equity","CF_TAX_BENEFIT_FRM_STOCK_OPTIONS","FY 2019","FY 2019","Currency=USD","Period=FY","BEST_FPERIOD_OVERRIDE=FY","FILING_STATUS=MR","SCALING_FORMAT=MLN","Sort=A","Dates=H","DateFormat=P","Fill=—","Direction=H","UseDPDF=Y")</f>
        <v>0</v>
      </c>
      <c r="L63" s="14">
        <v>0</v>
      </c>
    </row>
    <row r="64" spans="1:12" x14ac:dyDescent="0.45">
      <c r="A64" s="10" t="s">
        <v>118</v>
      </c>
      <c r="B64" s="10" t="s">
        <v>119</v>
      </c>
      <c r="C64" s="12">
        <f>_xll.BDH("FIS US Equity","CF_FREE_CASH_FLOW","FY 2011","FY 2011","Currency=USD","Period=FY","BEST_FPERIOD_OVERRIDE=FY","FILING_STATUS=MR","SCALING_FORMAT=MLN","Sort=A","Dates=H","DateFormat=P","Fill=—","Direction=H","UseDPDF=Y")</f>
        <v>1047.5999999999999</v>
      </c>
      <c r="D64" s="12">
        <f>_xll.BDH("FIS US Equity","CF_FREE_CASH_FLOW","FY 2012","FY 2012","Currency=USD","Period=FY","BEST_FPERIOD_OVERRIDE=FY","FILING_STATUS=MR","SCALING_FORMAT=MLN","Sort=A","Dates=H","DateFormat=P","Fill=—","Direction=H","UseDPDF=Y")</f>
        <v>923</v>
      </c>
      <c r="E64" s="12">
        <f>_xll.BDH("FIS US Equity","CF_FREE_CASH_FLOW","FY 2013","FY 2013","Currency=USD","Period=FY","BEST_FPERIOD_OVERRIDE=FY","FILING_STATUS=MR","SCALING_FORMAT=MLN","Sort=A","Dates=H","DateFormat=P","Fill=—","Direction=H","UseDPDF=Y")</f>
        <v>928.6</v>
      </c>
      <c r="F64" s="12">
        <f>_xll.BDH("FIS US Equity","CF_FREE_CASH_FLOW","FY 2014","FY 2014","Currency=USD","Period=FY","BEST_FPERIOD_OVERRIDE=FY","FILING_STATUS=MR","SCALING_FORMAT=MLN","Sort=A","Dates=H","DateFormat=P","Fill=—","Direction=H","UseDPDF=Y")</f>
        <v>1016</v>
      </c>
      <c r="G64" s="12">
        <f>_xll.BDH("FIS US Equity","CF_FREE_CASH_FLOW","FY 2015","FY 2015","Currency=USD","Period=FY","BEST_FPERIOD_OVERRIDE=FY","FILING_STATUS=MR","SCALING_FORMAT=MLN","Sort=A","Dates=H","DateFormat=P","Fill=—","Direction=H","UseDPDF=Y")</f>
        <v>998</v>
      </c>
      <c r="H64" s="12">
        <f>_xll.BDH("FIS US Equity","CF_FREE_CASH_FLOW","FY 2016","FY 2016","Currency=USD","Period=FY","BEST_FPERIOD_OVERRIDE=FY","FILING_STATUS=MR","SCALING_FORMAT=MLN","Sort=A","Dates=H","DateFormat=P","Fill=—","Direction=H","UseDPDF=Y")</f>
        <v>1780</v>
      </c>
      <c r="I64" s="12">
        <f>_xll.BDH("FIS US Equity","CF_FREE_CASH_FLOW","FY 2017","FY 2017","Currency=USD","Period=FY","BEST_FPERIOD_OVERRIDE=FY","FILING_STATUS=MR","SCALING_FORMAT=MLN","Sort=A","Dates=H","DateFormat=P","Fill=—","Direction=H","UseDPDF=Y")</f>
        <v>1596</v>
      </c>
      <c r="J64" s="12">
        <f>_xll.BDH("FIS US Equity","CF_FREE_CASH_FLOW","FY 2018","FY 2018","Currency=USD","Period=FY","BEST_FPERIOD_OVERRIDE=FY","FILING_STATUS=MR","SCALING_FORMAT=MLN","Sort=A","Dates=H","DateFormat=P","Fill=—","Direction=H","UseDPDF=Y")</f>
        <v>1866</v>
      </c>
      <c r="K64" s="12">
        <f>_xll.BDH("FIS US Equity","CF_FREE_CASH_FLOW","FY 2019","FY 2019","Currency=USD","Period=FY","BEST_FPERIOD_OVERRIDE=FY","FILING_STATUS=MR","SCALING_FORMAT=MLN","Sort=A","Dates=H","DateFormat=P","Fill=—","Direction=H","UseDPDF=Y")</f>
        <v>2210</v>
      </c>
      <c r="L64" s="14">
        <v>3442</v>
      </c>
    </row>
    <row r="65" spans="1:12" x14ac:dyDescent="0.45">
      <c r="A65" s="10" t="s">
        <v>120</v>
      </c>
      <c r="B65" s="10" t="s">
        <v>121</v>
      </c>
      <c r="C65" s="12">
        <f>_xll.BDH("FIS US Equity","CF_FREE_CASH_FLOW_FIRM","FY 2011","FY 2011","Currency=USD","Period=FY","BEST_FPERIOD_OVERRIDE=FY","FILING_STATUS=MR","SCALING_FORMAT=MLN","FA_ADJUSTED=GAAP","Sort=A","Dates=H","DateFormat=P","Fill=—","Direction=H","UseDPDF=Y")</f>
        <v>1227.7514000000001</v>
      </c>
      <c r="D65" s="12">
        <f>_xll.BDH("FIS US Equity","CF_FREE_CASH_FLOW_FIRM","FY 2012","FY 2012","Currency=USD","Period=FY","BEST_FPERIOD_OVERRIDE=FY","FILING_STATUS=MR","SCALING_FORMAT=MLN","FA_ADJUSTED=GAAP","Sort=A","Dates=H","DateFormat=P","Fill=—","Direction=H","UseDPDF=Y")</f>
        <v>1078.8755000000001</v>
      </c>
      <c r="E65" s="12">
        <f>_xll.BDH("FIS US Equity","CF_FREE_CASH_FLOW_FIRM","FY 2013","FY 2013","Currency=USD","Period=FY","BEST_FPERIOD_OVERRIDE=FY","FILING_STATUS=MR","SCALING_FORMAT=MLN","FA_ADJUSTED=GAAP","Sort=A","Dates=H","DateFormat=P","Fill=—","Direction=H","UseDPDF=Y")</f>
        <v>1052.7039</v>
      </c>
      <c r="F65" s="12">
        <f>_xll.BDH("FIS US Equity","CF_FREE_CASH_FLOW_FIRM","FY 2014","FY 2014","Currency=USD","Period=FY","BEST_FPERIOD_OVERRIDE=FY","FILING_STATUS=MR","SCALING_FORMAT=MLN","FA_ADJUSTED=GAAP","Sort=A","Dates=H","DateFormat=P","Fill=—","Direction=H","UseDPDF=Y")</f>
        <v>1133.962</v>
      </c>
      <c r="G65" s="12">
        <f>_xll.BDH("FIS US Equity","CF_FREE_CASH_FLOW_FIRM","FY 2015","FY 2015","Currency=USD","Period=FY","BEST_FPERIOD_OVERRIDE=FY","FILING_STATUS=MR","SCALING_FORMAT=MLN","FA_ADJUSTED=GAAP","Sort=A","Dates=H","DateFormat=P","Fill=—","Direction=H","UseDPDF=Y")</f>
        <v>1124.27</v>
      </c>
      <c r="H65" s="12">
        <f>_xll.BDH("FIS US Equity","CF_FREE_CASH_FLOW_FIRM","FY 2016","FY 2016","Currency=USD","Period=FY","BEST_FPERIOD_OVERRIDE=FY","FILING_STATUS=MR","SCALING_FORMAT=MLN","FA_ADJUSTED=GAAP","Sort=A","Dates=H","DateFormat=P","Fill=—","Direction=H","UseDPDF=Y")</f>
        <v>2042.8888999999999</v>
      </c>
      <c r="I65" s="12" t="str">
        <f>_xll.BDH("FIS US Equity","CF_FREE_CASH_FLOW_FIRM","FY 2017","FY 2017","Currency=USD","Period=FY","BEST_FPERIOD_OVERRIDE=FY","FILING_STATUS=MR","SCALING_FORMAT=MLN","FA_ADJUSTED=GAAP","Sort=A","Dates=H","DateFormat=P","Fill=—","Direction=H","UseDPDF=Y")</f>
        <v>—</v>
      </c>
      <c r="J65" s="12">
        <f>_xll.BDH("FIS US Equity","CF_FREE_CASH_FLOW_FIRM","FY 2018","FY 2018","Currency=USD","Period=FY","BEST_FPERIOD_OVERRIDE=FY","FILING_STATUS=MR","SCALING_FORMAT=MLN","FA_ADJUSTED=GAAP","Sort=A","Dates=H","DateFormat=P","Fill=—","Direction=H","UseDPDF=Y")</f>
        <v>2120.8406</v>
      </c>
      <c r="K65" s="12">
        <f>_xll.BDH("FIS US Equity","CF_FREE_CASH_FLOW_FIRM","FY 2019","FY 2019","Currency=USD","Period=FY","BEST_FPERIOD_OVERRIDE=FY","FILING_STATUS=MR","SCALING_FORMAT=MLN","FA_ADJUSTED=GAAP","Sort=A","Dates=H","DateFormat=P","Fill=—","Direction=H","UseDPDF=Y")</f>
        <v>2504.8110999999999</v>
      </c>
      <c r="L65" s="14">
        <v>3669.1111921501602</v>
      </c>
    </row>
    <row r="66" spans="1:12" x14ac:dyDescent="0.45">
      <c r="A66" s="10" t="s">
        <v>122</v>
      </c>
      <c r="B66" s="10" t="s">
        <v>123</v>
      </c>
      <c r="C66" s="12">
        <f>_xll.BDH("FIS US Equity","FREE_CASH_FLOW_EQUITY","FY 2011","FY 2011","Currency=USD","Period=FY","BEST_FPERIOD_OVERRIDE=FY","FILING_STATUS=MR","SCALING_FORMAT=MLN","Sort=A","Dates=H","DateFormat=P","Fill=—","Direction=H","UseDPDF=Y")</f>
        <v>633.70000000000005</v>
      </c>
      <c r="D66" s="12">
        <f>_xll.BDH("FIS US Equity","FREE_CASH_FLOW_EQUITY","FY 2012","FY 2012","Currency=USD","Period=FY","BEST_FPERIOD_OVERRIDE=FY","FILING_STATUS=MR","SCALING_FORMAT=MLN","Sort=A","Dates=H","DateFormat=P","Fill=—","Direction=H","UseDPDF=Y")</f>
        <v>495.9</v>
      </c>
      <c r="E66" s="12">
        <f>_xll.BDH("FIS US Equity","FREE_CASH_FLOW_EQUITY","FY 2013","FY 2013","Currency=USD","Period=FY","BEST_FPERIOD_OVERRIDE=FY","FILING_STATUS=MR","SCALING_FORMAT=MLN","Sort=A","Dates=H","DateFormat=P","Fill=—","Direction=H","UseDPDF=Y")</f>
        <v>1028</v>
      </c>
      <c r="F66" s="12">
        <f>_xll.BDH("FIS US Equity","FREE_CASH_FLOW_EQUITY","FY 2014","FY 2014","Currency=USD","Period=FY","BEST_FPERIOD_OVERRIDE=FY","FILING_STATUS=MR","SCALING_FORMAT=MLN","Sort=A","Dates=H","DateFormat=P","Fill=—","Direction=H","UseDPDF=Y")</f>
        <v>1588</v>
      </c>
      <c r="G66" s="12">
        <f>_xll.BDH("FIS US Equity","FREE_CASH_FLOW_EQUITY","FY 2015","FY 2015","Currency=USD","Period=FY","BEST_FPERIOD_OVERRIDE=FY","FILING_STATUS=MR","SCALING_FORMAT=MLN","Sort=A","Dates=H","DateFormat=P","Fill=—","Direction=H","UseDPDF=Y")</f>
        <v>2894</v>
      </c>
      <c r="H66" s="12">
        <f>_xll.BDH("FIS US Equity","FREE_CASH_FLOW_EQUITY","FY 2016","FY 2016","Currency=USD","Period=FY","BEST_FPERIOD_OVERRIDE=FY","FILING_STATUS=MR","SCALING_FORMAT=MLN","Sort=A","Dates=H","DateFormat=P","Fill=—","Direction=H","UseDPDF=Y")</f>
        <v>776</v>
      </c>
      <c r="I66" s="12">
        <f>_xll.BDH("FIS US Equity","FREE_CASH_FLOW_EQUITY","FY 2017","FY 2017","Currency=USD","Period=FY","BEST_FPERIOD_OVERRIDE=FY","FILING_STATUS=MR","SCALING_FORMAT=MLN","Sort=A","Dates=H","DateFormat=P","Fill=—","Direction=H","UseDPDF=Y")</f>
        <v>-478</v>
      </c>
      <c r="J66" s="12">
        <f>_xll.BDH("FIS US Equity","FREE_CASH_FLOW_EQUITY","FY 2018","FY 2018","Currency=USD","Period=FY","BEST_FPERIOD_OVERRIDE=FY","FILING_STATUS=MR","SCALING_FORMAT=MLN","Sort=A","Dates=H","DateFormat=P","Fill=—","Direction=H","UseDPDF=Y")</f>
        <v>2089</v>
      </c>
      <c r="K66" s="12">
        <f>_xll.BDH("FIS US Equity","FREE_CASH_FLOW_EQUITY","FY 2019","FY 2019","Currency=USD","Period=FY","BEST_FPERIOD_OVERRIDE=FY","FILING_STATUS=MR","SCALING_FORMAT=MLN","Sort=A","Dates=H","DateFormat=P","Fill=—","Direction=H","UseDPDF=Y")</f>
        <v>10890</v>
      </c>
      <c r="L66" s="14">
        <v>2173</v>
      </c>
    </row>
    <row r="67" spans="1:12" x14ac:dyDescent="0.45">
      <c r="A67" s="10" t="s">
        <v>124</v>
      </c>
      <c r="B67" s="10" t="s">
        <v>125</v>
      </c>
      <c r="C67" s="13">
        <f>_xll.BDH("FIS US Equity","FREE_CASH_FLOW_PER_SH","FY 2011","FY 2011","Currency=USD","Period=FY","BEST_FPERIOD_OVERRIDE=FY","FILING_STATUS=MR","Sort=A","Dates=H","DateFormat=P","Fill=—","Direction=H","UseDPDF=Y")</f>
        <v>3.4849999999999999</v>
      </c>
      <c r="D67" s="13">
        <f>_xll.BDH("FIS US Equity","FREE_CASH_FLOW_PER_SH","FY 2012","FY 2012","Currency=USD","Period=FY","BEST_FPERIOD_OVERRIDE=FY","FILING_STATUS=MR","Sort=A","Dates=H","DateFormat=P","Fill=—","Direction=H","UseDPDF=Y")</f>
        <v>3.1631</v>
      </c>
      <c r="E67" s="13">
        <f>_xll.BDH("FIS US Equity","FREE_CASH_FLOW_PER_SH","FY 2013","FY 2013","Currency=USD","Period=FY","BEST_FPERIOD_OVERRIDE=FY","FILING_STATUS=MR","Sort=A","Dates=H","DateFormat=P","Fill=—","Direction=H","UseDPDF=Y")</f>
        <v>3.2054</v>
      </c>
      <c r="F67" s="13">
        <f>_xll.BDH("FIS US Equity","FREE_CASH_FLOW_PER_SH","FY 2014","FY 2014","Currency=USD","Period=FY","BEST_FPERIOD_OVERRIDE=FY","FILING_STATUS=MR","Sort=A","Dates=H","DateFormat=P","Fill=—","Direction=H","UseDPDF=Y")</f>
        <v>3.5648999999999997</v>
      </c>
      <c r="G67" s="13">
        <f>_xll.BDH("FIS US Equity","FREE_CASH_FLOW_PER_SH","FY 2015","FY 2015","Currency=USD","Period=FY","BEST_FPERIOD_OVERRIDE=FY","FILING_STATUS=MR","Sort=A","Dates=H","DateFormat=P","Fill=—","Direction=H","UseDPDF=Y")</f>
        <v>3.5018000000000002</v>
      </c>
      <c r="H67" s="13">
        <f>_xll.BDH("FIS US Equity","FREE_CASH_FLOW_PER_SH","FY 2016","FY 2016","Currency=USD","Period=FY","BEST_FPERIOD_OVERRIDE=FY","FILING_STATUS=MR","Sort=A","Dates=H","DateFormat=P","Fill=—","Direction=H","UseDPDF=Y")</f>
        <v>5.4600999999999997</v>
      </c>
      <c r="I67" s="13">
        <f>_xll.BDH("FIS US Equity","FREE_CASH_FLOW_PER_SH","FY 2017","FY 2017","Currency=USD","Period=FY","BEST_FPERIOD_OVERRIDE=FY","FILING_STATUS=MR","Sort=A","Dates=H","DateFormat=P","Fill=—","Direction=H","UseDPDF=Y")</f>
        <v>4.8364000000000003</v>
      </c>
      <c r="J67" s="13">
        <f>_xll.BDH("FIS US Equity","FREE_CASH_FLOW_PER_SH","FY 2018","FY 2018","Currency=USD","Period=FY","BEST_FPERIOD_OVERRIDE=FY","FILING_STATUS=MR","Sort=A","Dates=H","DateFormat=P","Fill=—","Direction=H","UseDPDF=Y")</f>
        <v>5.6890000000000001</v>
      </c>
      <c r="K67" s="13">
        <f>_xll.BDH("FIS US Equity","FREE_CASH_FLOW_PER_SH","FY 2019","FY 2019","Currency=USD","Period=FY","BEST_FPERIOD_OVERRIDE=FY","FILING_STATUS=MR","Sort=A","Dates=H","DateFormat=P","Fill=—","Direction=H","UseDPDF=Y")</f>
        <v>4.9663000000000004</v>
      </c>
      <c r="L67" s="15">
        <v>5.5707011923498797</v>
      </c>
    </row>
    <row r="68" spans="1:12" x14ac:dyDescent="0.45">
      <c r="A68" s="10" t="s">
        <v>126</v>
      </c>
      <c r="B68" s="10" t="s">
        <v>127</v>
      </c>
      <c r="C68" s="13">
        <f>_xll.BDH("FIS US Equity","PX_TO_FREE_CASH_FLOW","FY 2011","FY 2011","Currency=USD","Period=FY","BEST_FPERIOD_OVERRIDE=FY","FILING_STATUS=MR","Sort=A","Dates=H","DateFormat=P","Fill=—","Direction=H","UseDPDF=Y")</f>
        <v>7.6298000000000004</v>
      </c>
      <c r="D68" s="13">
        <f>_xll.BDH("FIS US Equity","PX_TO_FREE_CASH_FLOW","FY 2012","FY 2012","Currency=USD","Period=FY","BEST_FPERIOD_OVERRIDE=FY","FILING_STATUS=MR","Sort=A","Dates=H","DateFormat=P","Fill=—","Direction=H","UseDPDF=Y")</f>
        <v>11.004899999999999</v>
      </c>
      <c r="E68" s="13">
        <f>_xll.BDH("FIS US Equity","PX_TO_FREE_CASH_FLOW","FY 2013","FY 2013","Currency=USD","Period=FY","BEST_FPERIOD_OVERRIDE=FY","FILING_STATUS=MR","Sort=A","Dates=H","DateFormat=P","Fill=—","Direction=H","UseDPDF=Y")</f>
        <v>16.7468</v>
      </c>
      <c r="F68" s="13">
        <f>_xll.BDH("FIS US Equity","PX_TO_FREE_CASH_FLOW","FY 2014","FY 2014","Currency=USD","Period=FY","BEST_FPERIOD_OVERRIDE=FY","FILING_STATUS=MR","Sort=A","Dates=H","DateFormat=P","Fill=—","Direction=H","UseDPDF=Y")</f>
        <v>17.447800000000001</v>
      </c>
      <c r="G68" s="13">
        <f>_xll.BDH("FIS US Equity","PX_TO_FREE_CASH_FLOW","FY 2015","FY 2015","Currency=USD","Period=FY","BEST_FPERIOD_OVERRIDE=FY","FILING_STATUS=MR","Sort=A","Dates=H","DateFormat=P","Fill=—","Direction=H","UseDPDF=Y")</f>
        <v>17.305599999999998</v>
      </c>
      <c r="H68" s="13">
        <f>_xll.BDH("FIS US Equity","PX_TO_FREE_CASH_FLOW","FY 2016","FY 2016","Currency=USD","Period=FY","BEST_FPERIOD_OVERRIDE=FY","FILING_STATUS=MR","Sort=A","Dates=H","DateFormat=P","Fill=—","Direction=H","UseDPDF=Y")</f>
        <v>13.853199999999999</v>
      </c>
      <c r="I68" s="13">
        <f>_xll.BDH("FIS US Equity","PX_TO_FREE_CASH_FLOW","FY 2017","FY 2017","Currency=USD","Period=FY","BEST_FPERIOD_OVERRIDE=FY","FILING_STATUS=MR","Sort=A","Dates=H","DateFormat=P","Fill=—","Direction=H","UseDPDF=Y")</f>
        <v>19.454699999999999</v>
      </c>
      <c r="J68" s="13">
        <f>_xll.BDH("FIS US Equity","PX_TO_FREE_CASH_FLOW","FY 2018","FY 2018","Currency=USD","Period=FY","BEST_FPERIOD_OVERRIDE=FY","FILING_STATUS=MR","Sort=A","Dates=H","DateFormat=P","Fill=—","Direction=H","UseDPDF=Y")</f>
        <v>18.0259</v>
      </c>
      <c r="K68" s="13">
        <f>_xll.BDH("FIS US Equity","PX_TO_FREE_CASH_FLOW","FY 2019","FY 2019","Currency=USD","Period=FY","BEST_FPERIOD_OVERRIDE=FY","FILING_STATUS=MR","Sort=A","Dates=H","DateFormat=P","Fill=—","Direction=H","UseDPDF=Y")</f>
        <v>28.006799999999998</v>
      </c>
      <c r="L68" s="15">
        <v>23.6828341927508</v>
      </c>
    </row>
    <row r="69" spans="1:12" x14ac:dyDescent="0.45">
      <c r="A69" s="10" t="s">
        <v>128</v>
      </c>
      <c r="B69" s="10" t="s">
        <v>129</v>
      </c>
      <c r="C69" s="13">
        <f>_xll.BDH("FIS US Equity","CASH_FLOW_TO_NET_INC","FY 2011","FY 2011","Currency=USD","Period=FY","BEST_FPERIOD_OVERRIDE=FY","FILING_STATUS=MR","FA_ADJUSTED=GAAP","Sort=A","Dates=H","DateFormat=P","Fill=—","Direction=H","UseDPDF=Y")</f>
        <v>2.4946999999999999</v>
      </c>
      <c r="D69" s="13">
        <f>_xll.BDH("FIS US Equity","CASH_FLOW_TO_NET_INC","FY 2012","FY 2012","Currency=USD","Period=FY","BEST_FPERIOD_OVERRIDE=FY","FILING_STATUS=MR","FA_ADJUSTED=GAAP","Sort=A","Dates=H","DateFormat=P","Fill=—","Direction=H","UseDPDF=Y")</f>
        <v>2.2694999999999999</v>
      </c>
      <c r="E69" s="13">
        <f>_xll.BDH("FIS US Equity","CASH_FLOW_TO_NET_INC","FY 2013","FY 2013","Currency=USD","Period=FY","BEST_FPERIOD_OVERRIDE=FY","FILING_STATUS=MR","FA_ADJUSTED=GAAP","Sort=A","Dates=H","DateFormat=P","Fill=—","Direction=H","UseDPDF=Y")</f>
        <v>2.1503000000000001</v>
      </c>
      <c r="F69" s="13">
        <f>_xll.BDH("FIS US Equity","CASH_FLOW_TO_NET_INC","FY 2014","FY 2014","Currency=USD","Period=FY","BEST_FPERIOD_OVERRIDE=FY","FILING_STATUS=MR","FA_ADJUSTED=GAAP","Sort=A","Dates=H","DateFormat=P","Fill=—","Direction=H","UseDPDF=Y")</f>
        <v>1.7158</v>
      </c>
      <c r="G69" s="13">
        <f>_xll.BDH("FIS US Equity","CASH_FLOW_TO_NET_INC","FY 2015","FY 2015","Currency=USD","Period=FY","BEST_FPERIOD_OVERRIDE=FY","FILING_STATUS=MR","FA_ADJUSTED=GAAP","Sort=A","Dates=H","DateFormat=P","Fill=—","Direction=H","UseDPDF=Y")</f>
        <v>1.7896000000000001</v>
      </c>
      <c r="H69" s="13">
        <f>_xll.BDH("FIS US Equity","CASH_FLOW_TO_NET_INC","FY 2016","FY 2016","Currency=USD","Period=FY","BEST_FPERIOD_OVERRIDE=FY","FILING_STATUS=MR","FA_ADJUSTED=GAAP","Sort=A","Dates=H","DateFormat=P","Fill=—","Direction=H","UseDPDF=Y")</f>
        <v>3.6667000000000001</v>
      </c>
      <c r="I69" s="13">
        <f>_xll.BDH("FIS US Equity","CASH_FLOW_TO_NET_INC","FY 2017","FY 2017","Currency=USD","Period=FY","BEST_FPERIOD_OVERRIDE=FY","FILING_STATUS=MR","FA_ADJUSTED=GAAP","Sort=A","Dates=H","DateFormat=P","Fill=—","Direction=H","UseDPDF=Y")</f>
        <v>1.3807</v>
      </c>
      <c r="J69" s="13">
        <f>_xll.BDH("FIS US Equity","CASH_FLOW_TO_NET_INC","FY 2018","FY 2018","Currency=USD","Period=FY","BEST_FPERIOD_OVERRIDE=FY","FILING_STATUS=MR","FA_ADJUSTED=GAAP","Sort=A","Dates=H","DateFormat=P","Fill=—","Direction=H","UseDPDF=Y")</f>
        <v>2.3557999999999999</v>
      </c>
      <c r="K69" s="13">
        <f>_xll.BDH("FIS US Equity","CASH_FLOW_TO_NET_INC","FY 2019","FY 2019","Currency=USD","Period=FY","BEST_FPERIOD_OVERRIDE=FY","FILING_STATUS=MR","FA_ADJUSTED=GAAP","Sort=A","Dates=H","DateFormat=P","Fill=—","Direction=H","UseDPDF=Y")</f>
        <v>8.0871999999999993</v>
      </c>
      <c r="L69" s="15">
        <v>70.55</v>
      </c>
    </row>
    <row r="70" spans="1:12" x14ac:dyDescent="0.45">
      <c r="A70" s="7" t="s">
        <v>130</v>
      </c>
      <c r="B70" s="7"/>
      <c r="C70" s="7" t="s">
        <v>1</v>
      </c>
      <c r="D70" s="7"/>
      <c r="E70" s="7"/>
      <c r="F70" s="7"/>
      <c r="G70" s="7"/>
      <c r="H70" s="7"/>
      <c r="I70" s="7"/>
      <c r="J70" s="7"/>
      <c r="K70" s="7"/>
      <c r="L7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- Standardized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Ryan Malloy</cp:lastModifiedBy>
  <dcterms:created xsi:type="dcterms:W3CDTF">2013-04-03T15:49:21Z</dcterms:created>
  <dcterms:modified xsi:type="dcterms:W3CDTF">2021-02-05T21:10:54Z</dcterms:modified>
</cp:coreProperties>
</file>