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j\Downloads\"/>
    </mc:Choice>
  </mc:AlternateContent>
  <xr:revisionPtr revIDLastSave="0" documentId="8_{9AB2CCA2-EF84-4A69-87A3-8DFFCD8118BE}" xr6:coauthVersionLast="45" xr6:coauthVersionMax="45" xr10:uidLastSave="{00000000-0000-0000-0000-000000000000}"/>
  <bookViews>
    <workbookView xWindow="6045" yWindow="-16320" windowWidth="29040" windowHeight="15840" xr2:uid="{00000000-000D-0000-FFFF-FFFF00000000}"/>
  </bookViews>
  <sheets>
    <sheet name="Income - Adjusted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F6" i="2"/>
  <c r="D12" i="2"/>
  <c r="F22" i="2"/>
  <c r="E19" i="2"/>
  <c r="I23" i="2"/>
  <c r="I7" i="2"/>
  <c r="C27" i="2"/>
  <c r="E11" i="2"/>
  <c r="H32" i="2"/>
  <c r="G45" i="2"/>
  <c r="H14" i="2"/>
  <c r="C17" i="2"/>
  <c r="G29" i="2"/>
  <c r="D34" i="2"/>
  <c r="I39" i="2"/>
  <c r="C50" i="2"/>
  <c r="H76" i="2"/>
  <c r="D42" i="2"/>
  <c r="F36" i="2"/>
  <c r="H56" i="2"/>
  <c r="C60" i="2"/>
  <c r="F54" i="2"/>
  <c r="D61" i="2"/>
  <c r="I57" i="2"/>
  <c r="F66" i="2"/>
  <c r="C71" i="2"/>
  <c r="G67" i="2"/>
  <c r="D72" i="2"/>
  <c r="I69" i="2"/>
  <c r="E62" i="2"/>
  <c r="H68" i="2"/>
  <c r="E73" i="2"/>
  <c r="F74" i="2"/>
  <c r="G75" i="2"/>
  <c r="D9" i="2"/>
  <c r="I6" i="2"/>
  <c r="C8" i="2"/>
  <c r="G12" i="2"/>
  <c r="E10" i="2"/>
  <c r="I14" i="2"/>
  <c r="H13" i="2"/>
  <c r="F11" i="2"/>
  <c r="C24" i="2"/>
  <c r="C16" i="2"/>
  <c r="E18" i="2"/>
  <c r="F19" i="2"/>
  <c r="D17" i="2"/>
  <c r="G20" i="2"/>
  <c r="H21" i="2"/>
  <c r="E26" i="2"/>
  <c r="I22" i="2"/>
  <c r="D25" i="2"/>
  <c r="C32" i="2"/>
  <c r="F27" i="2"/>
  <c r="I30" i="2"/>
  <c r="H29" i="2"/>
  <c r="G28" i="2"/>
  <c r="F35" i="2"/>
  <c r="F43" i="2"/>
  <c r="D33" i="2"/>
  <c r="D41" i="2"/>
  <c r="G36" i="2"/>
  <c r="E34" i="2"/>
  <c r="G44" i="2"/>
  <c r="E42" i="2"/>
  <c r="I38" i="2"/>
  <c r="H37" i="2"/>
  <c r="G74" i="2"/>
  <c r="H45" i="2"/>
  <c r="D50" i="2"/>
  <c r="I46" i="2"/>
  <c r="C48" i="2"/>
  <c r="G54" i="2"/>
  <c r="H55" i="2"/>
  <c r="E51" i="2"/>
  <c r="C59" i="2"/>
  <c r="I56" i="2"/>
  <c r="H67" i="2"/>
  <c r="D60" i="2"/>
  <c r="G66" i="2"/>
  <c r="E61" i="2"/>
  <c r="F62" i="2"/>
  <c r="I68" i="2"/>
  <c r="F73" i="2"/>
  <c r="E72" i="2"/>
  <c r="C70" i="2"/>
  <c r="D71" i="2"/>
  <c r="H75" i="2"/>
  <c r="D70" i="2"/>
  <c r="E71" i="2"/>
  <c r="E37" i="2"/>
  <c r="I76" i="2"/>
  <c r="G73" i="2"/>
  <c r="F72" i="2"/>
  <c r="F30" i="2"/>
  <c r="H74" i="2"/>
  <c r="I75" i="2"/>
  <c r="C77" i="2"/>
  <c r="G15" i="2"/>
  <c r="G7" i="2"/>
  <c r="H22" i="2"/>
  <c r="G23" i="2"/>
  <c r="G13" i="2"/>
  <c r="F20" i="2"/>
  <c r="D51" i="2"/>
  <c r="D26" i="2"/>
  <c r="C9" i="2"/>
  <c r="C33" i="2"/>
  <c r="G37" i="2"/>
  <c r="F28" i="2"/>
  <c r="C7" i="2"/>
  <c r="F44" i="2"/>
  <c r="I47" i="2"/>
  <c r="C41" i="2"/>
  <c r="E17" i="2"/>
  <c r="E25" i="2"/>
  <c r="F10" i="2"/>
  <c r="H28" i="2"/>
  <c r="I13" i="2"/>
  <c r="I21" i="2"/>
  <c r="H36" i="2"/>
  <c r="C31" i="2"/>
  <c r="G35" i="2"/>
  <c r="E33" i="2"/>
  <c r="E41" i="2"/>
  <c r="I37" i="2"/>
  <c r="F42" i="2"/>
  <c r="C39" i="2"/>
  <c r="D59" i="2"/>
  <c r="G43" i="2"/>
  <c r="I45" i="2"/>
  <c r="H54" i="2"/>
  <c r="H44" i="2"/>
  <c r="C57" i="2"/>
  <c r="C47" i="2"/>
  <c r="D48" i="2"/>
  <c r="E50" i="2"/>
  <c r="I55" i="2"/>
  <c r="G62" i="2"/>
  <c r="F51" i="2"/>
  <c r="F61" i="2"/>
  <c r="E60" i="2"/>
  <c r="H66" i="2"/>
  <c r="I67" i="2"/>
  <c r="E8" i="2"/>
  <c r="G10" i="2"/>
  <c r="F9" i="2"/>
  <c r="C69" i="2"/>
  <c r="H11" i="2"/>
  <c r="D7" i="2"/>
  <c r="G18" i="2"/>
  <c r="C14" i="2"/>
  <c r="C6" i="2"/>
  <c r="I12" i="2"/>
  <c r="D15" i="2"/>
  <c r="E16" i="2"/>
  <c r="F17" i="2"/>
  <c r="E24" i="2"/>
  <c r="H19" i="2"/>
  <c r="D23" i="2"/>
  <c r="I20" i="2"/>
  <c r="C22" i="2"/>
  <c r="G26" i="2"/>
  <c r="I28" i="2"/>
  <c r="F25" i="2"/>
  <c r="E32" i="2"/>
  <c r="C30" i="2"/>
  <c r="H27" i="2"/>
  <c r="G34" i="2"/>
  <c r="H35" i="2"/>
  <c r="F33" i="2"/>
  <c r="D39" i="2"/>
  <c r="D31" i="2"/>
  <c r="I36" i="2"/>
  <c r="I44" i="2"/>
  <c r="H43" i="2"/>
  <c r="C38" i="2"/>
  <c r="F60" i="2"/>
  <c r="G42" i="2"/>
  <c r="F41" i="2"/>
  <c r="G61" i="2"/>
  <c r="D47" i="2"/>
  <c r="C46" i="2"/>
  <c r="G51" i="2"/>
  <c r="E48" i="2"/>
  <c r="F50" i="2"/>
  <c r="D57" i="2"/>
  <c r="I54" i="2"/>
  <c r="E59" i="2"/>
  <c r="C68" i="2"/>
  <c r="C56" i="2"/>
  <c r="I66" i="2"/>
  <c r="H62" i="2"/>
  <c r="E13" i="2"/>
  <c r="D69" i="2"/>
  <c r="E70" i="2"/>
  <c r="F71" i="2"/>
  <c r="G72" i="2"/>
  <c r="I74" i="2"/>
  <c r="C76" i="2"/>
  <c r="C19" i="2"/>
  <c r="H73" i="2"/>
  <c r="D77" i="2"/>
  <c r="H8" i="2"/>
  <c r="H6" i="2"/>
  <c r="H38" i="2"/>
  <c r="C35" i="2"/>
  <c r="H24" i="2"/>
  <c r="I15" i="2"/>
  <c r="F12" i="2"/>
  <c r="G21" i="2"/>
  <c r="H30" i="2"/>
  <c r="D18" i="2"/>
  <c r="E27" i="2"/>
  <c r="E35" i="2"/>
  <c r="C25" i="2"/>
  <c r="E43" i="2"/>
  <c r="I31" i="2"/>
  <c r="G55" i="2"/>
  <c r="H46" i="2"/>
  <c r="G11" i="2"/>
  <c r="D8" i="2"/>
  <c r="C15" i="2"/>
  <c r="H20" i="2"/>
  <c r="I29" i="2"/>
  <c r="F18" i="2"/>
  <c r="G9" i="2"/>
  <c r="G27" i="2"/>
  <c r="D24" i="2"/>
  <c r="E7" i="2"/>
  <c r="F34" i="2"/>
  <c r="I11" i="2"/>
  <c r="D14" i="2"/>
  <c r="D6" i="2"/>
  <c r="F8" i="2"/>
  <c r="H10" i="2"/>
  <c r="C13" i="2"/>
  <c r="E15" i="2"/>
  <c r="H18" i="2"/>
  <c r="F16" i="2"/>
  <c r="C21" i="2"/>
  <c r="I19" i="2"/>
  <c r="G17" i="2"/>
  <c r="D30" i="2"/>
  <c r="E23" i="2"/>
  <c r="H26" i="2"/>
  <c r="E31" i="2"/>
  <c r="D22" i="2"/>
  <c r="F24" i="2"/>
  <c r="H34" i="2"/>
  <c r="C29" i="2"/>
  <c r="I27" i="2"/>
  <c r="G25" i="2"/>
  <c r="G60" i="2"/>
  <c r="F32" i="2"/>
  <c r="C37" i="2"/>
  <c r="C55" i="2"/>
  <c r="G33" i="2"/>
  <c r="I35" i="2"/>
  <c r="D38" i="2"/>
  <c r="E39" i="2"/>
  <c r="F52" i="2"/>
  <c r="F40" i="2"/>
  <c r="G41" i="2"/>
  <c r="H42" i="2"/>
  <c r="I43" i="2"/>
  <c r="D46" i="2"/>
  <c r="C45" i="2"/>
  <c r="F48" i="2"/>
  <c r="G50" i="2"/>
  <c r="E47" i="2"/>
  <c r="D28" i="2"/>
  <c r="H51" i="2"/>
  <c r="D56" i="2"/>
  <c r="E57" i="2"/>
  <c r="H61" i="2"/>
  <c r="I62" i="2"/>
  <c r="F59" i="2"/>
  <c r="D68" i="2"/>
  <c r="H72" i="2"/>
  <c r="F70" i="2"/>
  <c r="C67" i="2"/>
  <c r="E69" i="2"/>
  <c r="C75" i="2"/>
  <c r="G71" i="2"/>
  <c r="I73" i="2"/>
  <c r="E9" i="2"/>
  <c r="D10" i="2"/>
  <c r="D76" i="2"/>
  <c r="E77" i="2"/>
  <c r="C11" i="2"/>
  <c r="D32" i="2"/>
  <c r="H16" i="2"/>
  <c r="I33" i="2"/>
  <c r="E21" i="2"/>
  <c r="F7" i="2"/>
  <c r="E52" i="2"/>
  <c r="E40" i="2"/>
  <c r="D16" i="2"/>
  <c r="H12" i="2"/>
  <c r="C23" i="2"/>
  <c r="G19" i="2"/>
  <c r="F26" i="2"/>
  <c r="F15" i="2"/>
  <c r="E6" i="2"/>
  <c r="H9" i="2"/>
  <c r="G8" i="2"/>
  <c r="I10" i="2"/>
  <c r="D13" i="2"/>
  <c r="C12" i="2"/>
  <c r="H17" i="2"/>
  <c r="D21" i="2"/>
  <c r="E14" i="2"/>
  <c r="F23" i="2"/>
  <c r="I18" i="2"/>
  <c r="G16" i="2"/>
  <c r="I34" i="2"/>
  <c r="E22" i="2"/>
  <c r="G24" i="2"/>
  <c r="C20" i="2"/>
  <c r="I26" i="2"/>
  <c r="F31" i="2"/>
  <c r="D29" i="2"/>
  <c r="F57" i="2"/>
  <c r="H25" i="2"/>
  <c r="C28" i="2"/>
  <c r="G32" i="2"/>
  <c r="E30" i="2"/>
  <c r="H33" i="2"/>
  <c r="C36" i="2"/>
  <c r="F39" i="2"/>
  <c r="D37" i="2"/>
  <c r="E38" i="2"/>
  <c r="F47" i="2"/>
  <c r="G52" i="2"/>
  <c r="G40" i="2"/>
  <c r="H41" i="2"/>
  <c r="D45" i="2"/>
  <c r="C44" i="2"/>
  <c r="I42" i="2"/>
  <c r="E46" i="2"/>
  <c r="H50" i="2"/>
  <c r="C54" i="2"/>
  <c r="G48" i="2"/>
  <c r="I72" i="2"/>
  <c r="D67" i="2"/>
  <c r="I51" i="2"/>
  <c r="G59" i="2"/>
  <c r="E56" i="2"/>
  <c r="H60" i="2"/>
  <c r="I61" i="2"/>
  <c r="E68" i="2"/>
  <c r="D55" i="2"/>
  <c r="C66" i="2"/>
  <c r="F69" i="2"/>
  <c r="H71" i="2"/>
  <c r="G70" i="2"/>
  <c r="E76" i="2"/>
  <c r="C74" i="2"/>
  <c r="I9" i="2"/>
  <c r="G77" i="2"/>
  <c r="F77" i="2"/>
  <c r="I25" i="2"/>
  <c r="D20" i="2"/>
  <c r="F14" i="2"/>
  <c r="G31" i="2"/>
  <c r="D75" i="2"/>
  <c r="H52" i="2"/>
  <c r="H40" i="2"/>
  <c r="E29" i="2"/>
  <c r="D36" i="2"/>
  <c r="G39" i="2"/>
  <c r="I41" i="2"/>
  <c r="F38" i="2"/>
  <c r="D44" i="2"/>
  <c r="C18" i="2"/>
  <c r="C43" i="2"/>
  <c r="E45" i="2"/>
  <c r="H7" i="2"/>
  <c r="F46" i="2"/>
  <c r="H48" i="2"/>
  <c r="D74" i="2"/>
  <c r="G47" i="2"/>
  <c r="C52" i="2"/>
  <c r="C40" i="2"/>
  <c r="I50" i="2"/>
  <c r="H59" i="2"/>
  <c r="D54" i="2"/>
  <c r="F67" i="2"/>
  <c r="E55" i="2"/>
  <c r="D19" i="2"/>
  <c r="F56" i="2"/>
  <c r="G57" i="2"/>
  <c r="C62" i="2"/>
  <c r="D66" i="2"/>
  <c r="C73" i="2"/>
  <c r="I60" i="2"/>
  <c r="E67" i="2"/>
  <c r="F68" i="2"/>
  <c r="F76" i="2"/>
  <c r="G69" i="2"/>
  <c r="I71" i="2"/>
  <c r="E75" i="2"/>
  <c r="H70" i="2"/>
  <c r="H15" i="2"/>
  <c r="H31" i="2"/>
  <c r="E12" i="2"/>
  <c r="D11" i="2"/>
  <c r="C10" i="2"/>
  <c r="I8" i="2"/>
  <c r="G6" i="2"/>
  <c r="I16" i="2"/>
  <c r="F13" i="2"/>
  <c r="D52" i="2"/>
  <c r="D40" i="2"/>
  <c r="I32" i="2"/>
  <c r="G14" i="2"/>
  <c r="F21" i="2"/>
  <c r="E20" i="2"/>
  <c r="D62" i="2"/>
  <c r="I24" i="2"/>
  <c r="G22" i="2"/>
  <c r="H23" i="2"/>
  <c r="D27" i="2"/>
  <c r="C26" i="2"/>
  <c r="D35" i="2"/>
  <c r="F29" i="2"/>
  <c r="G46" i="2"/>
  <c r="G30" i="2"/>
  <c r="C34" i="2"/>
  <c r="F55" i="2"/>
  <c r="H57" i="2"/>
  <c r="E28" i="2"/>
  <c r="E36" i="2"/>
  <c r="E66" i="2"/>
  <c r="F37" i="2"/>
  <c r="G38" i="2"/>
  <c r="H39" i="2"/>
  <c r="C42" i="2"/>
  <c r="D43" i="2"/>
  <c r="I52" i="2"/>
  <c r="I40" i="2"/>
  <c r="E44" i="2"/>
  <c r="I48" i="2"/>
  <c r="C51" i="2"/>
  <c r="H47" i="2"/>
  <c r="F45" i="2"/>
  <c r="E54" i="2"/>
  <c r="G56" i="2"/>
  <c r="I70" i="2"/>
  <c r="C61" i="2"/>
  <c r="G68" i="2"/>
  <c r="C72" i="2"/>
  <c r="H69" i="2"/>
  <c r="I59" i="2"/>
  <c r="D73" i="2"/>
  <c r="F75" i="2"/>
  <c r="G76" i="2"/>
  <c r="E74" i="2"/>
  <c r="I77" i="2"/>
  <c r="H77" i="2"/>
</calcChain>
</file>

<file path=xl/sharedStrings.xml><?xml version="1.0" encoding="utf-8"?>
<sst xmlns="http://schemas.openxmlformats.org/spreadsheetml/2006/main" count="167" uniqueCount="155">
  <si>
    <t>Revenue</t>
  </si>
  <si>
    <t>Gross Profit</t>
  </si>
  <si>
    <t>Reference Items</t>
  </si>
  <si>
    <t>Right click to show data transparency (not supported for all values)</t>
  </si>
  <si>
    <t>Fidelity National Information Services Inc (FIS US) - Adjusted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</si>
  <si>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</si>
  <si>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</si>
  <si>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</si>
  <si>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</si>
  <si>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</si>
  <si>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</si>
  <si>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</si>
  <si>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</si>
  <si>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Last 12M</t>
  </si>
  <si>
    <t>FY 2020 Est</t>
  </si>
  <si>
    <t>FY 2021 Est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</si>
  <si>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</si>
  <si>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</si>
  <si>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</si>
  <si>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</si>
  <si>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</si>
  <si>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</si>
  <si>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</si>
  <si>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</si>
  <si>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09/30/2020</t>
  </si>
  <si>
    <t>12/31/2020</t>
  </si>
  <si>
    <t>12/31/2021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</si>
  <si>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</si>
  <si>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</si>
  <si>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</si>
  <si>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</si>
  <si>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</si>
  <si>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</si>
  <si>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</si>
  <si>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</si>
  <si>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</si>
  <si>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</si>
  <si>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</si>
  <si>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</si>
  <si>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</si>
  <si>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</si>
  <si>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Research &amp; Development</t>
  </si>
  <si>
    <t>IS_OPEX_R&amp;D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</si>
  <si>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</si>
  <si>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</si>
  <si>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</si>
  <si>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</si>
  <si>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</si>
  <si>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</si>
  <si>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</si>
  <si>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</si>
  <si>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</si>
  <si>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</si>
  <si>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</si>
  <si>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</si>
  <si>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</si>
  <si>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</si>
  <si>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</si>
  <si>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</si>
  <si>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</si>
  <si>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</si>
  <si>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</si>
  <si>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</si>
  <si>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</si>
  <si>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</si>
  <si>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</si>
  <si>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</si>
  <si>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Early Extinguishment of Debt</t>
  </si>
  <si>
    <t>IS_G_L_ON_EXT_DBT_OR_SETTLE_DBT</t>
  </si>
  <si>
    <t xml:space="preserve">    + Asset Write-Down</t>
  </si>
  <si>
    <t>IS_IMPAIRMENT_ASSETS</t>
  </si>
  <si>
    <t xml:space="preserve">    + Impairment of Intangibles</t>
  </si>
  <si>
    <t>IS_IMPAIR_OF_INTANG_ASSETS</t>
  </si>
  <si>
    <t xml:space="preserve">    + Gain/Loss on Sale/Acquisition of Business</t>
  </si>
  <si>
    <t>IS_SALE_OF_BUSINESS</t>
  </si>
  <si>
    <t xml:space="preserve">    + Restructuring</t>
  </si>
  <si>
    <t>IS_RESTRUCTURING_EXPENSES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</si>
  <si>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</si>
  <si>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</si>
  <si>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</si>
  <si>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</si>
  <si>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</si>
  <si>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</si>
  <si>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</si>
  <si>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</si>
  <si>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</si>
  <si>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  + Tax Allowance/Credit</t>
  </si>
  <si>
    <t>IS_TAX_VALN_ALLOWNCE_CREDITS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</si>
  <si>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</si>
  <si>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</si>
  <si>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</si>
  <si>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</si>
  <si>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</si>
  <si>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</si>
  <si>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</si>
  <si>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</si>
  <si>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</si>
  <si>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</si>
  <si>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</si>
  <si>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</si>
  <si>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</si>
  <si>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</si>
  <si>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</si>
  <si>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</si>
  <si>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</si>
  <si>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</si>
  <si>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</si>
  <si>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</si>
  <si>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</si>
  <si>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</si>
  <si>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</si>
  <si>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</si>
  <si>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</si>
  <si>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</si>
  <si>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</si>
  <si>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</si>
  <si>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</si>
  <si>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</si>
  <si>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</si>
  <si>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</si>
  <si>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</si>
  <si>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</si>
  <si>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</si>
  <si>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</si>
  <si>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</si>
  <si>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</si>
  <si>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</si>
  <si>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</si>
  <si>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</si>
  <si>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</si>
  <si>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</si>
  <si>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</si>
  <si>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</si>
  <si>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</si>
  <si>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</si>
  <si>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</si>
  <si>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</si>
  <si>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</si>
  <si>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</si>
  <si>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</si>
  <si>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</si>
  <si>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</si>
  <si>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</si>
  <si>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</si>
  <si>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</si>
  <si>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</si>
  <si>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</si>
  <si>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</si>
  <si>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</si>
  <si>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</si>
  <si>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Depreciation Expense</t>
  </si>
  <si>
    <t>IS_DEPR_EXP</t>
  </si>
  <si>
    <t>Rental Expense</t>
  </si>
  <si>
    <t>BS_CURR_RENTAL_EXPENSE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</si>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</sst>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64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</cellStyleXfs>
  <cellXfs count="26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64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1" fillId="35" borderId="2" xfId="56" applyNumberFormat="1" applyFont="1" applyFill="1" applyBorder="1" applyAlignment="1" applyProtection="1">
      <alignment horizontal="right"/>
    </xf>
    <xf numFmtId="164" fontId="1" fillId="35" borderId="2" xfId="57" applyNumberFormat="1" applyFont="1" applyFill="1" applyBorder="1" applyAlignment="1" applyProtection="1">
      <alignment horizontal="right"/>
    </xf>
    <xf numFmtId="4" fontId="1" fillId="35" borderId="2" xfId="58" applyNumberFormat="1" applyFont="1" applyFill="1" applyBorder="1" applyAlignment="1" applyProtection="1">
      <alignment horizontal="right"/>
    </xf>
    <xf numFmtId="3" fontId="8" fillId="34" borderId="2" xfId="59" applyNumberFormat="1" applyFont="1" applyFill="1" applyBorder="1" applyAlignment="1" applyProtection="1">
      <alignment horizontal="right"/>
    </xf>
    <xf numFmtId="164" fontId="8" fillId="34" borderId="2" xfId="60" applyNumberFormat="1" applyFont="1" applyFill="1" applyBorder="1" applyAlignment="1" applyProtection="1">
      <alignment horizontal="right"/>
    </xf>
    <xf numFmtId="4" fontId="8" fillId="34" borderId="2" xfId="61" applyNumberFormat="1" applyFont="1" applyFill="1" applyBorder="1" applyAlignment="1" applyProtection="1">
      <alignment horizontal="right"/>
    </xf>
    <xf numFmtId="3" fontId="8" fillId="35" borderId="2" xfId="62" applyNumberFormat="1" applyFont="1" applyFill="1" applyBorder="1" applyAlignment="1" applyProtection="1">
      <alignment horizontal="right"/>
    </xf>
    <xf numFmtId="164" fontId="8" fillId="35" borderId="2" xfId="63" applyNumberFormat="1" applyFont="1" applyFill="1" applyBorder="1" applyAlignment="1" applyProtection="1">
      <alignment horizontal="right"/>
    </xf>
    <xf numFmtId="4" fontId="8" fillId="35" borderId="2" xfId="64" applyNumberFormat="1" applyFont="1" applyFill="1" applyBorder="1" applyAlignment="1" applyProtection="1">
      <alignment horizontal="right"/>
    </xf>
    <xf numFmtId="164" fontId="11" fillId="34" borderId="2" xfId="65" applyNumberFormat="1" applyFont="1" applyFill="1" applyBorder="1" applyAlignment="1" applyProtection="1">
      <alignment horizontal="right"/>
    </xf>
    <xf numFmtId="164" fontId="11" fillId="35" borderId="2" xfId="66" applyNumberFormat="1" applyFont="1" applyFill="1" applyBorder="1" applyAlignment="1" applyProtection="1">
      <alignment horizontal="right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9" xr:uid="{00000000-0005-0000-0000-000023000000}"/>
    <cellStyle name="fa_data_bold_1_grouped" xfId="60" xr:uid="{00000000-0005-0000-0000-000024000000}"/>
    <cellStyle name="fa_data_bold_2_grouped" xfId="61" xr:uid="{00000000-0005-0000-0000-000025000000}"/>
    <cellStyle name="fa_data_current_bold_0_grouped" xfId="62" xr:uid="{00000000-0005-0000-0000-000026000000}"/>
    <cellStyle name="fa_data_current_bold_1_grouped" xfId="63" xr:uid="{00000000-0005-0000-0000-000027000000}"/>
    <cellStyle name="fa_data_current_bold_2_grouped" xfId="64" xr:uid="{00000000-0005-0000-0000-000028000000}"/>
    <cellStyle name="fa_data_current_italic_1_grouped" xfId="66" xr:uid="{00000000-0005-0000-0000-000029000000}"/>
    <cellStyle name="fa_data_current_standard_0_grouped" xfId="56" xr:uid="{00000000-0005-0000-0000-00002A000000}"/>
    <cellStyle name="fa_data_current_standard_1_grouped" xfId="57" xr:uid="{00000000-0005-0000-0000-00002B000000}"/>
    <cellStyle name="fa_data_current_standard_2_grouped" xfId="58" xr:uid="{00000000-0005-0000-0000-00002C000000}"/>
    <cellStyle name="fa_data_italic_1_grouped" xfId="65" xr:uid="{00000000-0005-0000-0000-00002D000000}"/>
    <cellStyle name="fa_data_standard_0_grouped" xfId="53" xr:uid="{00000000-0005-0000-0000-00002E000000}"/>
    <cellStyle name="fa_data_standard_1_grouped" xfId="54" xr:uid="{00000000-0005-0000-0000-00002F000000}"/>
    <cellStyle name="fa_data_standard_2_grouped" xfId="55" xr:uid="{00000000-0005-0000-0000-000030000000}"/>
    <cellStyle name="fa_footer_italic" xfId="34" xr:uid="{00000000-0005-0000-0000-000031000000}"/>
    <cellStyle name="fa_row_header_bold" xfId="35" xr:uid="{00000000-0005-0000-0000-000032000000}"/>
    <cellStyle name="fa_row_header_italic" xfId="36" xr:uid="{00000000-0005-0000-0000-000033000000}"/>
    <cellStyle name="fa_row_header_standard" xfId="37" xr:uid="{00000000-0005-0000-0000-000034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BDH|16168036556380507909</stp>
        <tr r="F32" s="2"/>
      </tp>
      <tp t="e">
        <v>#N/A</v>
        <stp/>
        <stp>BDH|17761693203293596892</stp>
        <tr r="D54" s="2"/>
      </tp>
      <tp t="e">
        <v>#N/A</v>
        <stp/>
        <stp>BDH|16466603823629698114</stp>
        <tr r="D34" s="2"/>
      </tp>
      <tp t="e">
        <v>#N/A</v>
        <stp/>
        <stp>BDH|17439529234733524858</stp>
        <tr r="F76" s="2"/>
      </tp>
      <tp t="e">
        <v>#N/A</v>
        <stp/>
        <stp>BDH|17320435287843326214</stp>
        <tr r="C28" s="2"/>
      </tp>
      <tp t="e">
        <v>#N/A</v>
        <stp/>
        <stp>BDH|11955273992516932608</stp>
        <tr r="I18" s="2"/>
      </tp>
      <tp t="e">
        <v>#N/A</v>
        <stp/>
        <stp>BDH|14991266819304654954</stp>
        <tr r="E62" s="2"/>
      </tp>
      <tp t="e">
        <v>#N/A</v>
        <stp/>
        <stp>BDH|12128093499998511918</stp>
        <tr r="E61" s="2"/>
      </tp>
      <tp t="e">
        <v>#N/A</v>
        <stp/>
        <stp>BDH|18026506665436438759</stp>
        <tr r="I55" s="2"/>
      </tp>
      <tp t="e">
        <v>#N/A</v>
        <stp/>
        <stp>BDH|10589662481742356654</stp>
        <tr r="G13" s="2"/>
      </tp>
      <tp t="e">
        <v>#N/A</v>
        <stp/>
        <stp>BDH|12151672973691125803</stp>
        <tr r="E75" s="2"/>
      </tp>
      <tp t="e">
        <v>#N/A</v>
        <stp/>
        <stp>BDH|15240004197264349220</stp>
        <tr r="G23" s="2"/>
      </tp>
      <tp t="e">
        <v>#N/A</v>
        <stp/>
        <stp>BDH|16339944414781066572</stp>
        <tr r="H57" s="2"/>
      </tp>
      <tp t="e">
        <v>#N/A</v>
        <stp/>
        <stp>BDH|11735409047928311356</stp>
        <tr r="F22" s="2"/>
      </tp>
      <tp t="e">
        <v>#N/A</v>
        <stp/>
        <stp>BDH|14132856237055279099</stp>
        <tr r="E23" s="2"/>
      </tp>
      <tp t="e">
        <v>#N/A</v>
        <stp/>
        <stp>BDH|17327226840453007891</stp>
        <tr r="H38" s="2"/>
      </tp>
      <tp t="e">
        <v>#N/A</v>
        <stp/>
        <stp>BDH|12680827226470522282</stp>
        <tr r="E60" s="2"/>
      </tp>
      <tp t="e">
        <v>#N/A</v>
        <stp/>
        <stp>BDH|17299769581787987534</stp>
        <tr r="G54" s="2"/>
      </tp>
      <tp t="e">
        <v>#N/A</v>
        <stp/>
        <stp>BDH|10566689232197442840</stp>
        <tr r="G72" s="2"/>
      </tp>
      <tp t="e">
        <v>#N/A</v>
        <stp/>
        <stp>BDH|17699839454035742593</stp>
        <tr r="C8" s="2"/>
      </tp>
      <tp t="e">
        <v>#N/A</v>
        <stp/>
        <stp>BDH|18014728083078754471</stp>
        <tr r="H8" s="2"/>
      </tp>
      <tp t="e">
        <v>#N/A</v>
        <stp/>
        <stp>BDH|12504427876059643365</stp>
        <tr r="D69" s="2"/>
      </tp>
      <tp t="e">
        <v>#N/A</v>
        <stp/>
        <stp>BDH|15362501727119559026</stp>
        <tr r="D48" s="2"/>
      </tp>
      <tp t="e">
        <v>#N/A</v>
        <stp/>
        <stp>BDH|17860515658368350450</stp>
        <tr r="E6" s="2"/>
      </tp>
      <tp t="e">
        <v>#N/A</v>
        <stp/>
        <stp>BDH|17083831353705193470</stp>
        <tr r="D14" s="2"/>
      </tp>
      <tp t="e">
        <v>#N/A</v>
        <stp/>
        <stp>BDH|15503789175597046911</stp>
        <tr r="D10" s="2"/>
      </tp>
      <tp t="e">
        <v>#N/A</v>
        <stp/>
        <stp>BDH|13147567530969655795</stp>
        <tr r="H52" s="2"/>
        <tr r="H40" s="2"/>
      </tp>
      <tp t="e">
        <v>#N/A</v>
        <stp/>
        <stp>BDH|13709158829422395930</stp>
        <tr r="G66" s="2"/>
      </tp>
      <tp t="e">
        <v>#N/A</v>
        <stp/>
        <stp>BDH|12840124103528087071</stp>
        <tr r="E50" s="2"/>
      </tp>
      <tp t="e">
        <v>#N/A</v>
        <stp/>
        <stp>BDH|14978594437891162888</stp>
        <tr r="I48" s="2"/>
      </tp>
      <tp t="e">
        <v>#N/A</v>
        <stp/>
        <stp>BDH|16716970770463097303</stp>
        <tr r="H10" s="2"/>
      </tp>
      <tp t="e">
        <v>#N/A</v>
        <stp/>
        <stp>BDH|11679890323495724686</stp>
        <tr r="I23" s="2"/>
      </tp>
      <tp t="e">
        <v>#N/A</v>
        <stp/>
        <stp>BDH|13483219610460356846</stp>
        <tr r="H17" s="2"/>
      </tp>
      <tp t="e">
        <v>#N/A</v>
        <stp/>
        <stp>BDH|17773046185136636158</stp>
        <tr r="E46" s="2"/>
      </tp>
      <tp t="e">
        <v>#N/A</v>
        <stp/>
        <stp>BDH|14809480671927439816</stp>
        <tr r="G27" s="2"/>
      </tp>
      <tp t="e">
        <v>#N/A</v>
        <stp/>
        <stp>BDH|14003800192515528830</stp>
        <tr r="C10" s="2"/>
      </tp>
      <tp t="e">
        <v>#N/A</v>
        <stp/>
        <stp>BDH|17526192187227590185</stp>
        <tr r="C34" s="2"/>
      </tp>
      <tp t="e">
        <v>#N/A</v>
        <stp/>
        <stp>BDH|13557631271772809894</stp>
        <tr r="H45" s="2"/>
      </tp>
      <tp t="e">
        <v>#N/A</v>
        <stp/>
        <stp>BDH|16055048318779353669</stp>
        <tr r="G19" s="2"/>
      </tp>
      <tp t="e">
        <v>#N/A</v>
        <stp/>
        <stp>BDH|11717361694413614084</stp>
        <tr r="F60" s="2"/>
      </tp>
      <tp t="e">
        <v>#N/A</v>
        <stp/>
        <stp>BDH|15698967409290445469</stp>
        <tr r="D33" s="2"/>
      </tp>
      <tp t="e">
        <v>#N/A</v>
        <stp/>
        <stp>BDH|17001306527676892853</stp>
        <tr r="G62" s="2"/>
      </tp>
      <tp t="e">
        <v>#N/A</v>
        <stp/>
        <stp>BDH|14001690307559552319</stp>
        <tr r="F41" s="2"/>
      </tp>
      <tp t="e">
        <v>#N/A</v>
        <stp/>
        <stp>BDH|16202645279838687733</stp>
        <tr r="G43" s="2"/>
      </tp>
      <tp t="e">
        <v>#N/A</v>
        <stp/>
        <stp>BDH|17564585166635135951</stp>
        <tr r="G24" s="2"/>
      </tp>
      <tp t="e">
        <v>#N/A</v>
        <stp/>
        <stp>BDH|17264187592021673608</stp>
        <tr r="C22" s="2"/>
      </tp>
      <tp t="e">
        <v>#N/A</v>
        <stp/>
        <stp>BDH|13925975662071324515</stp>
        <tr r="I76" s="2"/>
      </tp>
      <tp t="e">
        <v>#N/A</v>
        <stp/>
        <stp>BDH|10381521228237859906</stp>
        <tr r="I52" s="2"/>
        <tr r="I40" s="2"/>
      </tp>
      <tp t="e">
        <v>#N/A</v>
        <stp/>
        <stp>BDH|15612053734888109776</stp>
        <tr r="C51" s="2"/>
      </tp>
      <tp t="e">
        <v>#N/A</v>
        <stp/>
        <stp>BDH|13176341795902377231</stp>
        <tr r="D42" s="2"/>
      </tp>
      <tp t="e">
        <v>#N/A</v>
        <stp/>
        <stp>BDH|17192753624772456940</stp>
        <tr r="F21" s="2"/>
      </tp>
      <tp t="e">
        <v>#N/A</v>
        <stp/>
        <stp>BDH|18299556212446533339</stp>
        <tr r="G76" s="2"/>
      </tp>
      <tp t="e">
        <v>#N/A</v>
        <stp/>
        <stp>BDH|11596286317282805969</stp>
        <tr r="I15" s="2"/>
      </tp>
      <tp t="e">
        <v>#N/A</v>
        <stp/>
        <stp>BDH|10876660197624965270</stp>
        <tr r="C62" s="2"/>
      </tp>
      <tp t="e">
        <v>#N/A</v>
        <stp/>
        <stp>BDH|17660841157821801251</stp>
        <tr r="F77" s="2"/>
      </tp>
      <tp t="e">
        <v>#N/A</v>
        <stp/>
        <stp>BDH|10188381492927155429</stp>
        <tr r="I13" s="2"/>
      </tp>
      <tp t="e">
        <v>#N/A</v>
        <stp/>
        <stp>BDH|11440451889103773773</stp>
        <tr r="G12" s="2"/>
      </tp>
      <tp t="e">
        <v>#N/A</v>
        <stp/>
        <stp>BDH|10018153261148486133</stp>
        <tr r="F39" s="2"/>
      </tp>
      <tp t="e">
        <v>#N/A</v>
        <stp/>
        <stp>BDH|12912137642988263198</stp>
        <tr r="H66" s="2"/>
      </tp>
      <tp t="e">
        <v>#N/A</v>
        <stp/>
        <stp>BDH|10759594144277057883</stp>
        <tr r="I72" s="2"/>
      </tp>
      <tp t="e">
        <v>#N/A</v>
        <stp/>
        <stp>BDH|14394527664348684179</stp>
        <tr r="F12" s="2"/>
      </tp>
      <tp t="e">
        <v>#N/A</v>
        <stp/>
        <stp>BDH|15893257379646134831</stp>
        <tr r="F69" s="2"/>
      </tp>
      <tp t="e">
        <v>#N/A</v>
        <stp/>
        <stp>BDH|10244392282866623396</stp>
        <tr r="C52" s="2"/>
        <tr r="C40" s="2"/>
      </tp>
      <tp t="e">
        <v>#N/A</v>
        <stp/>
        <stp>BDH|15391278939519205399</stp>
        <tr r="E43" s="2"/>
      </tp>
      <tp t="e">
        <v>#N/A</v>
        <stp/>
        <stp>BDH|14918722083113391622</stp>
        <tr r="C38" s="2"/>
      </tp>
      <tp t="e">
        <v>#N/A</v>
        <stp/>
        <stp>BDH|16963698931064940900</stp>
        <tr r="H56" s="2"/>
      </tp>
      <tp t="e">
        <v>#N/A</v>
        <stp/>
        <stp>BDH|16017974340417931229</stp>
        <tr r="E33" s="2"/>
      </tp>
      <tp t="e">
        <v>#N/A</v>
        <stp/>
        <stp>BDH|17325618612657961974</stp>
        <tr r="E54" s="2"/>
      </tp>
      <tp t="e">
        <v>#N/A</v>
        <stp/>
        <stp>BDH|12842948681054587888</stp>
        <tr r="D11" s="2"/>
      </tp>
      <tp t="e">
        <v>#N/A</v>
        <stp/>
        <stp>BDH|16727713423445053952</stp>
        <tr r="D74" s="2"/>
      </tp>
      <tp t="e">
        <v>#N/A</v>
        <stp/>
        <stp>BDH|10758316894640041516</stp>
        <tr r="G46" s="2"/>
      </tp>
      <tp t="e">
        <v>#N/A</v>
        <stp/>
        <stp>BDH|18208408195192085857</stp>
        <tr r="D16" s="2"/>
      </tp>
      <tp t="e">
        <v>#N/A</v>
        <stp/>
        <stp>BDH|10077501495534819749</stp>
        <tr r="C33" s="2"/>
      </tp>
      <tp t="e">
        <v>#N/A</v>
        <stp/>
        <stp>BDH|16910346386612019028</stp>
        <tr r="H68" s="2"/>
      </tp>
      <tp t="e">
        <v>#N/A</v>
        <stp/>
        <stp>BDH|17529362885094709790</stp>
        <tr r="C76" s="2"/>
      </tp>
      <tp t="e">
        <v>#N/A</v>
        <stp/>
        <stp>BDH|17974947833610225267</stp>
        <tr r="I16" s="2"/>
      </tp>
      <tp t="e">
        <v>#N/A</v>
        <stp/>
        <stp>BDH|14992628738738879613</stp>
        <tr r="H20" s="2"/>
      </tp>
      <tp t="e">
        <v>#N/A</v>
        <stp/>
        <stp>BDH|13205265110966894918</stp>
        <tr r="G67" s="2"/>
      </tp>
      <tp t="e">
        <v>#N/A</v>
        <stp/>
        <stp>BDH|18002602982071748883</stp>
        <tr r="F44" s="2"/>
      </tp>
      <tp t="e">
        <v>#N/A</v>
        <stp/>
        <stp>BDH|13554801718503569642</stp>
        <tr r="E44" s="2"/>
      </tp>
      <tp t="e">
        <v>#N/A</v>
        <stp/>
        <stp>BDH|11761597787675289646</stp>
        <tr r="H31" s="2"/>
      </tp>
      <tp t="e">
        <v>#N/A</v>
        <stp/>
        <stp>BDH|12786986382564318807</stp>
        <tr r="F23" s="2"/>
      </tp>
      <tp t="e">
        <v>#N/A</v>
        <stp/>
        <stp>BDH|14353937218554000765</stp>
        <tr r="G38" s="2"/>
      </tp>
      <tp t="e">
        <v>#N/A</v>
        <stp/>
        <stp>BDH|17352940968673787796</stp>
        <tr r="I20" s="2"/>
      </tp>
      <tp t="e">
        <v>#N/A</v>
        <stp/>
        <stp>BDH|14122655993533753410</stp>
        <tr r="D37" s="2"/>
      </tp>
      <tp t="e">
        <v>#N/A</v>
        <stp/>
        <stp>BDH|14241658676968651173</stp>
        <tr r="E69" s="2"/>
      </tp>
      <tp t="e">
        <v>#N/A</v>
        <stp/>
        <stp>BDH|15272931302187638770</stp>
        <tr r="F42" s="2"/>
      </tp>
      <tp t="e">
        <v>#N/A</v>
        <stp/>
        <stp>BDH|16225879905847002584</stp>
        <tr r="F56" s="2"/>
      </tp>
      <tp t="e">
        <v>#N/A</v>
        <stp/>
        <stp>BDH|15004735400297943913</stp>
        <tr r="D43" s="2"/>
      </tp>
      <tp t="e">
        <v>#N/A</v>
        <stp/>
        <stp>BDH|14038153686869124881</stp>
        <tr r="C14" s="2"/>
      </tp>
      <tp t="e">
        <v>#N/A</v>
        <stp/>
        <stp>BDH|16983321455335003946</stp>
        <tr r="E35" s="2"/>
      </tp>
      <tp t="e">
        <v>#N/A</v>
        <stp/>
        <stp>BDH|17181780686711748556</stp>
        <tr r="E48" s="2"/>
      </tp>
      <tp t="e">
        <v>#N/A</v>
        <stp/>
        <stp>BDH|18240008171995784682</stp>
        <tr r="F14" s="2"/>
      </tp>
      <tp t="e">
        <v>#N/A</v>
        <stp/>
        <stp>BDH|17134945307242449081</stp>
        <tr r="E16" s="2"/>
      </tp>
      <tp t="e">
        <v>#N/A</v>
        <stp/>
        <stp>BDH|10430629590481195377</stp>
        <tr r="C70" s="2"/>
      </tp>
      <tp t="e">
        <v>#N/A</v>
        <stp/>
        <stp>BDH|12473743848368486490</stp>
        <tr r="E42" s="2"/>
      </tp>
      <tp t="e">
        <v>#N/A</v>
        <stp/>
        <stp>BDH|16457920030343690253</stp>
        <tr r="D17" s="2"/>
      </tp>
      <tp t="e">
        <v>#N/A</v>
        <stp/>
        <stp>BDH|15136614956209435274</stp>
        <tr r="H62" s="2"/>
      </tp>
      <tp t="e">
        <v>#N/A</v>
        <stp/>
        <stp>BDH|12435127517319611632</stp>
        <tr r="D20" s="2"/>
      </tp>
      <tp t="e">
        <v>#N/A</v>
        <stp/>
        <stp>BDH|17535352845875295819</stp>
        <tr r="I26" s="2"/>
      </tp>
      <tp t="e">
        <v>#N/A</v>
        <stp/>
        <stp>BDH|12001178341283339931</stp>
        <tr r="I25" s="2"/>
      </tp>
      <tp t="e">
        <v>#N/A</v>
        <stp/>
        <stp>BDH|15200873466085499318</stp>
        <tr r="D68" s="2"/>
      </tp>
      <tp t="e">
        <v>#N/A</v>
        <stp/>
        <stp>BDH|12074510747697627994</stp>
        <tr r="E73" s="2"/>
      </tp>
      <tp t="e">
        <v>#N/A</v>
        <stp/>
        <stp>BDH|12324773499969346878</stp>
        <tr r="I60" s="2"/>
      </tp>
      <tp t="e">
        <v>#N/A</v>
        <stp/>
        <stp>BDH|11084365171689658194</stp>
        <tr r="G61" s="2"/>
      </tp>
      <tp t="e">
        <v>#N/A</v>
        <stp/>
        <stp>BDH|17957223137723180856</stp>
        <tr r="D21" s="2"/>
      </tp>
      <tp t="e">
        <v>#N/A</v>
        <stp/>
        <stp>BDH|14055798005598220626</stp>
        <tr r="H54" s="2"/>
      </tp>
      <tp t="e">
        <v>#N/A</v>
        <stp/>
        <stp>BDH|10902912372860693302</stp>
        <tr r="C37" s="2"/>
      </tp>
      <tp t="e">
        <v>#N/A</v>
        <stp/>
        <stp>BDH|15504519628887021825</stp>
        <tr r="F16" s="2"/>
      </tp>
      <tp t="e">
        <v>#N/A</v>
        <stp/>
        <stp>BDH|15234293507691467489</stp>
        <tr r="H35" s="2"/>
      </tp>
      <tp t="e">
        <v>#N/A</v>
        <stp/>
        <stp>BDH|17979989683826221234</stp>
        <tr r="H50" s="2"/>
      </tp>
      <tp t="e">
        <v>#N/A</v>
        <stp/>
        <stp>BDH|12230490662647953551</stp>
        <tr r="I17" s="2"/>
      </tp>
      <tp t="e">
        <v>#N/A</v>
        <stp/>
        <stp>BDH|15495995787840723686</stp>
        <tr r="I19" s="2"/>
      </tp>
      <tp t="e">
        <v>#N/A</v>
        <stp/>
        <stp>BDH|13194522293549505412</stp>
        <tr r="D28" s="2"/>
      </tp>
      <tp t="e">
        <v>#N/A</v>
        <stp/>
        <stp>BDH|15046577858700969719</stp>
        <tr r="D25" s="2"/>
      </tp>
      <tp t="e">
        <v>#N/A</v>
        <stp/>
        <stp>BDH|16538974703124026978</stp>
        <tr r="E10" s="2"/>
      </tp>
      <tp t="e">
        <v>#N/A</v>
        <stp/>
        <stp>BDH|14150646547201852524</stp>
        <tr r="H41" s="2"/>
      </tp>
      <tp t="e">
        <v>#N/A</v>
        <stp/>
        <stp>BDH|13188527515474504185</stp>
        <tr r="H69" s="2"/>
      </tp>
      <tp t="e">
        <v>#N/A</v>
        <stp/>
        <stp>BDH|15869057002042721530</stp>
        <tr r="G47" s="2"/>
      </tp>
      <tp t="e">
        <v>#N/A</v>
        <stp/>
        <stp>BDH|15665325741446911677</stp>
        <tr r="E72" s="2"/>
      </tp>
      <tp t="e">
        <v>#N/A</v>
        <stp/>
        <stp>BDH|17988131255056562709</stp>
        <tr r="I46" s="2"/>
      </tp>
      <tp t="e">
        <v>#N/A</v>
        <stp/>
        <stp>BDH|12377161735124997643</stp>
        <tr r="I67" s="2"/>
      </tp>
      <tp t="e">
        <v>#N/A</v>
        <stp/>
        <stp>BDH|10477753194654798938</stp>
        <tr r="F26" s="2"/>
      </tp>
      <tp t="e">
        <v>#N/A</v>
        <stp/>
        <stp>BDH|10093175835589435878</stp>
        <tr r="I28" s="2"/>
      </tp>
      <tp t="e">
        <v>#N/A</v>
        <stp/>
        <stp>BDH|17437500877614833292</stp>
        <tr r="C73" s="2"/>
      </tp>
      <tp t="e">
        <v>#N/A</v>
        <stp/>
        <stp>BDH|15761685823662978015</stp>
        <tr r="C66" s="2"/>
      </tp>
      <tp t="e">
        <v>#N/A</v>
        <stp/>
        <stp>BDH|15449890882927554136</stp>
        <tr r="D47" s="2"/>
      </tp>
      <tp t="e">
        <v>#N/A</v>
        <stp/>
        <stp>BDH|10054481206463441435</stp>
        <tr r="H19" s="2"/>
      </tp>
      <tp t="e">
        <v>#N/A</v>
        <stp/>
        <stp>BDH|15757736472740452692</stp>
        <tr r="C13" s="2"/>
      </tp>
      <tp t="e">
        <v>#N/A</v>
        <stp/>
        <stp>BDH|17697050314183459688</stp>
        <tr r="I27" s="2"/>
      </tp>
      <tp t="e">
        <v>#N/A</v>
        <stp/>
        <stp>BDH|17342719324135527498</stp>
        <tr r="G75" s="2"/>
      </tp>
      <tp t="e">
        <v>#N/A</v>
        <stp/>
        <stp>BDH|13133781236095252107</stp>
        <tr r="H51" s="2"/>
      </tp>
      <tp t="e">
        <v>#N/A</v>
        <stp/>
        <stp>BDH|17195302919883505529</stp>
        <tr r="G31" s="2"/>
      </tp>
      <tp t="e">
        <v>#N/A</v>
        <stp/>
        <stp>BDH|13428537160729111964</stp>
        <tr r="F50" s="2"/>
      </tp>
      <tp t="e">
        <v>#N/A</v>
        <stp/>
        <stp>BDH|17487024202014513325</stp>
        <tr r="I33" s="2"/>
      </tp>
      <tp t="e">
        <v>#N/A</v>
        <stp/>
        <stp>BDH|12570034530295639421</stp>
        <tr r="H11" s="2"/>
      </tp>
      <tp t="e">
        <v>#N/A</v>
        <stp/>
        <stp>BDH|13151360512650855183</stp>
        <tr r="F47" s="2"/>
      </tp>
      <tp t="e">
        <v>#N/A</v>
        <stp/>
        <stp>BDH|18215889571866899176</stp>
        <tr r="C35" s="2"/>
      </tp>
      <tp t="e">
        <v>#N/A</v>
        <stp/>
        <stp>BDH|16393717245192902792</stp>
        <tr r="H29" s="2"/>
      </tp>
      <tp t="e">
        <v>#N/A</v>
        <stp/>
        <stp>BDH|10619422388078664439</stp>
        <tr r="I70" s="2"/>
      </tp>
      <tp t="e">
        <v>#N/A</v>
        <stp/>
        <stp>BDH|13867636663801772272</stp>
        <tr r="G59" s="2"/>
      </tp>
      <tp t="e">
        <v>#N/A</v>
        <stp/>
        <stp>BDH|18088822955821927466</stp>
        <tr r="C16" s="2"/>
      </tp>
      <tp t="e">
        <v>#N/A</v>
        <stp/>
        <stp>BDH|11743445609283302621</stp>
        <tr r="E39" s="2"/>
      </tp>
      <tp t="e">
        <v>#N/A</v>
        <stp/>
        <stp>BDH|14366557052997861365</stp>
        <tr r="F34" s="2"/>
      </tp>
      <tp t="e">
        <v>#N/A</v>
        <stp/>
        <stp>BDH|14949497077534892355</stp>
        <tr r="F54" s="2"/>
      </tp>
      <tp t="e">
        <v>#N/A</v>
        <stp/>
        <stp>BDH|10750061309997460713</stp>
        <tr r="G39" s="2"/>
      </tp>
      <tp t="e">
        <v>#N/A</v>
        <stp/>
        <stp>BDH|14268186642665148459</stp>
        <tr r="C30" s="2"/>
      </tp>
      <tp t="e">
        <v>#N/A</v>
        <stp/>
        <stp>BDH|13024059951492255564</stp>
        <tr r="D67" s="2"/>
      </tp>
      <tp t="e">
        <v>#N/A</v>
        <stp/>
        <stp>BDH|13643667820902285415</stp>
        <tr r="D7" s="2"/>
      </tp>
      <tp t="e">
        <v>#N/A</v>
        <stp/>
        <stp>BDH|11285673744223062147</stp>
        <tr r="H32" s="2"/>
      </tp>
      <tp t="e">
        <v>#N/A</v>
        <stp/>
        <stp>BDH|14290055816572263658</stp>
        <tr r="H14" s="2"/>
      </tp>
      <tp t="e">
        <v>#N/A</v>
        <stp/>
        <stp>BDH|10868523876093376073</stp>
        <tr r="G70" s="2"/>
      </tp>
      <tp t="e">
        <v>#N/A</v>
        <stp/>
        <stp>BDH|13674253138023450049</stp>
        <tr r="H33" s="2"/>
      </tp>
      <tp t="e">
        <v>#N/A</v>
        <stp/>
        <stp>BDH|15195467900396128693</stp>
        <tr r="H47" s="2"/>
      </tp>
      <tp t="e">
        <v>#N/A</v>
        <stp/>
        <stp>BDH|18022994490629138077</stp>
        <tr r="E45" s="2"/>
      </tp>
      <tp t="e">
        <v>#N/A</v>
        <stp/>
        <stp>BDH|18366850426552788665</stp>
        <tr r="D72" s="2"/>
      </tp>
      <tp t="e">
        <v>#N/A</v>
        <stp/>
        <stp>BDH|11718992490675707287</stp>
        <tr r="F37" s="2"/>
      </tp>
      <tp t="e">
        <v>#N/A</v>
        <stp/>
        <stp>BDH|17584508410440710531</stp>
        <tr r="H25" s="2"/>
      </tp>
      <tp t="e">
        <v>#N/A</v>
        <stp/>
        <stp>BDH|18293227200308714424</stp>
        <tr r="E56" s="2"/>
      </tp>
      <tp t="e">
        <v>#N/A</v>
        <stp/>
        <stp>BDH|18285139721545599809</stp>
        <tr r="F59" s="2"/>
      </tp>
      <tp t="e">
        <v>#N/A</v>
        <stp/>
        <stp>BDH|17193687479309287963</stp>
        <tr r="G41" s="2"/>
      </tp>
      <tp t="e">
        <v>#N/A</v>
        <stp/>
        <stp>BDH|10583658812729376855</stp>
        <tr r="F17" s="2"/>
      </tp>
      <tp t="e">
        <v>#N/A</v>
        <stp/>
        <stp>BDH|11358239284329109437</stp>
        <tr r="H27" s="2"/>
      </tp>
      <tp t="e">
        <v>#N/A</v>
        <stp/>
        <stp>BDH|15156661104151040450</stp>
        <tr r="C77" s="2"/>
      </tp>
      <tp t="e">
        <v>#N/A</v>
        <stp/>
        <stp>BDH|11686497631552699208</stp>
        <tr r="D35" s="2"/>
      </tp>
      <tp t="e">
        <v>#N/A</v>
        <stp/>
        <stp>BDH|14245642920256548090</stp>
        <tr r="C39" s="2"/>
      </tp>
      <tp t="e">
        <v>#N/A</v>
        <stp/>
        <stp>BDH|17815738349820910253</stp>
        <tr r="F18" s="2"/>
      </tp>
      <tp t="e">
        <v>#N/A</v>
        <stp/>
        <stp>BDH|17556057729145545626</stp>
        <tr r="H28" s="2"/>
      </tp>
      <tp t="e">
        <v>#N/A</v>
        <stp/>
        <stp>BDH|13893334461656470609</stp>
        <tr r="C27" s="2"/>
      </tp>
      <tp t="e">
        <v>#N/A</v>
        <stp/>
        <stp>BDH|16345320024430167055</stp>
        <tr r="D52" s="2"/>
        <tr r="D40" s="2"/>
      </tp>
      <tp t="e">
        <v>#N/A</v>
        <stp/>
        <stp>BDH|15964179609026555526</stp>
        <tr r="I41" s="2"/>
      </tp>
      <tp t="e">
        <v>#N/A</v>
        <stp/>
        <stp>BDH|15375596189687560850</stp>
        <tr r="C72" s="2"/>
      </tp>
      <tp t="e">
        <v>#N/A</v>
        <stp/>
        <stp>BDH|11636718239832569080</stp>
        <tr r="F68" s="2"/>
      </tp>
      <tp t="e">
        <v>#N/A</v>
        <stp/>
        <stp>BDH|17047936947478147567</stp>
        <tr r="I75" s="2"/>
      </tp>
      <tp t="e">
        <v>#N/A</v>
        <stp/>
        <stp>BDH|14896406978886511663</stp>
        <tr r="G55" s="2"/>
      </tp>
      <tp t="e">
        <v>#N/A</v>
        <stp/>
        <stp>BDH|15658221357671309454</stp>
        <tr r="H16" s="2"/>
      </tp>
      <tp t="e">
        <v>#N/A</v>
        <stp/>
        <stp>BDH|10694623497810689826</stp>
        <tr r="F7" s="2"/>
      </tp>
      <tp t="e">
        <v>#N/A</v>
        <stp/>
        <stp>BDH|13262083278814370793</stp>
        <tr r="G26" s="2"/>
      </tp>
      <tp t="e">
        <v>#N/A</v>
        <stp/>
        <stp>BDH|16540468422192888523</stp>
        <tr r="H72" s="2"/>
      </tp>
      <tp t="e">
        <v>#N/A</v>
        <stp/>
        <stp>BDH|14675552281307113997</stp>
        <tr r="F35" s="2"/>
      </tp>
      <tp t="e">
        <v>#N/A</v>
        <stp/>
        <stp>BDH|10958300265837812599</stp>
        <tr r="G68" s="2"/>
      </tp>
      <tp t="e">
        <v>#N/A</v>
        <stp/>
        <stp>BDH|15474047489113758924</stp>
        <tr r="E17" s="2"/>
      </tp>
      <tp t="e">
        <v>#N/A</v>
        <stp/>
        <stp>BDH|17752375344744426018</stp>
        <tr r="C47" s="2"/>
      </tp>
      <tp t="e">
        <v>#N/A</v>
        <stp/>
        <stp>BDH|13513645472396280057</stp>
        <tr r="F8" s="2"/>
      </tp>
      <tp t="e">
        <v>#N/A</v>
        <stp/>
        <stp>BDH|18099813419972704784</stp>
        <tr r="D9" s="2"/>
      </tp>
      <tp t="e">
        <v>#N/A</v>
        <stp/>
        <stp>BDH|14855345267843033624</stp>
        <tr r="I31" s="2"/>
      </tp>
      <tp t="e">
        <v>#N/A</v>
        <stp/>
        <stp>BDH|10149644125229171981</stp>
        <tr r="H77" s="2"/>
      </tp>
      <tp t="e">
        <v>#N/A</v>
        <stp/>
        <stp>BDH|17309345030496913561</stp>
        <tr r="H46" s="2"/>
      </tp>
      <tp t="e">
        <v>#N/A</v>
        <stp/>
        <stp>BDH|16263069065617872340</stp>
        <tr r="E59" s="2"/>
      </tp>
      <tp t="e">
        <v>#N/A</v>
        <stp/>
        <stp>BDH|17307755429206327003</stp>
        <tr r="C61" s="2"/>
      </tp>
      <tp t="e">
        <v>#N/A</v>
        <stp/>
        <stp>BDH|13413776031792937177</stp>
        <tr r="I14" s="2"/>
      </tp>
      <tp t="e">
        <v>#N/A</v>
        <stp/>
        <stp>BDH|17632745769725024743</stp>
        <tr r="I45" s="2"/>
      </tp>
      <tp t="e">
        <v>#N/A</v>
        <stp/>
        <stp>BDH|12890504383913048858</stp>
        <tr r="I10" s="2"/>
      </tp>
      <tp t="e">
        <v>#N/A</v>
        <stp/>
        <stp>BDH|14234849478097742986</stp>
        <tr r="F31" s="2"/>
      </tp>
      <tp t="e">
        <v>#N/A</v>
        <stp/>
        <stp>BDH|11450143765006409519</stp>
        <tr r="G18" s="2"/>
      </tp>
      <tp t="e">
        <v>#N/A</v>
        <stp/>
        <stp>BDH|16636501032865626026</stp>
        <tr r="F6" s="2"/>
      </tp>
      <tp t="e">
        <v>#N/A</v>
        <stp/>
        <stp>BDH|10682322820260793404</stp>
        <tr r="E21" s="2"/>
      </tp>
      <tp t="e">
        <v>#N/A</v>
        <stp/>
        <stp>BDH|12166631128176150592</stp>
        <tr r="C17" s="2"/>
      </tp>
      <tp t="e">
        <v>#N/A</v>
        <stp/>
        <stp>BDH|12104302441007744732</stp>
        <tr r="E47" s="2"/>
      </tp>
      <tp t="e">
        <v>#N/A</v>
        <stp/>
        <stp>BDH|11354335852743221170</stp>
        <tr r="H15" s="2"/>
      </tp>
      <tp t="e">
        <v>#N/A</v>
        <stp/>
        <stp>BDH|10416261177179484973</stp>
        <tr r="D41" s="2"/>
      </tp>
      <tp t="e">
        <v>#N/A</v>
        <stp/>
        <stp>BDH|16479457603602332588</stp>
        <tr r="G52" s="2"/>
        <tr r="G40" s="2"/>
      </tp>
      <tp t="e">
        <v>#N/A</v>
        <stp/>
        <stp>BDH|10314645678007461311</stp>
        <tr r="G34" s="2"/>
      </tp>
      <tp t="e">
        <v>#N/A</v>
        <stp/>
        <stp>BDH|10599835419864628849</stp>
        <tr r="I54" s="2"/>
      </tp>
      <tp t="e">
        <v>#N/A</v>
        <stp/>
        <stp>BDH|13705031165702937244</stp>
        <tr r="C12" s="2"/>
      </tp>
      <tp t="e">
        <v>#N/A</v>
        <stp/>
        <stp>BDH|18432592612738474143</stp>
        <tr r="I50" s="2"/>
      </tp>
      <tp t="e">
        <v>#N/A</v>
        <stp/>
        <stp>BDH|13411488600866106435</stp>
        <tr r="D62" s="2"/>
      </tp>
    </main>
    <main first="bofaddin.rtdserver">
      <tp t="e">
        <v>#N/A</v>
        <stp/>
        <stp>BDH|8311821828589496749</stp>
        <tr r="H37" s="2"/>
      </tp>
      <tp t="e">
        <v>#N/A</v>
        <stp/>
        <stp>BDH|7970136525708956080</stp>
        <tr r="D66" s="2"/>
      </tp>
      <tp t="e">
        <v>#N/A</v>
        <stp/>
        <stp>BDH|8362156883235397887</stp>
        <tr r="D36" s="2"/>
      </tp>
      <tp t="e">
        <v>#N/A</v>
        <stp/>
        <stp>BDH|1843748418268329389</stp>
        <tr r="H7" s="2"/>
      </tp>
      <tp t="e">
        <v>#N/A</v>
        <stp/>
        <stp>BDH|8908908664042987980</stp>
        <tr r="C71" s="2"/>
      </tp>
      <tp t="e">
        <v>#N/A</v>
        <stp/>
        <stp>BDH|7674786763109594399</stp>
        <tr r="G9" s="2"/>
      </tp>
      <tp t="e">
        <v>#N/A</v>
        <stp/>
        <stp>BDH|4183896754604481193</stp>
        <tr r="C20" s="2"/>
      </tp>
      <tp t="e">
        <v>#N/A</v>
        <stp/>
        <stp>BDH|2523600937549444203</stp>
        <tr r="F36" s="2"/>
      </tp>
      <tp t="e">
        <v>#N/A</v>
        <stp/>
        <stp>BDH|1021532191436717738</stp>
        <tr r="F62" s="2"/>
      </tp>
      <tp t="e">
        <v>#N/A</v>
        <stp/>
        <stp>BDH|5571004385183571239</stp>
        <tr r="E12" s="2"/>
      </tp>
      <tp t="e">
        <v>#N/A</v>
        <stp/>
        <stp>BDH|9260205867408287921</stp>
        <tr r="E25" s="2"/>
      </tp>
      <tp t="e">
        <v>#N/A</v>
        <stp/>
        <stp>BDH|3879527285477610473</stp>
        <tr r="F15" s="2"/>
      </tp>
      <tp t="e">
        <v>#N/A</v>
        <stp/>
        <stp>BDH|1017855217701519483</stp>
        <tr r="E41" s="2"/>
      </tp>
      <tp t="e">
        <v>#N/A</v>
        <stp/>
        <stp>BDH|2081141583901807720</stp>
        <tr r="D27" s="2"/>
      </tp>
      <tp t="e">
        <v>#N/A</v>
        <stp/>
        <stp>BDH|3238120815098363646</stp>
        <tr r="E22" s="2"/>
      </tp>
      <tp t="e">
        <v>#N/A</v>
        <stp/>
        <stp>BDH|4317435141279327002</stp>
        <tr r="H12" s="2"/>
      </tp>
      <tp t="e">
        <v>#N/A</v>
        <stp/>
        <stp>BDH|4326887920917073488</stp>
        <tr r="D59" s="2"/>
      </tp>
      <tp t="e">
        <v>#N/A</v>
        <stp/>
        <stp>BDH|6333250545599054423</stp>
        <tr r="G6" s="2"/>
      </tp>
      <tp t="e">
        <v>#N/A</v>
        <stp/>
        <stp>BDH|8672131591929424418</stp>
        <tr r="D8" s="2"/>
      </tp>
      <tp t="e">
        <v>#N/A</v>
        <stp/>
        <stp>BDH|8231543200024798478</stp>
        <tr r="I61" s="2"/>
      </tp>
      <tp t="e">
        <v>#N/A</v>
        <stp/>
        <stp>BDH|4158828799228588097</stp>
        <tr r="F28" s="2"/>
      </tp>
      <tp t="e">
        <v>#N/A</v>
        <stp/>
        <stp>BDH|6696218113428290012</stp>
        <tr r="E29" s="2"/>
      </tp>
      <tp t="e">
        <v>#N/A</v>
        <stp/>
        <stp>BDH|9682008202223923790</stp>
        <tr r="C7" s="2"/>
      </tp>
      <tp t="e">
        <v>#N/A</v>
        <stp/>
        <stp>BDH|6238966031260641297</stp>
        <tr r="G32" s="2"/>
      </tp>
      <tp t="e">
        <v>#N/A</v>
        <stp/>
        <stp>BDH|3570288990746226055</stp>
        <tr r="F11" s="2"/>
      </tp>
      <tp t="e">
        <v>#N/A</v>
        <stp/>
        <stp>BDH|2978510061057793857</stp>
        <tr r="H70" s="2"/>
      </tp>
      <tp t="e">
        <v>#N/A</v>
        <stp/>
        <stp>BDH|1490811882358729789</stp>
        <tr r="F71" s="2"/>
      </tp>
      <tp t="e">
        <v>#N/A</v>
        <stp/>
        <stp>BDH|1744761392003928232</stp>
        <tr r="F48" s="2"/>
      </tp>
      <tp t="e">
        <v>#N/A</v>
        <stp/>
        <stp>BDH|9591700789290426811</stp>
        <tr r="E66" s="2"/>
      </tp>
      <tp t="e">
        <v>#N/A</v>
        <stp/>
        <stp>BDH|8432810705728927608</stp>
        <tr r="C32" s="2"/>
      </tp>
      <tp t="e">
        <v>#N/A</v>
        <stp/>
        <stp>BDH|9644504869595965183</stp>
        <tr r="E67" s="2"/>
      </tp>
      <tp t="e">
        <v>#N/A</v>
        <stp/>
        <stp>BDH|1974038416849333734</stp>
        <tr r="E19" s="2"/>
      </tp>
      <tp t="e">
        <v>#N/A</v>
        <stp/>
        <stp>BDH|9804773609943875323</stp>
        <tr r="F13" s="2"/>
      </tp>
      <tp t="e">
        <v>#N/A</v>
        <stp/>
        <stp>BDH|1816110735058602587</stp>
        <tr r="E68" s="2"/>
      </tp>
      <tp t="e">
        <v>#N/A</v>
        <stp/>
        <stp>BDH|6550971064677652032</stp>
        <tr r="F74" s="2"/>
      </tp>
      <tp t="e">
        <v>#N/A</v>
        <stp/>
        <stp>BDH|5641515297935372202</stp>
        <tr r="E26" s="2"/>
      </tp>
      <tp t="e">
        <v>#N/A</v>
        <stp/>
        <stp>BDH|1452898819105378375</stp>
        <tr r="C9" s="2"/>
      </tp>
      <tp t="e">
        <v>#N/A</v>
        <stp/>
        <stp>BDH|4561047594623558016</stp>
        <tr r="E15" s="2"/>
      </tp>
      <tp t="e">
        <v>#N/A</v>
        <stp/>
        <stp>BDH|8728621504232111214</stp>
        <tr r="F46" s="2"/>
      </tp>
      <tp t="e">
        <v>#N/A</v>
        <stp/>
        <stp>BDH|4618965003615570615</stp>
        <tr r="H60" s="2"/>
      </tp>
      <tp t="e">
        <v>#N/A</v>
        <stp/>
        <stp>BDH|7861804677582178492</stp>
        <tr r="E9" s="2"/>
      </tp>
      <tp t="e">
        <v>#N/A</v>
        <stp/>
        <stp>BDH|2764283485701933749</stp>
        <tr r="C59" s="2"/>
      </tp>
      <tp t="e">
        <v>#N/A</v>
        <stp/>
        <stp>BDH|4513869947694593244</stp>
        <tr r="F27" s="2"/>
      </tp>
      <tp t="e">
        <v>#N/A</v>
        <stp/>
        <stp>BDH|9649057658340935279</stp>
        <tr r="H61" s="2"/>
      </tp>
      <tp t="e">
        <v>#N/A</v>
        <stp/>
        <stp>BDH|8547498765777555265</stp>
        <tr r="F72" s="2"/>
      </tp>
      <tp t="e">
        <v>#N/A</v>
        <stp/>
        <stp>BDH|8389187433344255107</stp>
        <tr r="E8" s="2"/>
      </tp>
      <tp t="e">
        <v>#N/A</v>
        <stp/>
        <stp>BDH|3863449003711193978</stp>
        <tr r="G56" s="2"/>
      </tp>
      <tp t="e">
        <v>#N/A</v>
        <stp/>
        <stp>BDH|2267607983597036489</stp>
        <tr r="C42" s="2"/>
      </tp>
      <tp t="e">
        <v>#N/A</v>
        <stp/>
        <stp>BDH|7792183277019401732</stp>
        <tr r="E77" s="2"/>
      </tp>
      <tp t="e">
        <v>#N/A</v>
        <stp/>
        <stp>BDH|5862527985834762348</stp>
        <tr r="H18" s="2"/>
      </tp>
      <tp t="e">
        <v>#N/A</v>
        <stp/>
        <stp>BDH|3756118842560851902</stp>
        <tr r="I74" s="2"/>
      </tp>
      <tp t="e">
        <v>#N/A</v>
        <stp/>
        <stp>BDH|9456461944487758136</stp>
        <tr r="H21" s="2"/>
      </tp>
      <tp t="e">
        <v>#N/A</v>
        <stp/>
        <stp>BDH|2953845536972859411</stp>
        <tr r="I39" s="2"/>
      </tp>
      <tp t="e">
        <v>#N/A</v>
        <stp/>
        <stp>BDH|8058257887219249431</stp>
        <tr r="G48" s="2"/>
      </tp>
      <tp t="e">
        <v>#N/A</v>
        <stp/>
        <stp>BDH|3469633030898473105</stp>
        <tr r="I38" s="2"/>
      </tp>
      <tp t="e">
        <v>#N/A</v>
        <stp/>
        <stp>BDH|4215814142311621605</stp>
        <tr r="E52" s="2"/>
        <tr r="E40" s="2"/>
      </tp>
      <tp t="e">
        <v>#N/A</v>
        <stp/>
        <stp>BDH|7414501844099665025</stp>
        <tr r="I34" s="2"/>
      </tp>
      <tp t="e">
        <v>#N/A</v>
        <stp/>
        <stp>BDH|6444717396603237453</stp>
        <tr r="G14" s="2"/>
      </tp>
      <tp t="e">
        <v>#N/A</v>
        <stp/>
        <stp>BDH|7142493704224810809</stp>
        <tr r="G74" s="2"/>
      </tp>
      <tp t="e">
        <v>#N/A</v>
        <stp/>
        <stp>BDH|1735976554590655278</stp>
        <tr r="I11" s="2"/>
      </tp>
      <tp t="e">
        <v>#N/A</v>
        <stp/>
        <stp>BDH|4850832156106460725</stp>
        <tr r="C75" s="2"/>
      </tp>
      <tp t="e">
        <v>#N/A</v>
        <stp/>
        <stp>BDH|6006464489217675528</stp>
        <tr r="H13" s="2"/>
      </tp>
      <tp t="e">
        <v>#N/A</v>
        <stp/>
        <stp>BDH|2024349673687979973</stp>
        <tr r="G71" s="2"/>
      </tp>
      <tp t="e">
        <v>#N/A</v>
        <stp/>
        <stp>BDH|2005390484872003312</stp>
        <tr r="C54" s="2"/>
      </tp>
      <tp t="e">
        <v>#N/A</v>
        <stp/>
        <stp>BDH|2240014349928720615</stp>
        <tr r="I66" s="2"/>
      </tp>
      <tp t="e">
        <v>#N/A</v>
        <stp/>
        <stp>BDH|9367936921679537390</stp>
        <tr r="C15" s="2"/>
      </tp>
      <tp t="e">
        <v>#N/A</v>
        <stp/>
        <stp>BDH|9834345604394765628</stp>
        <tr r="I77" s="2"/>
      </tp>
      <tp t="e">
        <v>#N/A</v>
        <stp/>
        <stp>BDH|1138321323298183025</stp>
        <tr r="G36" s="2"/>
      </tp>
      <tp t="e">
        <v>#N/A</v>
        <stp/>
        <stp>BDH|9529040971203876597</stp>
        <tr r="I22" s="2"/>
      </tp>
      <tp t="e">
        <v>#N/A</v>
        <stp/>
        <stp>BDH|6944928205216049049</stp>
        <tr r="C6" s="2"/>
      </tp>
      <tp t="e">
        <v>#N/A</v>
        <stp/>
        <stp>BDH|6363836367016451781</stp>
        <tr r="G57" s="2"/>
      </tp>
      <tp t="e">
        <v>#N/A</v>
        <stp/>
        <stp>BDH|7443244349390537815</stp>
        <tr r="D12" s="2"/>
      </tp>
      <tp t="e">
        <v>#N/A</v>
        <stp/>
        <stp>BDH|8257149538281610254</stp>
        <tr r="C25" s="2"/>
      </tp>
      <tp t="e">
        <v>#N/A</v>
        <stp/>
        <stp>BDH|8349501644748645828</stp>
        <tr r="E38" s="2"/>
      </tp>
      <tp t="e">
        <v>#N/A</v>
        <stp/>
        <stp>BDH|5919631745597977963</stp>
        <tr r="C60" s="2"/>
      </tp>
      <tp t="e">
        <v>#N/A</v>
        <stp/>
        <stp>BDH|1609193196463808309</stp>
        <tr r="C18" s="2"/>
      </tp>
      <tp t="e">
        <v>#N/A</v>
        <stp/>
        <stp>BDH|3956991795862160814</stp>
        <tr r="F29" s="2"/>
      </tp>
      <tp t="e">
        <v>#N/A</v>
        <stp/>
        <stp>BDH|4262064210878275433</stp>
        <tr r="G73" s="2"/>
      </tp>
      <tp t="e">
        <v>#N/A</v>
        <stp/>
        <stp>BDH|9477163923066376683</stp>
        <tr r="F70" s="2"/>
      </tp>
      <tp t="e">
        <v>#N/A</v>
        <stp/>
        <stp>BDH|5533239677249255397</stp>
        <tr r="C45" s="2"/>
      </tp>
      <tp t="e">
        <v>#N/A</v>
        <stp/>
        <stp>BDH|7879143826317559958</stp>
        <tr r="I9" s="2"/>
      </tp>
      <tp t="e">
        <v>#N/A</v>
        <stp/>
        <stp>BDH|3820242376549153537</stp>
        <tr r="I47" s="2"/>
      </tp>
      <tp t="e">
        <v>#N/A</v>
        <stp/>
        <stp>BDH|7969124116605113829</stp>
        <tr r="H75" s="2"/>
      </tp>
      <tp t="e">
        <v>#N/A</v>
        <stp/>
        <stp>BDH|4939892671671851060</stp>
        <tr r="D57" s="2"/>
      </tp>
      <tp t="e">
        <v>#N/A</v>
        <stp/>
        <stp>BDH|2469892009921219194</stp>
        <tr r="E32" s="2"/>
      </tp>
      <tp t="e">
        <v>#N/A</v>
        <stp/>
        <stp>BDH|6023759467855590857</stp>
        <tr r="C36" s="2"/>
      </tp>
      <tp t="e">
        <v>#N/A</v>
        <stp/>
        <stp>BDH|1406999343207959141</stp>
        <tr r="D71" s="2"/>
      </tp>
      <tp t="e">
        <v>#N/A</v>
        <stp/>
        <stp>BDH|7932126706489225592</stp>
        <tr r="F10" s="2"/>
      </tp>
      <tp t="e">
        <v>#N/A</v>
        <stp/>
        <stp>BDH|2328788649903434803</stp>
        <tr r="G42" s="2"/>
      </tp>
      <tp t="e">
        <v>#N/A</v>
        <stp/>
        <stp>BDH|5331149758869879200</stp>
        <tr r="G28" s="2"/>
      </tp>
      <tp t="e">
        <v>#N/A</v>
        <stp/>
        <stp>BDH|3801516989006797233</stp>
        <tr r="E74" s="2"/>
      </tp>
      <tp t="e">
        <v>#N/A</v>
        <stp/>
        <stp>BDH|9543532676303197247</stp>
        <tr r="E34" s="2"/>
      </tp>
      <tp t="e">
        <v>#N/A</v>
        <stp/>
        <stp>BDH|9021873595514097672</stp>
        <tr r="E37" s="2"/>
      </tp>
      <tp t="e">
        <v>#N/A</v>
        <stp/>
        <stp>BDH|9187238793681102882</stp>
        <tr r="H22" s="2"/>
      </tp>
      <tp t="e">
        <v>#N/A</v>
        <stp/>
        <stp>BDH|7376997521180719753</stp>
        <tr r="G25" s="2"/>
      </tp>
      <tp t="e">
        <v>#N/A</v>
        <stp/>
        <stp>BDH|5461145839535020978</stp>
        <tr r="I43" s="2"/>
      </tp>
      <tp t="e">
        <v>#N/A</v>
        <stp/>
        <stp>BDH|1308977462475856033</stp>
        <tr r="I59" s="2"/>
      </tp>
      <tp t="e">
        <v>#N/A</v>
        <stp/>
        <stp>BDH|6077883945393470244</stp>
        <tr r="H39" s="2"/>
      </tp>
      <tp t="e">
        <v>#N/A</v>
        <stp/>
        <stp>BDH|4932145475031378888</stp>
        <tr r="G17" s="2"/>
      </tp>
      <tp t="e">
        <v>#N/A</v>
        <stp/>
        <stp>BDH|8752373901997467753</stp>
        <tr r="I30" s="2"/>
      </tp>
      <tp t="e">
        <v>#N/A</v>
        <stp/>
        <stp>BDH|9992053647335259390</stp>
        <tr r="G33" s="2"/>
      </tp>
      <tp t="e">
        <v>#N/A</v>
        <stp/>
        <stp>BDH|8015210226081919289</stp>
        <tr r="I57" s="2"/>
      </tp>
      <tp t="e">
        <v>#N/A</v>
        <stp/>
        <stp>BDH|9824526845161887200</stp>
        <tr r="D15" s="2"/>
      </tp>
      <tp t="e">
        <v>#N/A</v>
        <stp/>
        <stp>BDH|8572012330562970283</stp>
        <tr r="F45" s="2"/>
      </tp>
      <tp t="e">
        <v>#N/A</v>
        <stp/>
        <stp>BDH|1498013628191040676</stp>
        <tr r="H71" s="2"/>
      </tp>
      <tp t="e">
        <v>#N/A</v>
        <stp/>
        <stp>BDH|5077380573383253621</stp>
        <tr r="D75" s="2"/>
      </tp>
      <tp t="e">
        <v>#N/A</v>
        <stp/>
        <stp>BDH|7930658031984100270</stp>
        <tr r="F43" s="2"/>
      </tp>
      <tp t="e">
        <v>#N/A</v>
        <stp/>
        <stp>BDH|6301687044745320545</stp>
        <tr r="E30" s="2"/>
      </tp>
      <tp t="e">
        <v>#N/A</v>
        <stp/>
        <stp>BDH|7455516982306982862</stp>
        <tr r="D50" s="2"/>
      </tp>
      <tp t="e">
        <v>#N/A</v>
        <stp/>
        <stp>BDH|3300504424624943412</stp>
        <tr r="E7" s="2"/>
      </tp>
      <tp t="e">
        <v>#N/A</v>
        <stp/>
        <stp>BDH|7474769450854548586</stp>
        <tr r="D29" s="2"/>
      </tp>
      <tp t="e">
        <v>#N/A</v>
        <stp/>
        <stp>BDH|5663499967762502122</stp>
        <tr r="H34" s="2"/>
      </tp>
      <tp t="e">
        <v>#N/A</v>
        <stp/>
        <stp>BDH|2583138519383220507</stp>
        <tr r="D73" s="2"/>
      </tp>
      <tp t="e">
        <v>#N/A</v>
        <stp/>
        <stp>BDH|6272383175487485199</stp>
        <tr r="D55" s="2"/>
      </tp>
      <tp t="e">
        <v>#N/A</v>
        <stp/>
        <stp>BDH|3272700010019024826</stp>
        <tr r="C26" s="2"/>
      </tp>
      <tp t="e">
        <v>#N/A</v>
        <stp/>
        <stp>BDH|3230697938763018137</stp>
        <tr r="F20" s="2"/>
      </tp>
      <tp t="e">
        <v>#N/A</v>
        <stp/>
        <stp>BDH|1579976590545325006</stp>
        <tr r="H74" s="2"/>
      </tp>
      <tp t="e">
        <v>#N/A</v>
        <stp/>
        <stp>BDH|3757777765473167535</stp>
        <tr r="D39" s="2"/>
      </tp>
      <tp t="e">
        <v>#N/A</v>
        <stp/>
        <stp>BDH|1850100059012087358</stp>
        <tr r="F67" s="2"/>
      </tp>
      <tp t="e">
        <v>#N/A</v>
        <stp/>
        <stp>BDH|6424566849154701791</stp>
        <tr r="G21" s="2"/>
      </tp>
      <tp t="e">
        <v>#N/A</v>
        <stp/>
        <stp>BDH|7588725686214122850</stp>
        <tr r="F75" s="2"/>
      </tp>
      <tp t="e">
        <v>#N/A</v>
        <stp/>
        <stp>BDH|1305852664988835211</stp>
        <tr r="G8" s="2"/>
      </tp>
      <tp t="e">
        <v>#N/A</v>
        <stp/>
        <stp>BDH|9918558040405366865</stp>
        <tr r="I29" s="2"/>
      </tp>
      <tp t="e">
        <v>#N/A</v>
        <stp/>
        <stp>BDH|6739310198350149915</stp>
        <tr r="G35" s="2"/>
      </tp>
      <tp t="e">
        <v>#N/A</v>
        <stp/>
        <stp>BDH|2092907637355146888</stp>
        <tr r="G15" s="2"/>
      </tp>
      <tp t="e">
        <v>#N/A</v>
        <stp/>
        <stp>BDH|2238744169370467656</stp>
        <tr r="G77" s="2"/>
      </tp>
      <tp t="e">
        <v>#N/A</v>
        <stp/>
        <stp>BDH|6471667051960409090</stp>
        <tr r="C57" s="2"/>
      </tp>
      <tp t="e">
        <v>#N/A</v>
        <stp/>
        <stp>BDH|9441946859858485822</stp>
        <tr r="E71" s="2"/>
      </tp>
      <tp t="e">
        <v>#N/A</v>
        <stp/>
        <stp>BDH|8790013328816382918</stp>
        <tr r="G16" s="2"/>
      </tp>
      <tp t="e">
        <v>#N/A</v>
        <stp/>
        <stp>BDH|2312033787829693627</stp>
        <tr r="E27" s="2"/>
      </tp>
      <tp t="e">
        <v>#N/A</v>
        <stp/>
        <stp>BDH|8231904448831829110</stp>
        <tr r="E51" s="2"/>
      </tp>
      <tp t="e">
        <v>#N/A</v>
        <stp/>
        <stp>BDH|2197026175770014007</stp>
        <tr r="H67" s="2"/>
      </tp>
      <tp t="e">
        <v>#N/A</v>
        <stp/>
        <stp>BDH|7619879892607731404</stp>
        <tr r="C29" s="2"/>
      </tp>
      <tp t="e">
        <v>#N/A</v>
        <stp/>
        <stp>BDH|56624877310684935</stp>
        <tr r="G45" s="2"/>
      </tp>
      <tp t="e">
        <v>#N/A</v>
        <stp/>
        <stp>BDH|9801789167507867951</stp>
        <tr r="I71" s="2"/>
      </tp>
      <tp t="e">
        <v>#N/A</v>
        <stp/>
        <stp>BDH|1975229158300178081</stp>
        <tr r="D70" s="2"/>
      </tp>
      <tp t="e">
        <v>#N/A</v>
        <stp/>
        <stp>BDH|7839818686306734724</stp>
        <tr r="I8" s="2"/>
      </tp>
      <tp t="e">
        <v>#N/A</v>
        <stp/>
        <stp>BDH|5930093321609818822</stp>
        <tr r="H48" s="2"/>
      </tp>
      <tp t="e">
        <v>#N/A</v>
        <stp/>
        <stp>BDH|7699330525466502693</stp>
        <tr r="E28" s="2"/>
      </tp>
      <tp t="e">
        <v>#N/A</v>
        <stp/>
        <stp>BDH|4820782448754217579</stp>
        <tr r="C48" s="2"/>
      </tp>
      <tp t="e">
        <v>#N/A</v>
        <stp/>
        <stp>BDH|6974525007767893244</stp>
        <tr r="H23" s="2"/>
      </tp>
      <tp t="e">
        <v>#N/A</v>
        <stp/>
        <stp>BDH|9271752636422460935</stp>
        <tr r="E18" s="2"/>
      </tp>
      <tp t="e">
        <v>#N/A</v>
        <stp/>
        <stp>BDH|8543007319527646901</stp>
        <tr r="H73" s="2"/>
      </tp>
      <tp t="e">
        <v>#N/A</v>
        <stp/>
        <stp>BDH|9332210239438093711</stp>
        <tr r="I51" s="2"/>
      </tp>
      <tp t="e">
        <v>#N/A</v>
        <stp/>
        <stp>BDH|3591418153737860277</stp>
        <tr r="I32" s="2"/>
      </tp>
      <tp t="e">
        <v>#N/A</v>
        <stp/>
        <stp>BDH|7482541086559639488</stp>
        <tr r="D23" s="2"/>
      </tp>
      <tp t="e">
        <v>#N/A</v>
        <stp/>
        <stp>BDH|4710854598572150020</stp>
        <tr r="G29" s="2"/>
      </tp>
      <tp t="e">
        <v>#N/A</v>
        <stp/>
        <stp>BDH|2998533042865152101</stp>
        <tr r="D32" s="2"/>
      </tp>
      <tp t="e">
        <v>#N/A</v>
        <stp/>
        <stp>BDH|1339355655934820459</stp>
        <tr r="I42" s="2"/>
      </tp>
      <tp t="e">
        <v>#N/A</v>
        <stp/>
        <stp>BDH|2969403674464275201</stp>
        <tr r="I12" s="2"/>
      </tp>
      <tp t="e">
        <v>#N/A</v>
        <stp/>
        <stp>BDH|2948330173772053355</stp>
        <tr r="F52" s="2"/>
        <tr r="F40" s="2"/>
      </tp>
      <tp t="e">
        <v>#N/A</v>
        <stp/>
        <stp>BDH|8173267020956357959</stp>
        <tr r="I35" s="2"/>
      </tp>
      <tp t="e">
        <v>#N/A</v>
        <stp/>
        <stp>BDH|7566238806176499458</stp>
        <tr r="D19" s="2"/>
      </tp>
      <tp t="e">
        <v>#N/A</v>
        <stp/>
        <stp>BDH|9040620637642364905</stp>
        <tr r="F25" s="2"/>
      </tp>
      <tp t="e">
        <v>#N/A</v>
        <stp/>
        <stp>BDH|3074571712299640952</stp>
        <tr r="G10" s="2"/>
      </tp>
      <tp t="e">
        <v>#N/A</v>
        <stp/>
        <stp>BDH|7592242443033459506</stp>
        <tr r="I69" s="2"/>
      </tp>
      <tp t="e">
        <v>#N/A</v>
        <stp/>
        <stp>BDH|9477808876753416212</stp>
        <tr r="I24" s="2"/>
      </tp>
      <tp t="e">
        <v>#N/A</v>
        <stp/>
        <stp>BDH|2274369460590086010</stp>
        <tr r="C23" s="2"/>
      </tp>
      <tp t="e">
        <v>#N/A</v>
        <stp/>
        <stp>BDH|1438096691001564931</stp>
        <tr r="D45" s="2"/>
      </tp>
      <tp t="e">
        <v>#N/A</v>
        <stp/>
        <stp>BDH|5824110580854229807</stp>
        <tr r="D30" s="2"/>
      </tp>
      <tp t="e">
        <v>#N/A</v>
        <stp/>
        <stp>BDH|5884266332120127455</stp>
        <tr r="I7" s="2"/>
      </tp>
      <tp t="e">
        <v>#N/A</v>
        <stp/>
        <stp>BDH|5917809281214742105</stp>
        <tr r="F9" s="2"/>
      </tp>
      <tp t="e">
        <v>#N/A</v>
        <stp/>
        <stp>BDH|1381660357677962577</stp>
        <tr r="F24" s="2"/>
      </tp>
      <tp t="e">
        <v>#N/A</v>
        <stp/>
        <stp>BDH|9772285346819253667</stp>
        <tr r="E31" s="2"/>
      </tp>
      <tp t="e">
        <v>#N/A</v>
        <stp/>
        <stp>BDH|5537687049897149079</stp>
        <tr r="F73" s="2"/>
      </tp>
      <tp t="e">
        <v>#N/A</v>
        <stp/>
        <stp>BDH|5602620900732679121</stp>
        <tr r="C67" s="2"/>
      </tp>
      <tp t="e">
        <v>#N/A</v>
        <stp/>
        <stp>BDH|3698424174711564153</stp>
        <tr r="H24" s="2"/>
      </tp>
      <tp t="e">
        <v>#N/A</v>
        <stp/>
        <stp>BDH|2690526282239316647</stp>
        <tr r="D56" s="2"/>
      </tp>
      <tp t="e">
        <v>#N/A</v>
        <stp/>
        <stp>BDH|1553079918048964821</stp>
        <tr r="G11" s="2"/>
      </tp>
      <tp t="e">
        <v>#N/A</v>
        <stp/>
        <stp>BDH|3539478174616703607</stp>
        <tr r="C55" s="2"/>
      </tp>
      <tp t="e">
        <v>#N/A</v>
        <stp/>
        <stp>BDH|8277201879088448592</stp>
        <tr r="E13" s="2"/>
      </tp>
      <tp t="e">
        <v>#N/A</v>
        <stp/>
        <stp>BDH|2888377889320716965</stp>
        <tr r="G50" s="2"/>
      </tp>
      <tp t="e">
        <v>#N/A</v>
        <stp/>
        <stp>BDH|4529718145166330163</stp>
        <tr r="D18" s="2"/>
      </tp>
      <tp t="e">
        <v>#N/A</v>
        <stp/>
        <stp>BDH|3895103879423550615</stp>
        <tr r="C24" s="2"/>
      </tp>
      <tp t="e">
        <v>#N/A</v>
        <stp/>
        <stp>BDH|2536286507861013014</stp>
        <tr r="C74" s="2"/>
      </tp>
      <tp t="e">
        <v>#N/A</v>
        <stp/>
        <stp>BDH|3678964198850497246</stp>
        <tr r="C56" s="2"/>
      </tp>
      <tp t="e">
        <v>#N/A</v>
        <stp/>
        <stp>BDH|9345502219685171930</stp>
        <tr r="D46" s="2"/>
      </tp>
      <tp t="e">
        <v>#N/A</v>
        <stp/>
        <stp>BDH|2376574759243496065</stp>
        <tr r="H76" s="2"/>
      </tp>
      <tp t="e">
        <v>#N/A</v>
        <stp/>
        <stp>BDH|9926511772708655204</stp>
        <tr r="F66" s="2"/>
      </tp>
      <tp t="e">
        <v>#N/A</v>
        <stp/>
        <stp>BDH|3587832989345476763</stp>
        <tr r="H36" s="2"/>
      </tp>
      <tp t="e">
        <v>#N/A</v>
        <stp/>
        <stp>BDH|7965755746901436436</stp>
        <tr r="E11" s="2"/>
      </tp>
      <tp t="e">
        <v>#N/A</v>
        <stp/>
        <stp>BDH|2096546825860349407</stp>
        <tr r="I68" s="2"/>
      </tp>
      <tp t="e">
        <v>#N/A</v>
        <stp/>
        <stp>BDH|1110595761944920720</stp>
        <tr r="F38" s="2"/>
      </tp>
      <tp t="e">
        <v>#N/A</v>
        <stp/>
        <stp>BDH|2104046901575627616</stp>
        <tr r="I36" s="2"/>
      </tp>
      <tp t="e">
        <v>#N/A</v>
        <stp/>
        <stp>BDH|4312017673952550044</stp>
        <tr r="C44" s="2"/>
      </tp>
      <tp t="e">
        <v>#N/A</v>
        <stp/>
        <stp>BDH|7106568569336915369</stp>
        <tr r="E57" s="2"/>
      </tp>
      <tp t="e">
        <v>#N/A</v>
        <stp/>
        <stp>BDH|3052631887098427410</stp>
        <tr r="E20" s="2"/>
      </tp>
      <tp t="e">
        <v>#N/A</v>
        <stp/>
        <stp>BDH|2235078321058159946</stp>
        <tr r="D38" s="2"/>
      </tp>
      <tp t="e">
        <v>#N/A</v>
        <stp/>
        <stp>BDH|5278721464786636358</stp>
        <tr r="G7" s="2"/>
      </tp>
      <tp t="e">
        <v>#N/A</v>
        <stp/>
        <stp>BDH|8261221304609790267</stp>
        <tr r="H43" s="2"/>
      </tp>
      <tp t="e">
        <v>#N/A</v>
        <stp/>
        <stp>BDH|1484728209666272278</stp>
        <tr r="C43" s="2"/>
      </tp>
      <tp t="e">
        <v>#N/A</v>
        <stp/>
        <stp>BDH|9468220482282407387</stp>
        <tr r="D44" s="2"/>
      </tp>
      <tp t="e">
        <v>#N/A</v>
        <stp/>
        <stp>BDH|8175251297514347585</stp>
        <tr r="E76" s="2"/>
      </tp>
      <tp t="e">
        <v>#N/A</v>
        <stp/>
        <stp>BDH|6368470516262228390</stp>
        <tr r="G30" s="2"/>
      </tp>
      <tp t="e">
        <v>#N/A</v>
        <stp/>
        <stp>BDH|3326754357587844457</stp>
        <tr r="C69" s="2"/>
      </tp>
      <tp t="e">
        <v>#N/A</v>
        <stp/>
        <stp>BDH|3672205148030597775</stp>
        <tr r="E24" s="2"/>
      </tp>
      <tp t="e">
        <v>#N/A</v>
        <stp/>
        <stp>BDH|1225141812710338341</stp>
        <tr r="G20" s="2"/>
      </tp>
      <tp t="e">
        <v>#N/A</v>
        <stp/>
        <stp>BDH|4310112349087244484</stp>
        <tr r="F33" s="2"/>
      </tp>
      <tp t="e">
        <v>#N/A</v>
        <stp/>
        <stp>BDH|4401572170323268773</stp>
        <tr r="F57" s="2"/>
      </tp>
      <tp t="e">
        <v>#N/A</v>
        <stp/>
        <stp>BDH|8246910925953866280</stp>
        <tr r="H44" s="2"/>
      </tp>
      <tp t="e">
        <v>#N/A</v>
        <stp/>
        <stp>BDH|5168569900336650475</stp>
        <tr r="H9" s="2"/>
      </tp>
      <tp t="e">
        <v>#N/A</v>
        <stp/>
        <stp>BDH|7476511319588248991</stp>
        <tr r="E55" s="2"/>
      </tp>
      <tp t="e">
        <v>#N/A</v>
        <stp/>
        <stp>BDH|5813770104572955274</stp>
        <tr r="D31" s="2"/>
      </tp>
      <tp t="e">
        <v>#N/A</v>
        <stp/>
        <stp>BDH|7761570940114163044</stp>
        <tr r="G22" s="2"/>
      </tp>
      <tp t="e">
        <v>#N/A</v>
        <stp/>
        <stp>BDH|7276173437107087073</stp>
        <tr r="F30" s="2"/>
      </tp>
      <tp t="e">
        <v>#N/A</v>
        <stp/>
        <stp>BDH|2346821301269811017</stp>
        <tr r="D6" s="2"/>
      </tp>
      <tp t="e">
        <v>#N/A</v>
        <stp/>
        <stp>BDH|5348394037540682627</stp>
        <tr r="C68" s="2"/>
      </tp>
      <tp t="e">
        <v>#N/A</v>
        <stp/>
        <stp>BDH|8831807904385093650</stp>
        <tr r="E70" s="2"/>
      </tp>
      <tp t="e">
        <v>#N/A</v>
        <stp/>
        <stp>BDH|3415168207630936128</stp>
        <tr r="H42" s="2"/>
      </tp>
      <tp t="e">
        <v>#N/A</v>
        <stp/>
        <stp>BDH|2227739514195849237</stp>
        <tr r="G37" s="2"/>
      </tp>
      <tp t="e">
        <v>#N/A</v>
        <stp/>
        <stp>BDH|9585895203023160113</stp>
        <tr r="F55" s="2"/>
      </tp>
      <tp t="e">
        <v>#N/A</v>
        <stp/>
        <stp>BDH|3870133850160409438</stp>
        <tr r="G69" s="2"/>
      </tp>
      <tp t="e">
        <v>#N/A</v>
        <stp/>
        <stp>BDH|2713464548236743734</stp>
        <tr r="C41" s="2"/>
      </tp>
      <tp t="e">
        <v>#N/A</v>
        <stp/>
        <stp>BDH|6220068710874179079</stp>
        <tr r="D76" s="2"/>
      </tp>
      <tp t="e">
        <v>#N/A</v>
        <stp/>
        <stp>BDH|5898788253750109413</stp>
        <tr r="G44" s="2"/>
      </tp>
      <tp t="e">
        <v>#N/A</v>
        <stp/>
        <stp>BDH|7512702290349717322</stp>
        <tr r="E14" s="2"/>
      </tp>
      <tp t="e">
        <v>#N/A</v>
        <stp/>
        <stp>BDH|2890751568228316870</stp>
        <tr r="C46" s="2"/>
      </tp>
      <tp t="e">
        <v>#N/A</v>
        <stp/>
        <stp>BDH|6218021647819131804</stp>
        <tr r="D13" s="2"/>
      </tp>
      <tp t="e">
        <v>#N/A</v>
        <stp/>
        <stp>BDH|7698520650410425444</stp>
        <tr r="G51" s="2"/>
      </tp>
      <tp t="e">
        <v>#N/A</v>
        <stp/>
        <stp>BDH|6321457229706396587</stp>
        <tr r="C21" s="2"/>
      </tp>
      <tp t="e">
        <v>#N/A</v>
        <stp/>
        <stp>BDH|9252379391263530351</stp>
        <tr r="H30" s="2"/>
      </tp>
      <tp t="e">
        <v>#N/A</v>
        <stp/>
        <stp>BDH|8295125854187522851</stp>
        <tr r="D22" s="2"/>
      </tp>
      <tp t="e">
        <v>#N/A</v>
        <stp/>
        <stp>BDH|815611051697771174</stp>
        <tr r="H55" s="2"/>
      </tp>
      <tp t="e">
        <v>#N/A</v>
        <stp/>
        <stp>BDH|116251607991630603</stp>
        <tr r="F51" s="2"/>
      </tp>
      <tp t="e">
        <v>#N/A</v>
        <stp/>
        <stp>BDH|607392896357923964</stp>
        <tr r="D77" s="2"/>
      </tp>
      <tp t="e">
        <v>#N/A</v>
        <stp/>
        <stp>BDH|525259881938575637</stp>
        <tr r="D60" s="2"/>
      </tp>
      <tp t="e">
        <v>#N/A</v>
        <stp/>
        <stp>BDH|849671412707697746</stp>
        <tr r="C19" s="2"/>
      </tp>
      <tp t="e">
        <v>#N/A</v>
        <stp/>
        <stp>BDH|516340357567544615</stp>
        <tr r="H59" s="2"/>
      </tp>
      <tp t="e">
        <v>#N/A</v>
        <stp/>
        <stp>BDH|928142848201691538</stp>
        <tr r="I21" s="2"/>
      </tp>
      <tp t="e">
        <v>#N/A</v>
        <stp/>
        <stp>BDH|570519630243749410</stp>
        <tr r="I6" s="2"/>
      </tp>
      <tp t="e">
        <v>#N/A</v>
        <stp/>
        <stp>BDH|120227036116026799</stp>
        <tr r="C50" s="2"/>
      </tp>
      <tp t="e">
        <v>#N/A</v>
        <stp/>
        <stp>BDH|141588134041578773</stp>
        <tr r="D24" s="2"/>
      </tp>
      <tp t="e">
        <v>#N/A</v>
        <stp/>
        <stp>BDH|675576454336649699</stp>
        <tr r="C31" s="2"/>
      </tp>
      <tp t="e">
        <v>#N/A</v>
        <stp/>
        <stp>BDH|801760789819766649</stp>
        <tr r="I62" s="2"/>
      </tp>
      <tp t="e">
        <v>#N/A</v>
        <stp/>
        <stp>BDH|594087579750264705</stp>
        <tr r="H26" s="2"/>
      </tp>
      <tp t="e">
        <v>#N/A</v>
        <stp/>
        <stp>BDH|345043947784902261</stp>
        <tr r="F19" s="2"/>
      </tp>
      <tp t="e">
        <v>#N/A</v>
        <stp/>
        <stp>BDH|704380955007703353</stp>
        <tr r="D51" s="2"/>
      </tp>
      <tp t="e">
        <v>#N/A</v>
        <stp/>
        <stp>BDH|231739888710291204</stp>
        <tr r="C11" s="2"/>
      </tp>
      <tp t="e">
        <v>#N/A</v>
        <stp/>
        <stp>BDH|719695284223123152</stp>
        <tr r="G60" s="2"/>
      </tp>
      <tp t="e">
        <v>#N/A</v>
        <stp/>
        <stp>BDH|148733462884358948</stp>
        <tr r="E36" s="2"/>
      </tp>
      <tp t="e">
        <v>#N/A</v>
        <stp/>
        <stp>BDH|698450183675467689</stp>
        <tr r="D26" s="2"/>
      </tp>
      <tp t="e">
        <v>#N/A</v>
        <stp/>
        <stp>BDH|444746661898433616</stp>
        <tr r="H6" s="2"/>
      </tp>
      <tp t="e">
        <v>#N/A</v>
        <stp/>
        <stp>BDH|665035338139908486</stp>
        <tr r="F61" s="2"/>
      </tp>
      <tp t="e">
        <v>#N/A</v>
        <stp/>
        <stp>BDH|134338509904586915</stp>
        <tr r="I44" s="2"/>
      </tp>
      <tp t="e">
        <v>#N/A</v>
        <stp/>
        <stp>BDH|125491489350476278</stp>
        <tr r="I56" s="2"/>
      </tp>
      <tp t="e">
        <v>#N/A</v>
        <stp/>
        <stp>BDH|664462923816303933</stp>
        <tr r="I73" s="2"/>
      </tp>
      <tp t="e">
        <v>#N/A</v>
        <stp/>
        <stp>BDH|277265992648363801</stp>
        <tr r="I37" s="2"/>
      </tp>
      <tp t="e">
        <v>#N/A</v>
        <stp/>
        <stp>BDH|779401427704094813</stp>
        <tr r="D6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workbookViewId="0"/>
  </sheetViews>
  <sheetFormatPr defaultRowHeight="14.25" x14ac:dyDescent="0.45"/>
  <cols>
    <col min="1" max="1" width="35.19921875" customWidth="1"/>
    <col min="2" max="2" width="0" hidden="1" customWidth="1"/>
    <col min="3" max="12" width="11.796875" customWidth="1"/>
  </cols>
  <sheetData>
    <row r="1" spans="1:12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65" x14ac:dyDescent="0.45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45">
      <c r="A4" s="3" t="s">
        <v>5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</row>
    <row r="5" spans="1:12" x14ac:dyDescent="0.45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 x14ac:dyDescent="0.45">
      <c r="A6" s="6" t="s">
        <v>0</v>
      </c>
      <c r="B6" s="6" t="s">
        <v>27</v>
      </c>
      <c r="C6" s="19">
        <f>_xll.BDH("FIS US Equity","SALES_REV_TURN","FY 2013","FY 2013","Currency=USD","Period=FY","BEST_FPERIOD_OVERRIDE=FY","FILING_STATUS=MR","SCALING_FORMAT=MLN","FA_ADJUSTED=Adjusted","Sort=A","Dates=H","DateFormat=P","Fill=—","Direction=H","UseDPDF=Y")</f>
        <v>6063.4</v>
      </c>
      <c r="D6" s="19">
        <f>_xll.BDH("FIS US Equity","SALES_REV_TURN","FY 2014","FY 2014","Currency=USD","Period=FY","BEST_FPERIOD_OVERRIDE=FY","FILING_STATUS=MR","SCALING_FORMAT=MLN","FA_ADJUSTED=Adjusted","Sort=A","Dates=H","DateFormat=P","Fill=—","Direction=H","UseDPDF=Y")</f>
        <v>6413</v>
      </c>
      <c r="E6" s="19">
        <f>_xll.BDH("FIS US Equity","SALES_REV_TURN","FY 2015","FY 2015","Currency=USD","Period=FY","BEST_FPERIOD_OVERRIDE=FY","FILING_STATUS=MR","SCALING_FORMAT=MLN","FA_ADJUSTED=Adjusted","Sort=A","Dates=H","DateFormat=P","Fill=—","Direction=H","UseDPDF=Y")</f>
        <v>6596</v>
      </c>
      <c r="F6" s="19">
        <f>_xll.BDH("FIS US Equity","SALES_REV_TURN","FY 2016","FY 2016","Currency=USD","Period=FY","BEST_FPERIOD_OVERRIDE=FY","FILING_STATUS=MR","SCALING_FORMAT=MLN","FA_ADJUSTED=Adjusted","Sort=A","Dates=H","DateFormat=P","Fill=—","Direction=H","UseDPDF=Y")</f>
        <v>8831</v>
      </c>
      <c r="G6" s="19">
        <f>_xll.BDH("FIS US Equity","SALES_REV_TURN","FY 2017","FY 2017","Currency=USD","Period=FY","BEST_FPERIOD_OVERRIDE=FY","FILING_STATUS=MR","SCALING_FORMAT=MLN","FA_ADJUSTED=Adjusted","Sort=A","Dates=H","DateFormat=P","Fill=—","Direction=H","UseDPDF=Y")</f>
        <v>8668</v>
      </c>
      <c r="H6" s="19">
        <f>_xll.BDH("FIS US Equity","SALES_REV_TURN","FY 2018","FY 2018","Currency=USD","Period=FY","BEST_FPERIOD_OVERRIDE=FY","FILING_STATUS=MR","SCALING_FORMAT=MLN","FA_ADJUSTED=Adjusted","Sort=A","Dates=H","DateFormat=P","Fill=—","Direction=H","UseDPDF=Y")</f>
        <v>8423</v>
      </c>
      <c r="I6" s="19">
        <f>_xll.BDH("FIS US Equity","SALES_REV_TURN","FY 2019","FY 2019","Currency=USD","Period=FY","BEST_FPERIOD_OVERRIDE=FY","FILING_STATUS=MR","SCALING_FORMAT=MLN","FA_ADJUSTED=Adjusted","Sort=A","Dates=H","DateFormat=P","Fill=—","Direction=H","UseDPDF=Y")</f>
        <v>10333</v>
      </c>
      <c r="J6" s="22">
        <v>12578</v>
      </c>
      <c r="K6" s="19">
        <v>12573.257</v>
      </c>
      <c r="L6" s="19">
        <v>13627.486000000001</v>
      </c>
    </row>
    <row r="7" spans="1:12" x14ac:dyDescent="0.45">
      <c r="A7" s="10" t="s">
        <v>28</v>
      </c>
      <c r="B7" s="10" t="s">
        <v>29</v>
      </c>
      <c r="C7" s="13">
        <f>_xll.BDH("FIS US Equity","IS_SALES_AND_SERVICES_REVENUES","FY 2013","FY 2013","Currency=USD","Period=FY","BEST_FPERIOD_OVERRIDE=FY","FILING_STATUS=MR","SCALING_FORMAT=MLN","FA_ADJUSTED=Adjusted","Sort=A","Dates=H","DateFormat=P","Fill=—","Direction=H","UseDPDF=Y")</f>
        <v>6063.4</v>
      </c>
      <c r="D7" s="13">
        <f>_xll.BDH("FIS US Equity","IS_SALES_AND_SERVICES_REVENUES","FY 2014","FY 2014","Currency=USD","Period=FY","BEST_FPERIOD_OVERRIDE=FY","FILING_STATUS=MR","SCALING_FORMAT=MLN","FA_ADJUSTED=Adjusted","Sort=A","Dates=H","DateFormat=P","Fill=—","Direction=H","UseDPDF=Y")</f>
        <v>6413</v>
      </c>
      <c r="E7" s="13">
        <f>_xll.BDH("FIS US Equity","IS_SALES_AND_SERVICES_REVENUES","FY 2015","FY 2015","Currency=USD","Period=FY","BEST_FPERIOD_OVERRIDE=FY","FILING_STATUS=MR","SCALING_FORMAT=MLN","FA_ADJUSTED=Adjusted","Sort=A","Dates=H","DateFormat=P","Fill=—","Direction=H","UseDPDF=Y")</f>
        <v>6596</v>
      </c>
      <c r="F7" s="13">
        <f>_xll.BDH("FIS US Equity","IS_SALES_AND_SERVICES_REVENUES","FY 2016","FY 2016","Currency=USD","Period=FY","BEST_FPERIOD_OVERRIDE=FY","FILING_STATUS=MR","SCALING_FORMAT=MLN","FA_ADJUSTED=Adjusted","Sort=A","Dates=H","DateFormat=P","Fill=—","Direction=H","UseDPDF=Y")</f>
        <v>8831</v>
      </c>
      <c r="G7" s="13">
        <f>_xll.BDH("FIS US Equity","IS_SALES_AND_SERVICES_REVENUES","FY 2017","FY 2017","Currency=USD","Period=FY","BEST_FPERIOD_OVERRIDE=FY","FILING_STATUS=MR","SCALING_FORMAT=MLN","FA_ADJUSTED=Adjusted","Sort=A","Dates=H","DateFormat=P","Fill=—","Direction=H","UseDPDF=Y")</f>
        <v>8668</v>
      </c>
      <c r="H7" s="13">
        <f>_xll.BDH("FIS US Equity","IS_SALES_AND_SERVICES_REVENUES","FY 2018","FY 2018","Currency=USD","Period=FY","BEST_FPERIOD_OVERRIDE=FY","FILING_STATUS=MR","SCALING_FORMAT=MLN","FA_ADJUSTED=Adjusted","Sort=A","Dates=H","DateFormat=P","Fill=—","Direction=H","UseDPDF=Y")</f>
        <v>8423</v>
      </c>
      <c r="I7" s="13">
        <f>_xll.BDH("FIS US Equity","IS_SALES_AND_SERVICES_REVENUES","FY 2019","FY 2019","Currency=USD","Period=FY","BEST_FPERIOD_OVERRIDE=FY","FILING_STATUS=MR","SCALING_FORMAT=MLN","FA_ADJUSTED=Adjusted","Sort=A","Dates=H","DateFormat=P","Fill=—","Direction=H","UseDPDF=Y")</f>
        <v>10333</v>
      </c>
      <c r="J7" s="16">
        <v>12578</v>
      </c>
      <c r="K7" s="13"/>
      <c r="L7" s="13"/>
    </row>
    <row r="8" spans="1:12" x14ac:dyDescent="0.45">
      <c r="A8" s="10" t="s">
        <v>30</v>
      </c>
      <c r="B8" s="10" t="s">
        <v>31</v>
      </c>
      <c r="C8" s="13">
        <f>_xll.BDH("FIS US Equity","IS_COGS_TO_FE_AND_PP_AND_G","FY 2013","FY 2013","Currency=USD","Period=FY","BEST_FPERIOD_OVERRIDE=FY","FILING_STATUS=MR","SCALING_FORMAT=MLN","FA_ADJUSTED=Adjusted","Sort=A","Dates=H","DateFormat=P","Fill=—","Direction=H","UseDPDF=Y")</f>
        <v>4076.6</v>
      </c>
      <c r="D8" s="13">
        <f>_xll.BDH("FIS US Equity","IS_COGS_TO_FE_AND_PP_AND_G","FY 2014","FY 2014","Currency=USD","Period=FY","BEST_FPERIOD_OVERRIDE=FY","FILING_STATUS=MR","SCALING_FORMAT=MLN","FA_ADJUSTED=Adjusted","Sort=A","Dates=H","DateFormat=P","Fill=—","Direction=H","UseDPDF=Y")</f>
        <v>4318</v>
      </c>
      <c r="E8" s="13">
        <f>_xll.BDH("FIS US Equity","IS_COGS_TO_FE_AND_PP_AND_G","FY 2015","FY 2015","Currency=USD","Period=FY","BEST_FPERIOD_OVERRIDE=FY","FILING_STATUS=MR","SCALING_FORMAT=MLN","FA_ADJUSTED=Adjusted","Sort=A","Dates=H","DateFormat=P","Fill=—","Direction=H","UseDPDF=Y")</f>
        <v>4395</v>
      </c>
      <c r="F8" s="13">
        <f>_xll.BDH("FIS US Equity","IS_COGS_TO_FE_AND_PP_AND_G","FY 2016","FY 2016","Currency=USD","Period=FY","BEST_FPERIOD_OVERRIDE=FY","FILING_STATUS=MR","SCALING_FORMAT=MLN","FA_ADJUSTED=Adjusted","Sort=A","Dates=H","DateFormat=P","Fill=—","Direction=H","UseDPDF=Y")</f>
        <v>5895</v>
      </c>
      <c r="G8" s="13">
        <f>_xll.BDH("FIS US Equity","IS_COGS_TO_FE_AND_PP_AND_G","FY 2017","FY 2017","Currency=USD","Period=FY","BEST_FPERIOD_OVERRIDE=FY","FILING_STATUS=MR","SCALING_FORMAT=MLN","FA_ADJUSTED=Adjusted","Sort=A","Dates=H","DateFormat=P","Fill=—","Direction=H","UseDPDF=Y")</f>
        <v>5794</v>
      </c>
      <c r="H8" s="13">
        <f>_xll.BDH("FIS US Equity","IS_COGS_TO_FE_AND_PP_AND_G","FY 2018","FY 2018","Currency=USD","Period=FY","BEST_FPERIOD_OVERRIDE=FY","FILING_STATUS=MR","SCALING_FORMAT=MLN","FA_ADJUSTED=Adjusted","Sort=A","Dates=H","DateFormat=P","Fill=—","Direction=H","UseDPDF=Y")</f>
        <v>5569</v>
      </c>
      <c r="I8" s="13">
        <f>_xll.BDH("FIS US Equity","IS_COGS_TO_FE_AND_PP_AND_G","FY 2019","FY 2019","Currency=USD","Period=FY","BEST_FPERIOD_OVERRIDE=FY","FILING_STATUS=MR","SCALING_FORMAT=MLN","FA_ADJUSTED=Adjusted","Sort=A","Dates=H","DateFormat=P","Fill=—","Direction=H","UseDPDF=Y")</f>
        <v>6610</v>
      </c>
      <c r="J8" s="16">
        <v>8225</v>
      </c>
      <c r="K8" s="13"/>
      <c r="L8" s="13"/>
    </row>
    <row r="9" spans="1:12" x14ac:dyDescent="0.45">
      <c r="A9" s="10" t="s">
        <v>32</v>
      </c>
      <c r="B9" s="10" t="s">
        <v>33</v>
      </c>
      <c r="C9" s="13">
        <f>_xll.BDH("FIS US Equity","IS_COG_AND_SERVICES_SOLD","FY 2013","FY 2013","Currency=USD","Period=FY","BEST_FPERIOD_OVERRIDE=FY","FILING_STATUS=MR","SCALING_FORMAT=MLN","FA_ADJUSTED=Adjusted","Sort=A","Dates=H","DateFormat=P","Fill=—","Direction=H","UseDPDF=Y")</f>
        <v>4076.6</v>
      </c>
      <c r="D9" s="13">
        <f>_xll.BDH("FIS US Equity","IS_COG_AND_SERVICES_SOLD","FY 2014","FY 2014","Currency=USD","Period=FY","BEST_FPERIOD_OVERRIDE=FY","FILING_STATUS=MR","SCALING_FORMAT=MLN","FA_ADJUSTED=Adjusted","Sort=A","Dates=H","DateFormat=P","Fill=—","Direction=H","UseDPDF=Y")</f>
        <v>4318</v>
      </c>
      <c r="E9" s="13">
        <f>_xll.BDH("FIS US Equity","IS_COG_AND_SERVICES_SOLD","FY 2015","FY 2015","Currency=USD","Period=FY","BEST_FPERIOD_OVERRIDE=FY","FILING_STATUS=MR","SCALING_FORMAT=MLN","FA_ADJUSTED=Adjusted","Sort=A","Dates=H","DateFormat=P","Fill=—","Direction=H","UseDPDF=Y")</f>
        <v>4395</v>
      </c>
      <c r="F9" s="13">
        <f>_xll.BDH("FIS US Equity","IS_COG_AND_SERVICES_SOLD","FY 2016","FY 2016","Currency=USD","Period=FY","BEST_FPERIOD_OVERRIDE=FY","FILING_STATUS=MR","SCALING_FORMAT=MLN","FA_ADJUSTED=Adjusted","Sort=A","Dates=H","DateFormat=P","Fill=—","Direction=H","UseDPDF=Y")</f>
        <v>5895</v>
      </c>
      <c r="G9" s="13">
        <f>_xll.BDH("FIS US Equity","IS_COG_AND_SERVICES_SOLD","FY 2017","FY 2017","Currency=USD","Period=FY","BEST_FPERIOD_OVERRIDE=FY","FILING_STATUS=MR","SCALING_FORMAT=MLN","FA_ADJUSTED=Adjusted","Sort=A","Dates=H","DateFormat=P","Fill=—","Direction=H","UseDPDF=Y")</f>
        <v>5794</v>
      </c>
      <c r="H9" s="13">
        <f>_xll.BDH("FIS US Equity","IS_COG_AND_SERVICES_SOLD","FY 2018","FY 2018","Currency=USD","Period=FY","BEST_FPERIOD_OVERRIDE=FY","FILING_STATUS=MR","SCALING_FORMAT=MLN","FA_ADJUSTED=Adjusted","Sort=A","Dates=H","DateFormat=P","Fill=—","Direction=H","UseDPDF=Y")</f>
        <v>5569</v>
      </c>
      <c r="I9" s="13">
        <f>_xll.BDH("FIS US Equity","IS_COG_AND_SERVICES_SOLD","FY 2019","FY 2019","Currency=USD","Period=FY","BEST_FPERIOD_OVERRIDE=FY","FILING_STATUS=MR","SCALING_FORMAT=MLN","FA_ADJUSTED=Adjusted","Sort=A","Dates=H","DateFormat=P","Fill=—","Direction=H","UseDPDF=Y")</f>
        <v>6610</v>
      </c>
      <c r="J9" s="16">
        <v>8225</v>
      </c>
      <c r="K9" s="13"/>
      <c r="L9" s="13"/>
    </row>
    <row r="10" spans="1:12" x14ac:dyDescent="0.45">
      <c r="A10" s="6" t="s">
        <v>1</v>
      </c>
      <c r="B10" s="6" t="s">
        <v>34</v>
      </c>
      <c r="C10" s="19">
        <f>_xll.BDH("FIS US Equity","GROSS_PROFIT","FY 2013","FY 2013","Currency=USD","Period=FY","BEST_FPERIOD_OVERRIDE=FY","FILING_STATUS=MR","SCALING_FORMAT=MLN","FA_ADJUSTED=Adjusted","Sort=A","Dates=H","DateFormat=P","Fill=—","Direction=H","UseDPDF=Y")</f>
        <v>1986.8</v>
      </c>
      <c r="D10" s="19">
        <f>_xll.BDH("FIS US Equity","GROSS_PROFIT","FY 2014","FY 2014","Currency=USD","Period=FY","BEST_FPERIOD_OVERRIDE=FY","FILING_STATUS=MR","SCALING_FORMAT=MLN","FA_ADJUSTED=Adjusted","Sort=A","Dates=H","DateFormat=P","Fill=—","Direction=H","UseDPDF=Y")</f>
        <v>2095</v>
      </c>
      <c r="E10" s="19">
        <f>_xll.BDH("FIS US Equity","GROSS_PROFIT","FY 2015","FY 2015","Currency=USD","Period=FY","BEST_FPERIOD_OVERRIDE=FY","FILING_STATUS=MR","SCALING_FORMAT=MLN","FA_ADJUSTED=Adjusted","Sort=A","Dates=H","DateFormat=P","Fill=—","Direction=H","UseDPDF=Y")</f>
        <v>2201</v>
      </c>
      <c r="F10" s="19">
        <f>_xll.BDH("FIS US Equity","GROSS_PROFIT","FY 2016","FY 2016","Currency=USD","Period=FY","BEST_FPERIOD_OVERRIDE=FY","FILING_STATUS=MR","SCALING_FORMAT=MLN","FA_ADJUSTED=Adjusted","Sort=A","Dates=H","DateFormat=P","Fill=—","Direction=H","UseDPDF=Y")</f>
        <v>2936</v>
      </c>
      <c r="G10" s="19">
        <f>_xll.BDH("FIS US Equity","GROSS_PROFIT","FY 2017","FY 2017","Currency=USD","Period=FY","BEST_FPERIOD_OVERRIDE=FY","FILING_STATUS=MR","SCALING_FORMAT=MLN","FA_ADJUSTED=Adjusted","Sort=A","Dates=H","DateFormat=P","Fill=—","Direction=H","UseDPDF=Y")</f>
        <v>2874</v>
      </c>
      <c r="H10" s="19">
        <f>_xll.BDH("FIS US Equity","GROSS_PROFIT","FY 2018","FY 2018","Currency=USD","Period=FY","BEST_FPERIOD_OVERRIDE=FY","FILING_STATUS=MR","SCALING_FORMAT=MLN","FA_ADJUSTED=Adjusted","Sort=A","Dates=H","DateFormat=P","Fill=—","Direction=H","UseDPDF=Y")</f>
        <v>2854</v>
      </c>
      <c r="I10" s="19">
        <f>_xll.BDH("FIS US Equity","GROSS_PROFIT","FY 2019","FY 2019","Currency=USD","Period=FY","BEST_FPERIOD_OVERRIDE=FY","FILING_STATUS=MR","SCALING_FORMAT=MLN","FA_ADJUSTED=Adjusted","Sort=A","Dates=H","DateFormat=P","Fill=—","Direction=H","UseDPDF=Y")</f>
        <v>3723</v>
      </c>
      <c r="J10" s="22">
        <v>4353</v>
      </c>
      <c r="K10" s="19">
        <v>4572.0134429099999</v>
      </c>
      <c r="L10" s="19">
        <v>5382.4481454200004</v>
      </c>
    </row>
    <row r="11" spans="1:12" x14ac:dyDescent="0.45">
      <c r="A11" s="10" t="s">
        <v>35</v>
      </c>
      <c r="B11" s="10" t="s">
        <v>36</v>
      </c>
      <c r="C11" s="13">
        <f>_xll.BDH("FIS US Equity","IS_OTHER_OPER_INC","FY 2013","FY 2013","Currency=USD","Period=FY","BEST_FPERIOD_OVERRIDE=FY","FILING_STATUS=MR","SCALING_FORMAT=MLN","FA_ADJUSTED=Adjusted","Sort=A","Dates=H","DateFormat=P","Fill=—","Direction=H","UseDPDF=Y")</f>
        <v>0</v>
      </c>
      <c r="D11" s="13">
        <f>_xll.BDH("FIS US Equity","IS_OTHER_OPER_INC","FY 2014","FY 2014","Currency=USD","Period=FY","BEST_FPERIOD_OVERRIDE=FY","FILING_STATUS=MR","SCALING_FORMAT=MLN","FA_ADJUSTED=Adjusted","Sort=A","Dates=H","DateFormat=P","Fill=—","Direction=H","UseDPDF=Y")</f>
        <v>0</v>
      </c>
      <c r="E11" s="13">
        <f>_xll.BDH("FIS US Equity","IS_OTHER_OPER_INC","FY 2015","FY 2015","Currency=USD","Period=FY","BEST_FPERIOD_OVERRIDE=FY","FILING_STATUS=MR","SCALING_FORMAT=MLN","FA_ADJUSTED=Adjusted","Sort=A","Dates=H","DateFormat=P","Fill=—","Direction=H","UseDPDF=Y")</f>
        <v>0</v>
      </c>
      <c r="F11" s="13">
        <f>_xll.BDH("FIS US Equity","IS_OTHER_OPER_INC","FY 2016","FY 2016","Currency=USD","Period=FY","BEST_FPERIOD_OVERRIDE=FY","FILING_STATUS=MR","SCALING_FORMAT=MLN","FA_ADJUSTED=Adjusted","Sort=A","Dates=H","DateFormat=P","Fill=—","Direction=H","UseDPDF=Y")</f>
        <v>0</v>
      </c>
      <c r="G11" s="13">
        <f>_xll.BDH("FIS US Equity","IS_OTHER_OPER_INC","FY 2017","FY 2017","Currency=USD","Period=FY","BEST_FPERIOD_OVERRIDE=FY","FILING_STATUS=MR","SCALING_FORMAT=MLN","FA_ADJUSTED=Adjusted","Sort=A","Dates=H","DateFormat=P","Fill=—","Direction=H","UseDPDF=Y")</f>
        <v>0</v>
      </c>
      <c r="H11" s="13">
        <f>_xll.BDH("FIS US Equity","IS_OTHER_OPER_INC","FY 2018","FY 2018","Currency=USD","Period=FY","BEST_FPERIOD_OVERRIDE=FY","FILING_STATUS=MR","SCALING_FORMAT=MLN","FA_ADJUSTED=Adjusted","Sort=A","Dates=H","DateFormat=P","Fill=—","Direction=H","UseDPDF=Y")</f>
        <v>0</v>
      </c>
      <c r="I11" s="13">
        <f>_xll.BDH("FIS US Equity","IS_OTHER_OPER_INC","FY 2019","FY 2019","Currency=USD","Period=FY","BEST_FPERIOD_OVERRIDE=FY","FILING_STATUS=MR","SCALING_FORMAT=MLN","FA_ADJUSTED=Adjusted","Sort=A","Dates=H","DateFormat=P","Fill=—","Direction=H","UseDPDF=Y")</f>
        <v>0</v>
      </c>
      <c r="J11" s="16">
        <v>0</v>
      </c>
      <c r="K11" s="13"/>
      <c r="L11" s="13"/>
    </row>
    <row r="12" spans="1:12" x14ac:dyDescent="0.45">
      <c r="A12" s="10" t="s">
        <v>37</v>
      </c>
      <c r="B12" s="10" t="s">
        <v>38</v>
      </c>
      <c r="C12" s="13">
        <f>_xll.BDH("FIS US Equity","IS_OPERATING_EXPN","FY 2013","FY 2013","Currency=USD","Period=FY","BEST_FPERIOD_OVERRIDE=FY","FILING_STATUS=MR","SCALING_FORMAT=MLN","FA_ADJUSTED=Adjusted","Sort=A","Dates=H","DateFormat=P","Fill=—","Direction=H","UseDPDF=Y")</f>
        <v>776.8</v>
      </c>
      <c r="D12" s="13">
        <f>_xll.BDH("FIS US Equity","IS_OPERATING_EXPN","FY 2014","FY 2014","Currency=USD","Period=FY","BEST_FPERIOD_OVERRIDE=FY","FILING_STATUS=MR","SCALING_FORMAT=MLN","FA_ADJUSTED=Adjusted","Sort=A","Dates=H","DateFormat=P","Fill=—","Direction=H","UseDPDF=Y")</f>
        <v>793.5</v>
      </c>
      <c r="E12" s="13">
        <f>_xll.BDH("FIS US Equity","IS_OPERATING_EXPN","FY 2015","FY 2015","Currency=USD","Period=FY","BEST_FPERIOD_OVERRIDE=FY","FILING_STATUS=MR","SCALING_FORMAT=MLN","FA_ADJUSTED=Adjusted","Sort=A","Dates=H","DateFormat=P","Fill=—","Direction=H","UseDPDF=Y")</f>
        <v>883</v>
      </c>
      <c r="F12" s="13">
        <f>_xll.BDH("FIS US Equity","IS_OPERATING_EXPN","FY 2016","FY 2016","Currency=USD","Period=FY","BEST_FPERIOD_OVERRIDE=FY","FILING_STATUS=MR","SCALING_FORMAT=MLN","FA_ADJUSTED=Adjusted","Sort=A","Dates=H","DateFormat=P","Fill=—","Direction=H","UseDPDF=Y")</f>
        <v>1584</v>
      </c>
      <c r="G12" s="13">
        <f>_xll.BDH("FIS US Equity","IS_OPERATING_EXPN","FY 2017","FY 2017","Currency=USD","Period=FY","BEST_FPERIOD_OVERRIDE=FY","FILING_STATUS=MR","SCALING_FORMAT=MLN","FA_ADJUSTED=Adjusted","Sort=A","Dates=H","DateFormat=P","Fill=—","Direction=H","UseDPDF=Y")</f>
        <v>1319</v>
      </c>
      <c r="H12" s="13">
        <f>_xll.BDH("FIS US Equity","IS_OPERATING_EXPN","FY 2018","FY 2018","Currency=USD","Period=FY","BEST_FPERIOD_OVERRIDE=FY","FILING_STATUS=MR","SCALING_FORMAT=MLN","FA_ADJUSTED=Adjusted","Sort=A","Dates=H","DateFormat=P","Fill=—","Direction=H","UseDPDF=Y")</f>
        <v>1085</v>
      </c>
      <c r="I12" s="13">
        <f>_xll.BDH("FIS US Equity","IS_OPERATING_EXPN","FY 2019","FY 2019","Currency=USD","Period=FY","BEST_FPERIOD_OVERRIDE=FY","FILING_STATUS=MR","SCALING_FORMAT=MLN","FA_ADJUSTED=Adjusted","Sort=A","Dates=H","DateFormat=P","Fill=—","Direction=H","UseDPDF=Y")</f>
        <v>1893</v>
      </c>
      <c r="J12" s="16">
        <v>2775</v>
      </c>
      <c r="K12" s="13"/>
      <c r="L12" s="13"/>
    </row>
    <row r="13" spans="1:12" x14ac:dyDescent="0.45">
      <c r="A13" s="10" t="s">
        <v>39</v>
      </c>
      <c r="B13" s="10" t="s">
        <v>40</v>
      </c>
      <c r="C13" s="13">
        <f>_xll.BDH("FIS US Equity","IS_SG&amp;A_EXPENSE","FY 2013","FY 2013","Currency=USD","Period=FY","BEST_FPERIOD_OVERRIDE=FY","FILING_STATUS=MR","SCALING_FORMAT=MLN","FA_ADJUSTED=Adjusted","Sort=A","Dates=H","DateFormat=P","Fill=—","Direction=H","UseDPDF=Y")</f>
        <v>767.6</v>
      </c>
      <c r="D13" s="13">
        <f>_xll.BDH("FIS US Equity","IS_SG&amp;A_EXPENSE","FY 2014","FY 2014","Currency=USD","Period=FY","BEST_FPERIOD_OVERRIDE=FY","FILING_STATUS=MR","SCALING_FORMAT=MLN","FA_ADJUSTED=Adjusted","Sort=A","Dates=H","DateFormat=P","Fill=—","Direction=H","UseDPDF=Y")</f>
        <v>793.5</v>
      </c>
      <c r="E13" s="13">
        <f>_xll.BDH("FIS US Equity","IS_SG&amp;A_EXPENSE","FY 2015","FY 2015","Currency=USD","Period=FY","BEST_FPERIOD_OVERRIDE=FY","FILING_STATUS=MR","SCALING_FORMAT=MLN","FA_ADJUSTED=Adjusted","Sort=A","Dates=H","DateFormat=P","Fill=—","Direction=H","UseDPDF=Y")</f>
        <v>1102</v>
      </c>
      <c r="F13" s="13">
        <f>_xll.BDH("FIS US Equity","IS_SG&amp;A_EXPENSE","FY 2016","FY 2016","Currency=USD","Period=FY","BEST_FPERIOD_OVERRIDE=FY","FILING_STATUS=MR","SCALING_FORMAT=MLN","FA_ADJUSTED=Adjusted","Sort=A","Dates=H","DateFormat=P","Fill=—","Direction=H","UseDPDF=Y")</f>
        <v>1707</v>
      </c>
      <c r="G13" s="13">
        <f>_xll.BDH("FIS US Equity","IS_SG&amp;A_EXPENSE","FY 2017","FY 2017","Currency=USD","Period=FY","BEST_FPERIOD_OVERRIDE=FY","FILING_STATUS=MR","SCALING_FORMAT=MLN","FA_ADJUSTED=Adjusted","Sort=A","Dates=H","DateFormat=P","Fill=—","Direction=H","UseDPDF=Y")</f>
        <v>1442</v>
      </c>
      <c r="H13" s="13">
        <f>_xll.BDH("FIS US Equity","IS_SG&amp;A_EXPENSE","FY 2018","FY 2018","Currency=USD","Period=FY","BEST_FPERIOD_OVERRIDE=FY","FILING_STATUS=MR","SCALING_FORMAT=MLN","FA_ADJUSTED=Adjusted","Sort=A","Dates=H","DateFormat=P","Fill=—","Direction=H","UseDPDF=Y")</f>
        <v>1301</v>
      </c>
      <c r="I13" s="13">
        <f>_xll.BDH("FIS US Equity","IS_SG&amp;A_EXPENSE","FY 2019","FY 2019","Currency=USD","Period=FY","BEST_FPERIOD_OVERRIDE=FY","FILING_STATUS=MR","SCALING_FORMAT=MLN","FA_ADJUSTED=Adjusted","Sort=A","Dates=H","DateFormat=P","Fill=—","Direction=H","UseDPDF=Y")</f>
        <v>2667</v>
      </c>
      <c r="J13" s="16">
        <v>3845</v>
      </c>
      <c r="K13" s="13"/>
      <c r="L13" s="13"/>
    </row>
    <row r="14" spans="1:12" x14ac:dyDescent="0.45">
      <c r="A14" s="10" t="s">
        <v>41</v>
      </c>
      <c r="B14" s="10" t="s">
        <v>42</v>
      </c>
      <c r="C14" s="13">
        <f>_xll.BDH("FIS US Equity","IS_OPEX_R&amp;D","FY 2013","FY 2013","Currency=USD","Period=FY","BEST_FPERIOD_OVERRIDE=FY","FILING_STATUS=MR","SCALING_FORMAT=MLN","Sort=A","Dates=H","DateFormat=P","Fill=—","Direction=H","UseDPDF=Y")</f>
        <v>0</v>
      </c>
      <c r="D14" s="13">
        <f>_xll.BDH("FIS US Equity","IS_OPEX_R&amp;D","FY 2014","FY 2014","Currency=USD","Period=FY","BEST_FPERIOD_OVERRIDE=FY","FILING_STATUS=MR","SCALING_FORMAT=MLN","Sort=A","Dates=H","DateFormat=P","Fill=—","Direction=H","UseDPDF=Y")</f>
        <v>0</v>
      </c>
      <c r="E14" s="13">
        <f>_xll.BDH("FIS US Equity","IS_OPEX_R&amp;D","FY 2015","FY 2015","Currency=USD","Period=FY","BEST_FPERIOD_OVERRIDE=FY","FILING_STATUS=MR","SCALING_FORMAT=MLN","Sort=A","Dates=H","DateFormat=P","Fill=—","Direction=H","UseDPDF=Y")</f>
        <v>0</v>
      </c>
      <c r="F14" s="13">
        <f>_xll.BDH("FIS US Equity","IS_OPEX_R&amp;D","FY 2016","FY 2016","Currency=USD","Period=FY","BEST_FPERIOD_OVERRIDE=FY","FILING_STATUS=MR","SCALING_FORMAT=MLN","Sort=A","Dates=H","DateFormat=P","Fill=—","Direction=H","UseDPDF=Y")</f>
        <v>0</v>
      </c>
      <c r="G14" s="13">
        <f>_xll.BDH("FIS US Equity","IS_OPEX_R&amp;D","FY 2017","FY 2017","Currency=USD","Period=FY","BEST_FPERIOD_OVERRIDE=FY","FILING_STATUS=MR","SCALING_FORMAT=MLN","Sort=A","Dates=H","DateFormat=P","Fill=—","Direction=H","UseDPDF=Y")</f>
        <v>0</v>
      </c>
      <c r="H14" s="13">
        <f>_xll.BDH("FIS US Equity","IS_OPEX_R&amp;D","FY 2018","FY 2018","Currency=USD","Period=FY","BEST_FPERIOD_OVERRIDE=FY","FILING_STATUS=MR","SCALING_FORMAT=MLN","Sort=A","Dates=H","DateFormat=P","Fill=—","Direction=H","UseDPDF=Y")</f>
        <v>0</v>
      </c>
      <c r="I14" s="13" t="str">
        <f>_xll.BDH("FIS US Equity","IS_OPEX_R&amp;D","FY 2019","FY 2019","Currency=USD","Period=FY","BEST_FPERIOD_OVERRIDE=FY","FILING_STATUS=MR","SCALING_FORMAT=MLN","Sort=A","Dates=H","DateFormat=P","Fill=—","Direction=H","UseDPDF=Y")</f>
        <v>—</v>
      </c>
      <c r="J14" s="16"/>
      <c r="K14" s="13"/>
      <c r="L14" s="13"/>
    </row>
    <row r="15" spans="1:12" x14ac:dyDescent="0.45">
      <c r="A15" s="10" t="s">
        <v>43</v>
      </c>
      <c r="B15" s="10" t="s">
        <v>44</v>
      </c>
      <c r="C15" s="13">
        <f>_xll.BDH("FIS US Equity","IS_OTHER_OPERATING_EXPENSES","FY 2013","FY 2013","Currency=USD","Period=FY","BEST_FPERIOD_OVERRIDE=FY","FILING_STATUS=MR","SCALING_FORMAT=MLN","FA_ADJUSTED=Adjusted","Sort=A","Dates=H","DateFormat=P","Fill=—","Direction=H","UseDPDF=Y")</f>
        <v>9.1999999999999993</v>
      </c>
      <c r="D15" s="13">
        <f>_xll.BDH("FIS US Equity","IS_OTHER_OPERATING_EXPENSES","FY 2014","FY 2014","Currency=USD","Period=FY","BEST_FPERIOD_OVERRIDE=FY","FILING_STATUS=MR","SCALING_FORMAT=MLN","FA_ADJUSTED=Adjusted","Sort=A","Dates=H","DateFormat=P","Fill=—","Direction=H","UseDPDF=Y")</f>
        <v>0</v>
      </c>
      <c r="E15" s="13">
        <f>_xll.BDH("FIS US Equity","IS_OTHER_OPERATING_EXPENSES","FY 2015","FY 2015","Currency=USD","Period=FY","BEST_FPERIOD_OVERRIDE=FY","FILING_STATUS=MR","SCALING_FORMAT=MLN","FA_ADJUSTED=Adjusted","Sort=A","Dates=H","DateFormat=P","Fill=—","Direction=H","UseDPDF=Y")</f>
        <v>-219</v>
      </c>
      <c r="F15" s="13">
        <f>_xll.BDH("FIS US Equity","IS_OTHER_OPERATING_EXPENSES","FY 2016","FY 2016","Currency=USD","Period=FY","BEST_FPERIOD_OVERRIDE=FY","FILING_STATUS=MR","SCALING_FORMAT=MLN","FA_ADJUSTED=Adjusted","Sort=A","Dates=H","DateFormat=P","Fill=—","Direction=H","UseDPDF=Y")</f>
        <v>-123</v>
      </c>
      <c r="G15" s="13">
        <f>_xll.BDH("FIS US Equity","IS_OTHER_OPERATING_EXPENSES","FY 2017","FY 2017","Currency=USD","Period=FY","BEST_FPERIOD_OVERRIDE=FY","FILING_STATUS=MR","SCALING_FORMAT=MLN","FA_ADJUSTED=Adjusted","Sort=A","Dates=H","DateFormat=P","Fill=—","Direction=H","UseDPDF=Y")</f>
        <v>-123</v>
      </c>
      <c r="H15" s="13">
        <f>_xll.BDH("FIS US Equity","IS_OTHER_OPERATING_EXPENSES","FY 2018","FY 2018","Currency=USD","Period=FY","BEST_FPERIOD_OVERRIDE=FY","FILING_STATUS=MR","SCALING_FORMAT=MLN","FA_ADJUSTED=Adjusted","Sort=A","Dates=H","DateFormat=P","Fill=—","Direction=H","UseDPDF=Y")</f>
        <v>-216</v>
      </c>
      <c r="I15" s="13">
        <f>_xll.BDH("FIS US Equity","IS_OTHER_OPERATING_EXPENSES","FY 2019","FY 2019","Currency=USD","Period=FY","BEST_FPERIOD_OVERRIDE=FY","FILING_STATUS=MR","SCALING_FORMAT=MLN","FA_ADJUSTED=Adjusted","Sort=A","Dates=H","DateFormat=P","Fill=—","Direction=H","UseDPDF=Y")</f>
        <v>-774</v>
      </c>
      <c r="J15" s="16">
        <v>-1070</v>
      </c>
      <c r="K15" s="13"/>
      <c r="L15" s="13"/>
    </row>
    <row r="16" spans="1:12" x14ac:dyDescent="0.45">
      <c r="A16" s="6" t="s">
        <v>45</v>
      </c>
      <c r="B16" s="6" t="s">
        <v>46</v>
      </c>
      <c r="C16" s="19">
        <f>_xll.BDH("FIS US Equity","IS_OPER_INC","FY 2013","FY 2013","Currency=USD","Period=FY","BEST_FPERIOD_OVERRIDE=FY","FILING_STATUS=MR","SCALING_FORMAT=MLN","FA_ADJUSTED=Adjusted","Sort=A","Dates=H","DateFormat=P","Fill=—","Direction=H","UseDPDF=Y")</f>
        <v>1210</v>
      </c>
      <c r="D16" s="19">
        <f>_xll.BDH("FIS US Equity","IS_OPER_INC","FY 2014","FY 2014","Currency=USD","Period=FY","BEST_FPERIOD_OVERRIDE=FY","FILING_STATUS=MR","SCALING_FORMAT=MLN","FA_ADJUSTED=Adjusted","Sort=A","Dates=H","DateFormat=P","Fill=—","Direction=H","UseDPDF=Y")</f>
        <v>1301.5</v>
      </c>
      <c r="E16" s="19">
        <f>_xll.BDH("FIS US Equity","IS_OPER_INC","FY 2015","FY 2015","Currency=USD","Period=FY","BEST_FPERIOD_OVERRIDE=FY","FILING_STATUS=MR","SCALING_FORMAT=MLN","FA_ADJUSTED=Adjusted","Sort=A","Dates=H","DateFormat=P","Fill=—","Direction=H","UseDPDF=Y")</f>
        <v>1318</v>
      </c>
      <c r="F16" s="19">
        <f>_xll.BDH("FIS US Equity","IS_OPER_INC","FY 2016","FY 2016","Currency=USD","Period=FY","BEST_FPERIOD_OVERRIDE=FY","FILING_STATUS=MR","SCALING_FORMAT=MLN","FA_ADJUSTED=Adjusted","Sort=A","Dates=H","DateFormat=P","Fill=—","Direction=H","UseDPDF=Y")</f>
        <v>1352</v>
      </c>
      <c r="G16" s="19">
        <f>_xll.BDH("FIS US Equity","IS_OPER_INC","FY 2017","FY 2017","Currency=USD","Period=FY","BEST_FPERIOD_OVERRIDE=FY","FILING_STATUS=MR","SCALING_FORMAT=MLN","FA_ADJUSTED=Adjusted","Sort=A","Dates=H","DateFormat=P","Fill=—","Direction=H","UseDPDF=Y")</f>
        <v>1555</v>
      </c>
      <c r="H16" s="19">
        <f>_xll.BDH("FIS US Equity","IS_OPER_INC","FY 2018","FY 2018","Currency=USD","Period=FY","BEST_FPERIOD_OVERRIDE=FY","FILING_STATUS=MR","SCALING_FORMAT=MLN","FA_ADJUSTED=Adjusted","Sort=A","Dates=H","DateFormat=P","Fill=—","Direction=H","UseDPDF=Y")</f>
        <v>1769</v>
      </c>
      <c r="I16" s="19">
        <f>_xll.BDH("FIS US Equity","IS_OPER_INC","FY 2019","FY 2019","Currency=USD","Period=FY","BEST_FPERIOD_OVERRIDE=FY","FILING_STATUS=MR","SCALING_FORMAT=MLN","FA_ADJUSTED=Adjusted","Sort=A","Dates=H","DateFormat=P","Fill=—","Direction=H","UseDPDF=Y")</f>
        <v>1830</v>
      </c>
      <c r="J16" s="22">
        <v>1578</v>
      </c>
      <c r="K16" s="19">
        <v>3197.5880000000002</v>
      </c>
      <c r="L16" s="19">
        <v>3900.95</v>
      </c>
    </row>
    <row r="17" spans="1:12" x14ac:dyDescent="0.45">
      <c r="A17" s="10" t="s">
        <v>47</v>
      </c>
      <c r="B17" s="10" t="s">
        <v>48</v>
      </c>
      <c r="C17" s="13">
        <f>_xll.BDH("FIS US Equity","IS_NONOP_INCOME_LOSS","FY 2013","FY 2013","Currency=USD","Period=FY","BEST_FPERIOD_OVERRIDE=FY","FILING_STATUS=MR","SCALING_FORMAT=MLN","FA_ADJUSTED=Adjusted","Sort=A","Dates=H","DateFormat=P","Fill=—","Direction=H","UseDPDF=Y")</f>
        <v>178.5</v>
      </c>
      <c r="D17" s="13">
        <f>_xll.BDH("FIS US Equity","IS_NONOP_INCOME_LOSS","FY 2014","FY 2014","Currency=USD","Period=FY","BEST_FPERIOD_OVERRIDE=FY","FILING_STATUS=MR","SCALING_FORMAT=MLN","FA_ADJUSTED=Adjusted","Sort=A","Dates=H","DateFormat=P","Fill=—","Direction=H","UseDPDF=Y")</f>
        <v>163.1</v>
      </c>
      <c r="E17" s="13">
        <f>_xll.BDH("FIS US Equity","IS_NONOP_INCOME_LOSS","FY 2015","FY 2015","Currency=USD","Period=FY","BEST_FPERIOD_OVERRIDE=FY","FILING_STATUS=MR","SCALING_FORMAT=MLN","FA_ADJUSTED=Adjusted","Sort=A","Dates=H","DateFormat=P","Fill=—","Direction=H","UseDPDF=Y")</f>
        <v>136</v>
      </c>
      <c r="F17" s="13">
        <f>_xll.BDH("FIS US Equity","IS_NONOP_INCOME_LOSS","FY 2016","FY 2016","Currency=USD","Period=FY","BEST_FPERIOD_OVERRIDE=FY","FILING_STATUS=MR","SCALING_FORMAT=MLN","FA_ADJUSTED=Adjusted","Sort=A","Dates=H","DateFormat=P","Fill=—","Direction=H","UseDPDF=Y")</f>
        <v>193</v>
      </c>
      <c r="G17" s="13">
        <f>_xll.BDH("FIS US Equity","IS_NONOP_INCOME_LOSS","FY 2017","FY 2017","Currency=USD","Period=FY","BEST_FPERIOD_OVERRIDE=FY","FILING_STATUS=MR","SCALING_FORMAT=MLN","FA_ADJUSTED=Adjusted","Sort=A","Dates=H","DateFormat=P","Fill=—","Direction=H","UseDPDF=Y")</f>
        <v>257</v>
      </c>
      <c r="H17" s="13">
        <f>_xll.BDH("FIS US Equity","IS_NONOP_INCOME_LOSS","FY 2018","FY 2018","Currency=USD","Period=FY","BEST_FPERIOD_OVERRIDE=FY","FILING_STATUS=MR","SCALING_FORMAT=MLN","FA_ADJUSTED=Adjusted","Sort=A","Dates=H","DateFormat=P","Fill=—","Direction=H","UseDPDF=Y")</f>
        <v>353</v>
      </c>
      <c r="I17" s="13">
        <f>_xll.BDH("FIS US Equity","IS_NONOP_INCOME_LOSS","FY 2019","FY 2019","Currency=USD","Period=FY","BEST_FPERIOD_OVERRIDE=FY","FILING_STATUS=MR","SCALING_FORMAT=MLN","FA_ADJUSTED=Adjusted","Sort=A","Dates=H","DateFormat=P","Fill=—","Direction=H","UseDPDF=Y")</f>
        <v>458</v>
      </c>
      <c r="J17" s="16">
        <v>310</v>
      </c>
      <c r="K17" s="13"/>
      <c r="L17" s="13"/>
    </row>
    <row r="18" spans="1:12" x14ac:dyDescent="0.45">
      <c r="A18" s="10" t="s">
        <v>49</v>
      </c>
      <c r="B18" s="10" t="s">
        <v>50</v>
      </c>
      <c r="C18" s="13">
        <f>_xll.BDH("FIS US Equity","IS_NET_INTEREST_EXPENSE","FY 2013","FY 2013","Currency=USD","Period=FY","BEST_FPERIOD_OVERRIDE=FY","FILING_STATUS=MR","SCALING_FORMAT=MLN","FA_ADJUSTED=Adjusted","Sort=A","Dates=H","DateFormat=P","Fill=—","Direction=H","UseDPDF=Y")</f>
        <v>188.2</v>
      </c>
      <c r="D18" s="13">
        <f>_xll.BDH("FIS US Equity","IS_NET_INTEREST_EXPENSE","FY 2014","FY 2014","Currency=USD","Period=FY","BEST_FPERIOD_OVERRIDE=FY","FILING_STATUS=MR","SCALING_FORMAT=MLN","FA_ADJUSTED=Adjusted","Sort=A","Dates=H","DateFormat=P","Fill=—","Direction=H","UseDPDF=Y")</f>
        <v>158</v>
      </c>
      <c r="E18" s="13">
        <f>_xll.BDH("FIS US Equity","IS_NET_INTEREST_EXPENSE","FY 2015","FY 2015","Currency=USD","Period=FY","BEST_FPERIOD_OVERRIDE=FY","FILING_STATUS=MR","SCALING_FORMAT=MLN","FA_ADJUSTED=Adjusted","Sort=A","Dates=H","DateFormat=P","Fill=—","Direction=H","UseDPDF=Y")</f>
        <v>183</v>
      </c>
      <c r="F18" s="13">
        <f>_xll.BDH("FIS US Equity","IS_NET_INTEREST_EXPENSE","FY 2016","FY 2016","Currency=USD","Period=FY","BEST_FPERIOD_OVERRIDE=FY","FILING_STATUS=MR","SCALING_FORMAT=MLN","FA_ADJUSTED=Adjusted","Sort=A","Dates=H","DateFormat=P","Fill=—","Direction=H","UseDPDF=Y")</f>
        <v>383</v>
      </c>
      <c r="G18" s="13">
        <f>_xll.BDH("FIS US Equity","IS_NET_INTEREST_EXPENSE","FY 2017","FY 2017","Currency=USD","Period=FY","BEST_FPERIOD_OVERRIDE=FY","FILING_STATUS=MR","SCALING_FORMAT=MLN","FA_ADJUSTED=Adjusted","Sort=A","Dates=H","DateFormat=P","Fill=—","Direction=H","UseDPDF=Y")</f>
        <v>337</v>
      </c>
      <c r="H18" s="13">
        <f>_xll.BDH("FIS US Equity","IS_NET_INTEREST_EXPENSE","FY 2018","FY 2018","Currency=USD","Period=FY","BEST_FPERIOD_OVERRIDE=FY","FILING_STATUS=MR","SCALING_FORMAT=MLN","FA_ADJUSTED=Adjusted","Sort=A","Dates=H","DateFormat=P","Fill=—","Direction=H","UseDPDF=Y")</f>
        <v>297</v>
      </c>
      <c r="I18" s="13">
        <f>_xll.BDH("FIS US Equity","IS_NET_INTEREST_EXPENSE","FY 2019","FY 2019","Currency=USD","Period=FY","BEST_FPERIOD_OVERRIDE=FY","FILING_STATUS=MR","SCALING_FORMAT=MLN","FA_ADJUSTED=Adjusted","Sort=A","Dates=H","DateFormat=P","Fill=—","Direction=H","UseDPDF=Y")</f>
        <v>337</v>
      </c>
      <c r="J18" s="16">
        <v>347</v>
      </c>
      <c r="K18" s="13"/>
      <c r="L18" s="13"/>
    </row>
    <row r="19" spans="1:12" x14ac:dyDescent="0.45">
      <c r="A19" s="11" t="s">
        <v>51</v>
      </c>
      <c r="B19" s="11" t="s">
        <v>52</v>
      </c>
      <c r="C19" s="24">
        <f>_xll.BDH("FIS US Equity","IS_INT_EXPENSE","FY 2013","FY 2013","Currency=USD","Period=FY","BEST_FPERIOD_OVERRIDE=FY","FILING_STATUS=MR","SCALING_FORMAT=MLN","FA_ADJUSTED=Adjusted","Sort=A","Dates=H","DateFormat=P","Fill=—","Direction=H","UseDPDF=Y")</f>
        <v>198.6</v>
      </c>
      <c r="D19" s="24">
        <f>_xll.BDH("FIS US Equity","IS_INT_EXPENSE","FY 2014","FY 2014","Currency=USD","Period=FY","BEST_FPERIOD_OVERRIDE=FY","FILING_STATUS=MR","SCALING_FORMAT=MLN","FA_ADJUSTED=Adjusted","Sort=A","Dates=H","DateFormat=P","Fill=—","Direction=H","UseDPDF=Y")</f>
        <v>173</v>
      </c>
      <c r="E19" s="24">
        <f>_xll.BDH("FIS US Equity","IS_INT_EXPENSE","FY 2015","FY 2015","Currency=USD","Period=FY","BEST_FPERIOD_OVERRIDE=FY","FILING_STATUS=MR","SCALING_FORMAT=MLN","FA_ADJUSTED=Adjusted","Sort=A","Dates=H","DateFormat=P","Fill=—","Direction=H","UseDPDF=Y")</f>
        <v>199</v>
      </c>
      <c r="F19" s="24">
        <f>_xll.BDH("FIS US Equity","IS_INT_EXPENSE","FY 2016","FY 2016","Currency=USD","Period=FY","BEST_FPERIOD_OVERRIDE=FY","FILING_STATUS=MR","SCALING_FORMAT=MLN","FA_ADJUSTED=Adjusted","Sort=A","Dates=H","DateFormat=P","Fill=—","Direction=H","UseDPDF=Y")</f>
        <v>403</v>
      </c>
      <c r="G19" s="24">
        <f>_xll.BDH("FIS US Equity","IS_INT_EXPENSE","FY 2017","FY 2017","Currency=USD","Period=FY","BEST_FPERIOD_OVERRIDE=FY","FILING_STATUS=MR","SCALING_FORMAT=MLN","FA_ADJUSTED=Adjusted","Sort=A","Dates=H","DateFormat=P","Fill=—","Direction=H","UseDPDF=Y")</f>
        <v>359</v>
      </c>
      <c r="H19" s="24">
        <f>_xll.BDH("FIS US Equity","IS_INT_EXPENSE","FY 2018","FY 2018","Currency=USD","Period=FY","BEST_FPERIOD_OVERRIDE=FY","FILING_STATUS=MR","SCALING_FORMAT=MLN","FA_ADJUSTED=Adjusted","Sort=A","Dates=H","DateFormat=P","Fill=—","Direction=H","UseDPDF=Y")</f>
        <v>314</v>
      </c>
      <c r="I19" s="24">
        <f>_xll.BDH("FIS US Equity","IS_INT_EXPENSE","FY 2019","FY 2019","Currency=USD","Period=FY","BEST_FPERIOD_OVERRIDE=FY","FILING_STATUS=MR","SCALING_FORMAT=MLN","FA_ADJUSTED=Adjusted","Sort=A","Dates=H","DateFormat=P","Fill=—","Direction=H","UseDPDF=Y")</f>
        <v>389</v>
      </c>
      <c r="J19" s="25">
        <v>347</v>
      </c>
      <c r="K19" s="24"/>
      <c r="L19" s="24"/>
    </row>
    <row r="20" spans="1:12" x14ac:dyDescent="0.45">
      <c r="A20" s="11" t="s">
        <v>53</v>
      </c>
      <c r="B20" s="11" t="s">
        <v>54</v>
      </c>
      <c r="C20" s="24">
        <f>_xll.BDH("FIS US Equity","IS_INT_INC","FY 2013","FY 2013","Currency=USD","Period=FY","BEST_FPERIOD_OVERRIDE=FY","FILING_STATUS=MR","SCALING_FORMAT=MLN","FA_ADJUSTED=Adjusted","Sort=A","Dates=H","DateFormat=P","Fill=—","Direction=H","UseDPDF=Y")</f>
        <v>10.4</v>
      </c>
      <c r="D20" s="24">
        <f>_xll.BDH("FIS US Equity","IS_INT_INC","FY 2014","FY 2014","Currency=USD","Period=FY","BEST_FPERIOD_OVERRIDE=FY","FILING_STATUS=MR","SCALING_FORMAT=MLN","FA_ADJUSTED=Adjusted","Sort=A","Dates=H","DateFormat=P","Fill=—","Direction=H","UseDPDF=Y")</f>
        <v>15</v>
      </c>
      <c r="E20" s="24">
        <f>_xll.BDH("FIS US Equity","IS_INT_INC","FY 2015","FY 2015","Currency=USD","Period=FY","BEST_FPERIOD_OVERRIDE=FY","FILING_STATUS=MR","SCALING_FORMAT=MLN","FA_ADJUSTED=Adjusted","Sort=A","Dates=H","DateFormat=P","Fill=—","Direction=H","UseDPDF=Y")</f>
        <v>16</v>
      </c>
      <c r="F20" s="24">
        <f>_xll.BDH("FIS US Equity","IS_INT_INC","FY 2016","FY 2016","Currency=USD","Period=FY","BEST_FPERIOD_OVERRIDE=FY","FILING_STATUS=MR","SCALING_FORMAT=MLN","FA_ADJUSTED=Adjusted","Sort=A","Dates=H","DateFormat=P","Fill=—","Direction=H","UseDPDF=Y")</f>
        <v>20</v>
      </c>
      <c r="G20" s="24">
        <f>_xll.BDH("FIS US Equity","IS_INT_INC","FY 2017","FY 2017","Currency=USD","Period=FY","BEST_FPERIOD_OVERRIDE=FY","FILING_STATUS=MR","SCALING_FORMAT=MLN","FA_ADJUSTED=Adjusted","Sort=A","Dates=H","DateFormat=P","Fill=—","Direction=H","UseDPDF=Y")</f>
        <v>22</v>
      </c>
      <c r="H20" s="24">
        <f>_xll.BDH("FIS US Equity","IS_INT_INC","FY 2018","FY 2018","Currency=USD","Period=FY","BEST_FPERIOD_OVERRIDE=FY","FILING_STATUS=MR","SCALING_FORMAT=MLN","FA_ADJUSTED=Adjusted","Sort=A","Dates=H","DateFormat=P","Fill=—","Direction=H","UseDPDF=Y")</f>
        <v>17</v>
      </c>
      <c r="I20" s="24">
        <f>_xll.BDH("FIS US Equity","IS_INT_INC","FY 2019","FY 2019","Currency=USD","Period=FY","BEST_FPERIOD_OVERRIDE=FY","FILING_STATUS=MR","SCALING_FORMAT=MLN","FA_ADJUSTED=Adjusted","Sort=A","Dates=H","DateFormat=P","Fill=—","Direction=H","UseDPDF=Y")</f>
        <v>52</v>
      </c>
      <c r="J20" s="25">
        <v>0</v>
      </c>
      <c r="K20" s="24"/>
      <c r="L20" s="24"/>
    </row>
    <row r="21" spans="1:12" x14ac:dyDescent="0.45">
      <c r="A21" s="10" t="s">
        <v>55</v>
      </c>
      <c r="B21" s="10" t="s">
        <v>56</v>
      </c>
      <c r="C21" s="13">
        <f>_xll.BDH("FIS US Equity","IS_FOREIGN_EXCH_LOSS","FY 2013","FY 2013","Currency=USD","Period=FY","BEST_FPERIOD_OVERRIDE=FY","FILING_STATUS=MR","SCALING_FORMAT=MLN","FA_ADJUSTED=Adjusted","Sort=A","Dates=H","DateFormat=P","Fill=—","Direction=H","UseDPDF=Y")</f>
        <v>0</v>
      </c>
      <c r="D21" s="13">
        <f>_xll.BDH("FIS US Equity","IS_FOREIGN_EXCH_LOSS","FY 2014","FY 2014","Currency=USD","Period=FY","BEST_FPERIOD_OVERRIDE=FY","FILING_STATUS=MR","SCALING_FORMAT=MLN","FA_ADJUSTED=Adjusted","Sort=A","Dates=H","DateFormat=P","Fill=—","Direction=H","UseDPDF=Y")</f>
        <v>0</v>
      </c>
      <c r="E21" s="13">
        <f>_xll.BDH("FIS US Equity","IS_FOREIGN_EXCH_LOSS","FY 2015","FY 2015","Currency=USD","Period=FY","BEST_FPERIOD_OVERRIDE=FY","FILING_STATUS=MR","SCALING_FORMAT=MLN","FA_ADJUSTED=Adjusted","Sort=A","Dates=H","DateFormat=P","Fill=—","Direction=H","UseDPDF=Y")</f>
        <v>0</v>
      </c>
      <c r="F21" s="13">
        <f>_xll.BDH("FIS US Equity","IS_FOREIGN_EXCH_LOSS","FY 2016","FY 2016","Currency=USD","Period=FY","BEST_FPERIOD_OVERRIDE=FY","FILING_STATUS=MR","SCALING_FORMAT=MLN","FA_ADJUSTED=Adjusted","Sort=A","Dates=H","DateFormat=P","Fill=—","Direction=H","UseDPDF=Y")</f>
        <v>0</v>
      </c>
      <c r="G21" s="13">
        <f>_xll.BDH("FIS US Equity","IS_FOREIGN_EXCH_LOSS","FY 2017","FY 2017","Currency=USD","Period=FY","BEST_FPERIOD_OVERRIDE=FY","FILING_STATUS=MR","SCALING_FORMAT=MLN","FA_ADJUSTED=Adjusted","Sort=A","Dates=H","DateFormat=P","Fill=—","Direction=H","UseDPDF=Y")</f>
        <v>0</v>
      </c>
      <c r="H21" s="13">
        <f>_xll.BDH("FIS US Equity","IS_FOREIGN_EXCH_LOSS","FY 2018","FY 2018","Currency=USD","Period=FY","BEST_FPERIOD_OVERRIDE=FY","FILING_STATUS=MR","SCALING_FORMAT=MLN","FA_ADJUSTED=Adjusted","Sort=A","Dates=H","DateFormat=P","Fill=—","Direction=H","UseDPDF=Y")</f>
        <v>0</v>
      </c>
      <c r="I21" s="13">
        <f>_xll.BDH("FIS US Equity","IS_FOREIGN_EXCH_LOSS","FY 2019","FY 2019","Currency=USD","Period=FY","BEST_FPERIOD_OVERRIDE=FY","FILING_STATUS=MR","SCALING_FORMAT=MLN","FA_ADJUSTED=Adjusted","Sort=A","Dates=H","DateFormat=P","Fill=—","Direction=H","UseDPDF=Y")</f>
        <v>0</v>
      </c>
      <c r="J21" s="16"/>
      <c r="K21" s="13"/>
      <c r="L21" s="13"/>
    </row>
    <row r="22" spans="1:12" x14ac:dyDescent="0.45">
      <c r="A22" s="10" t="s">
        <v>57</v>
      </c>
      <c r="B22" s="10" t="s">
        <v>58</v>
      </c>
      <c r="C22" s="13">
        <f>_xll.BDH("FIS US Equity","INCOME_LOSS_FROM_AFFILIATES","FY 2013","FY 2013","Currency=USD","Period=FY","BEST_FPERIOD_OVERRIDE=FY","FILING_STATUS=MR","SCALING_FORMAT=MLN","FA_ADJUSTED=Adjusted","Sort=A","Dates=H","DateFormat=P","Fill=—","Direction=H","UseDPDF=Y")</f>
        <v>0</v>
      </c>
      <c r="D22" s="13" t="str">
        <f>_xll.BDH("FIS US Equity","INCOME_LOSS_FROM_AFFILIATES","FY 2014","FY 2014","Currency=USD","Period=FY","BEST_FPERIOD_OVERRIDE=FY","FILING_STATUS=MR","SCALING_FORMAT=MLN","FA_ADJUSTED=Adjusted","Sort=A","Dates=H","DateFormat=P","Fill=—","Direction=H","UseDPDF=Y")</f>
        <v>—</v>
      </c>
      <c r="E22" s="13" t="str">
        <f>_xll.BDH("FIS US Equity","INCOME_LOSS_FROM_AFFILIATES","FY 2015","FY 2015","Currency=USD","Period=FY","BEST_FPERIOD_OVERRIDE=FY","FILING_STATUS=MR","SCALING_FORMAT=MLN","FA_ADJUSTED=Adjusted","Sort=A","Dates=H","DateFormat=P","Fill=—","Direction=H","UseDPDF=Y")</f>
        <v>—</v>
      </c>
      <c r="F22" s="13" t="str">
        <f>_xll.BDH("FIS US Equity","INCOME_LOSS_FROM_AFFILIATES","FY 2016","FY 2016","Currency=USD","Period=FY","BEST_FPERIOD_OVERRIDE=FY","FILING_STATUS=MR","SCALING_FORMAT=MLN","FA_ADJUSTED=Adjusted","Sort=A","Dates=H","DateFormat=P","Fill=—","Direction=H","UseDPDF=Y")</f>
        <v>—</v>
      </c>
      <c r="G22" s="13" t="str">
        <f>_xll.BDH("FIS US Equity","INCOME_LOSS_FROM_AFFILIATES","FY 2017","FY 2017","Currency=USD","Period=FY","BEST_FPERIOD_OVERRIDE=FY","FILING_STATUS=MR","SCALING_FORMAT=MLN","FA_ADJUSTED=Adjusted","Sort=A","Dates=H","DateFormat=P","Fill=—","Direction=H","UseDPDF=Y")</f>
        <v>—</v>
      </c>
      <c r="H22" s="13" t="str">
        <f>_xll.BDH("FIS US Equity","INCOME_LOSS_FROM_AFFILIATES","FY 2018","FY 2018","Currency=USD","Period=FY","BEST_FPERIOD_OVERRIDE=FY","FILING_STATUS=MR","SCALING_FORMAT=MLN","FA_ADJUSTED=Adjusted","Sort=A","Dates=H","DateFormat=P","Fill=—","Direction=H","UseDPDF=Y")</f>
        <v>—</v>
      </c>
      <c r="I22" s="13" t="str">
        <f>_xll.BDH("FIS US Equity","INCOME_LOSS_FROM_AFFILIATES","FY 2019","FY 2019","Currency=USD","Period=FY","BEST_FPERIOD_OVERRIDE=FY","FILING_STATUS=MR","SCALING_FORMAT=MLN","FA_ADJUSTED=Adjusted","Sort=A","Dates=H","DateFormat=P","Fill=—","Direction=H","UseDPDF=Y")</f>
        <v>—</v>
      </c>
      <c r="J22" s="16"/>
      <c r="K22" s="13"/>
      <c r="L22" s="13"/>
    </row>
    <row r="23" spans="1:12" x14ac:dyDescent="0.45">
      <c r="A23" s="10" t="s">
        <v>59</v>
      </c>
      <c r="B23" s="10" t="s">
        <v>60</v>
      </c>
      <c r="C23" s="13">
        <f>_xll.BDH("FIS US Equity","IS_OTHER_NON_OPERATING_INC_LOSS","FY 2013","FY 2013","Currency=USD","Period=FY","BEST_FPERIOD_OVERRIDE=FY","FILING_STATUS=MR","SCALING_FORMAT=MLN","FA_ADJUSTED=Adjusted","Sort=A","Dates=H","DateFormat=P","Fill=—","Direction=H","UseDPDF=Y")</f>
        <v>-9.6999999999999993</v>
      </c>
      <c r="D23" s="13">
        <f>_xll.BDH("FIS US Equity","IS_OTHER_NON_OPERATING_INC_LOSS","FY 2014","FY 2014","Currency=USD","Period=FY","BEST_FPERIOD_OVERRIDE=FY","FILING_STATUS=MR","SCALING_FORMAT=MLN","FA_ADJUSTED=Adjusted","Sort=A","Dates=H","DateFormat=P","Fill=—","Direction=H","UseDPDF=Y")</f>
        <v>5.0999999999999996</v>
      </c>
      <c r="E23" s="13">
        <f>_xll.BDH("FIS US Equity","IS_OTHER_NON_OPERATING_INC_LOSS","FY 2015","FY 2015","Currency=USD","Period=FY","BEST_FPERIOD_OVERRIDE=FY","FILING_STATUS=MR","SCALING_FORMAT=MLN","FA_ADJUSTED=Adjusted","Sort=A","Dates=H","DateFormat=P","Fill=—","Direction=H","UseDPDF=Y")</f>
        <v>-47</v>
      </c>
      <c r="F23" s="13">
        <f>_xll.BDH("FIS US Equity","IS_OTHER_NON_OPERATING_INC_LOSS","FY 2016","FY 2016","Currency=USD","Period=FY","BEST_FPERIOD_OVERRIDE=FY","FILING_STATUS=MR","SCALING_FORMAT=MLN","FA_ADJUSTED=Adjusted","Sort=A","Dates=H","DateFormat=P","Fill=—","Direction=H","UseDPDF=Y")</f>
        <v>-190</v>
      </c>
      <c r="G23" s="13">
        <f>_xll.BDH("FIS US Equity","IS_OTHER_NON_OPERATING_INC_LOSS","FY 2017","FY 2017","Currency=USD","Period=FY","BEST_FPERIOD_OVERRIDE=FY","FILING_STATUS=MR","SCALING_FORMAT=MLN","FA_ADJUSTED=Adjusted","Sort=A","Dates=H","DateFormat=P","Fill=—","Direction=H","UseDPDF=Y")</f>
        <v>-80</v>
      </c>
      <c r="H23" s="13">
        <f>_xll.BDH("FIS US Equity","IS_OTHER_NON_OPERATING_INC_LOSS","FY 2018","FY 2018","Currency=USD","Period=FY","BEST_FPERIOD_OVERRIDE=FY","FILING_STATUS=MR","SCALING_FORMAT=MLN","FA_ADJUSTED=Adjusted","Sort=A","Dates=H","DateFormat=P","Fill=—","Direction=H","UseDPDF=Y")</f>
        <v>56</v>
      </c>
      <c r="I23" s="13">
        <f>_xll.BDH("FIS US Equity","IS_OTHER_NON_OPERATING_INC_LOSS","FY 2019","FY 2019","Currency=USD","Period=FY","BEST_FPERIOD_OVERRIDE=FY","FILING_STATUS=MR","SCALING_FORMAT=MLN","FA_ADJUSTED=Adjusted","Sort=A","Dates=H","DateFormat=P","Fill=—","Direction=H","UseDPDF=Y")</f>
        <v>121</v>
      </c>
      <c r="J23" s="16">
        <v>-37</v>
      </c>
      <c r="K23" s="13"/>
      <c r="L23" s="13"/>
    </row>
    <row r="24" spans="1:12" x14ac:dyDescent="0.45">
      <c r="A24" s="6" t="s">
        <v>61</v>
      </c>
      <c r="B24" s="6" t="s">
        <v>62</v>
      </c>
      <c r="C24" s="19">
        <f>_xll.BDH("FIS US Equity","PRETAX_INC","FY 2013","FY 2013","Currency=USD","Period=FY","BEST_FPERIOD_OVERRIDE=FY","FILING_STATUS=MR","SCALING_FORMAT=MLN","FA_ADJUSTED=Adjusted","Sort=A","Dates=H","DateFormat=P","Fill=—","Direction=H","UseDPDF=Y")</f>
        <v>1031.5</v>
      </c>
      <c r="D24" s="19">
        <f>_xll.BDH("FIS US Equity","PRETAX_INC","FY 2014","FY 2014","Currency=USD","Period=FY","BEST_FPERIOD_OVERRIDE=FY","FILING_STATUS=MR","SCALING_FORMAT=MLN","FA_ADJUSTED=Adjusted","Sort=A","Dates=H","DateFormat=P","Fill=—","Direction=H","UseDPDF=Y")</f>
        <v>1138.4000000000001</v>
      </c>
      <c r="E24" s="19">
        <f>_xll.BDH("FIS US Equity","PRETAX_INC","FY 2015","FY 2015","Currency=USD","Period=FY","BEST_FPERIOD_OVERRIDE=FY","FILING_STATUS=MR","SCALING_FORMAT=MLN","FA_ADJUSTED=Adjusted","Sort=A","Dates=H","DateFormat=P","Fill=—","Direction=H","UseDPDF=Y")</f>
        <v>1182</v>
      </c>
      <c r="F24" s="19">
        <f>_xll.BDH("FIS US Equity","PRETAX_INC","FY 2016","FY 2016","Currency=USD","Period=FY","BEST_FPERIOD_OVERRIDE=FY","FILING_STATUS=MR","SCALING_FORMAT=MLN","FA_ADJUSTED=Adjusted","Sort=A","Dates=H","DateFormat=P","Fill=—","Direction=H","UseDPDF=Y")</f>
        <v>1159</v>
      </c>
      <c r="G24" s="19">
        <f>_xll.BDH("FIS US Equity","PRETAX_INC","FY 2017","FY 2017","Currency=USD","Period=FY","BEST_FPERIOD_OVERRIDE=FY","FILING_STATUS=MR","SCALING_FORMAT=MLN","FA_ADJUSTED=Adjusted","Sort=A","Dates=H","DateFormat=P","Fill=—","Direction=H","UseDPDF=Y")</f>
        <v>1298</v>
      </c>
      <c r="H24" s="19">
        <f>_xll.BDH("FIS US Equity","PRETAX_INC","FY 2018","FY 2018","Currency=USD","Period=FY","BEST_FPERIOD_OVERRIDE=FY","FILING_STATUS=MR","SCALING_FORMAT=MLN","FA_ADJUSTED=Adjusted","Sort=A","Dates=H","DateFormat=P","Fill=—","Direction=H","UseDPDF=Y")</f>
        <v>1416</v>
      </c>
      <c r="I24" s="19">
        <f>_xll.BDH("FIS US Equity","PRETAX_INC","FY 2019","FY 2019","Currency=USD","Period=FY","BEST_FPERIOD_OVERRIDE=FY","FILING_STATUS=MR","SCALING_FORMAT=MLN","FA_ADJUSTED=Adjusted","Sort=A","Dates=H","DateFormat=P","Fill=—","Direction=H","UseDPDF=Y")</f>
        <v>1372</v>
      </c>
      <c r="J24" s="22">
        <v>1268</v>
      </c>
      <c r="K24" s="19">
        <v>3978.6669999999999</v>
      </c>
      <c r="L24" s="19">
        <v>4743</v>
      </c>
    </row>
    <row r="25" spans="1:12" x14ac:dyDescent="0.45">
      <c r="A25" s="10" t="s">
        <v>63</v>
      </c>
      <c r="B25" s="10" t="s">
        <v>64</v>
      </c>
      <c r="C25" s="13">
        <f>_xll.BDH("FIS US Equity","IS_ABNORMAL_ITEM","FY 2013","FY 2013","Currency=USD","Period=FY","BEST_FPERIOD_OVERRIDE=FY","FILING_STATUS=MR","SCALING_FORMAT=MLN","Sort=A","Dates=H","DateFormat=P","Fill=—","Direction=H","UseDPDF=Y")</f>
        <v>208</v>
      </c>
      <c r="D25" s="13">
        <f>_xll.BDH("FIS US Equity","IS_ABNORMAL_ITEM","FY 2014","FY 2014","Currency=USD","Period=FY","BEST_FPERIOD_OVERRIDE=FY","FILING_STATUS=MR","SCALING_FORMAT=MLN","Sort=A","Dates=H","DateFormat=P","Fill=—","Direction=H","UseDPDF=Y")</f>
        <v>85.4</v>
      </c>
      <c r="E25" s="13">
        <f>_xll.BDH("FIS US Equity","IS_ABNORMAL_ITEM","FY 2015","FY 2015","Currency=USD","Period=FY","BEST_FPERIOD_OVERRIDE=FY","FILING_STATUS=MR","SCALING_FORMAT=MLN","Sort=A","Dates=H","DateFormat=P","Fill=—","Direction=H","UseDPDF=Y")</f>
        <v>145</v>
      </c>
      <c r="F25" s="13">
        <f>_xll.BDH("FIS US Equity","IS_ABNORMAL_ITEM","FY 2016","FY 2016","Currency=USD","Period=FY","BEST_FPERIOD_OVERRIDE=FY","FILING_STATUS=MR","SCALING_FORMAT=MLN","Sort=A","Dates=H","DateFormat=P","Fill=—","Direction=H","UseDPDF=Y")</f>
        <v>322</v>
      </c>
      <c r="G25" s="13">
        <f>_xll.BDH("FIS US Equity","IS_ABNORMAL_ITEM","FY 2017","FY 2017","Currency=USD","Period=FY","BEST_FPERIOD_OVERRIDE=FY","FILING_STATUS=MR","SCALING_FORMAT=MLN","Sort=A","Dates=H","DateFormat=P","Fill=—","Direction=H","UseDPDF=Y")</f>
        <v>322</v>
      </c>
      <c r="H25" s="13">
        <f>_xll.BDH("FIS US Equity","IS_ABNORMAL_ITEM","FY 2018","FY 2018","Currency=USD","Period=FY","BEST_FPERIOD_OVERRIDE=FY","FILING_STATUS=MR","SCALING_FORMAT=MLN","Sort=A","Dates=H","DateFormat=P","Fill=—","Direction=H","UseDPDF=Y")</f>
        <v>312</v>
      </c>
      <c r="I25" s="13">
        <f>_xll.BDH("FIS US Equity","IS_ABNORMAL_ITEM","FY 2019","FY 2019","Currency=USD","Period=FY","BEST_FPERIOD_OVERRIDE=FY","FILING_STATUS=MR","SCALING_FORMAT=MLN","Sort=A","Dates=H","DateFormat=P","Fill=—","Direction=H","UseDPDF=Y")</f>
        <v>959</v>
      </c>
      <c r="J25" s="16">
        <v>1287</v>
      </c>
      <c r="K25" s="13"/>
      <c r="L25" s="13"/>
    </row>
    <row r="26" spans="1:12" x14ac:dyDescent="0.45">
      <c r="A26" s="10" t="s">
        <v>65</v>
      </c>
      <c r="B26" s="10" t="s">
        <v>66</v>
      </c>
      <c r="C26" s="13">
        <f>_xll.BDH("FIS US Equity","IS_MERGER_ACQUISITION_EXPENSE","FY 2013","FY 2013","Currency=USD","Period=FY","BEST_FPERIOD_OVERRIDE=FY","FILING_STATUS=MR","SCALING_FORMAT=MLN","Sort=A","Dates=H","DateFormat=P","Fill=—","Direction=H","UseDPDF=Y")</f>
        <v>147.19999999999999</v>
      </c>
      <c r="D26" s="13" t="str">
        <f>_xll.BDH("FIS US Equity","IS_MERGER_ACQUISITION_EXPENSE","FY 2014","FY 2014","Currency=USD","Period=FY","BEST_FPERIOD_OVERRIDE=FY","FILING_STATUS=MR","SCALING_FORMAT=MLN","Sort=A","Dates=H","DateFormat=P","Fill=—","Direction=H","UseDPDF=Y")</f>
        <v>—</v>
      </c>
      <c r="E26" s="13" t="str">
        <f>_xll.BDH("FIS US Equity","IS_MERGER_ACQUISITION_EXPENSE","FY 2015","FY 2015","Currency=USD","Period=FY","BEST_FPERIOD_OVERRIDE=FY","FILING_STATUS=MR","SCALING_FORMAT=MLN","Sort=A","Dates=H","DateFormat=P","Fill=—","Direction=H","UseDPDF=Y")</f>
        <v>—</v>
      </c>
      <c r="F26" s="13">
        <f>_xll.BDH("FIS US Equity","IS_MERGER_ACQUISITION_EXPENSE","FY 2016","FY 2016","Currency=USD","Period=FY","BEST_FPERIOD_OVERRIDE=FY","FILING_STATUS=MR","SCALING_FORMAT=MLN","Sort=A","Dates=H","DateFormat=P","Fill=—","Direction=H","UseDPDF=Y")</f>
        <v>7</v>
      </c>
      <c r="G26" s="13">
        <f>_xll.BDH("FIS US Equity","IS_MERGER_ACQUISITION_EXPENSE","FY 2017","FY 2017","Currency=USD","Period=FY","BEST_FPERIOD_OVERRIDE=FY","FILING_STATUS=MR","SCALING_FORMAT=MLN","Sort=A","Dates=H","DateFormat=P","Fill=—","Direction=H","UseDPDF=Y")</f>
        <v>7</v>
      </c>
      <c r="H26" s="13">
        <f>_xll.BDH("FIS US Equity","IS_MERGER_ACQUISITION_EXPENSE","FY 2018","FY 2018","Currency=USD","Period=FY","BEST_FPERIOD_OVERRIDE=FY","FILING_STATUS=MR","SCALING_FORMAT=MLN","Sort=A","Dates=H","DateFormat=P","Fill=—","Direction=H","UseDPDF=Y")</f>
        <v>4</v>
      </c>
      <c r="I26" s="13" t="str">
        <f>_xll.BDH("FIS US Equity","IS_MERGER_ACQUISITION_EXPENSE","FY 2019","FY 2019","Currency=USD","Period=FY","BEST_FPERIOD_OVERRIDE=FY","FILING_STATUS=MR","SCALING_FORMAT=MLN","Sort=A","Dates=H","DateFormat=P","Fill=—","Direction=H","UseDPDF=Y")</f>
        <v>—</v>
      </c>
      <c r="J26" s="16">
        <v>113</v>
      </c>
      <c r="K26" s="13"/>
      <c r="L26" s="13"/>
    </row>
    <row r="27" spans="1:12" x14ac:dyDescent="0.45">
      <c r="A27" s="10" t="s">
        <v>67</v>
      </c>
      <c r="B27" s="10" t="s">
        <v>68</v>
      </c>
      <c r="C27" s="13">
        <f>_xll.BDH("FIS US Equity","IS_G_L_ON_EXT_DBT_OR_SETTLE_DBT","FY 2013","FY 2013","Currency=USD","Period=FY","BEST_FPERIOD_OVERRIDE=FY","FILING_STATUS=MR","SCALING_FORMAT=MLN","Sort=A","Dates=H","DateFormat=P","Fill=—","Direction=H","UseDPDF=Y")</f>
        <v>60.9</v>
      </c>
      <c r="D27" s="13">
        <f>_xll.BDH("FIS US Equity","IS_G_L_ON_EXT_DBT_OR_SETTLE_DBT","FY 2014","FY 2014","Currency=USD","Period=FY","BEST_FPERIOD_OVERRIDE=FY","FILING_STATUS=MR","SCALING_FORMAT=MLN","Sort=A","Dates=H","DateFormat=P","Fill=—","Direction=H","UseDPDF=Y")</f>
        <v>37.5</v>
      </c>
      <c r="E27" s="13" t="str">
        <f>_xll.BDH("FIS US Equity","IS_G_L_ON_EXT_DBT_OR_SETTLE_DBT","FY 2015","FY 2015","Currency=USD","Period=FY","BEST_FPERIOD_OVERRIDE=FY","FILING_STATUS=MR","SCALING_FORMAT=MLN","Sort=A","Dates=H","DateFormat=P","Fill=—","Direction=H","UseDPDF=Y")</f>
        <v>—</v>
      </c>
      <c r="F27" s="13">
        <f>_xll.BDH("FIS US Equity","IS_G_L_ON_EXT_DBT_OR_SETTLE_DBT","FY 2016","FY 2016","Currency=USD","Period=FY","BEST_FPERIOD_OVERRIDE=FY","FILING_STATUS=MR","SCALING_FORMAT=MLN","Sort=A","Dates=H","DateFormat=P","Fill=—","Direction=H","UseDPDF=Y")</f>
        <v>199</v>
      </c>
      <c r="G27" s="13">
        <f>_xll.BDH("FIS US Equity","IS_G_L_ON_EXT_DBT_OR_SETTLE_DBT","FY 2017","FY 2017","Currency=USD","Period=FY","BEST_FPERIOD_OVERRIDE=FY","FILING_STATUS=MR","SCALING_FORMAT=MLN","Sort=A","Dates=H","DateFormat=P","Fill=—","Direction=H","UseDPDF=Y")</f>
        <v>199</v>
      </c>
      <c r="H27" s="13">
        <f>_xll.BDH("FIS US Equity","IS_G_L_ON_EXT_DBT_OR_SETTLE_DBT","FY 2018","FY 2018","Currency=USD","Period=FY","BEST_FPERIOD_OVERRIDE=FY","FILING_STATUS=MR","SCALING_FORMAT=MLN","Sort=A","Dates=H","DateFormat=P","Fill=—","Direction=H","UseDPDF=Y")</f>
        <v>1</v>
      </c>
      <c r="I27" s="13">
        <f>_xll.BDH("FIS US Equity","IS_G_L_ON_EXT_DBT_OR_SETTLE_DBT","FY 2019","FY 2019","Currency=USD","Period=FY","BEST_FPERIOD_OVERRIDE=FY","FILING_STATUS=MR","SCALING_FORMAT=MLN","Sort=A","Dates=H","DateFormat=P","Fill=—","Direction=H","UseDPDF=Y")</f>
        <v>98</v>
      </c>
      <c r="J27" s="16"/>
      <c r="K27" s="13"/>
      <c r="L27" s="13"/>
    </row>
    <row r="28" spans="1:12" x14ac:dyDescent="0.45">
      <c r="A28" s="10" t="s">
        <v>69</v>
      </c>
      <c r="B28" s="10" t="s">
        <v>70</v>
      </c>
      <c r="C28" s="13" t="str">
        <f>_xll.BDH("FIS US Equity","IS_IMPAIRMENT_ASSETS","FY 2013","FY 2013","Currency=USD","Period=FY","BEST_FPERIOD_OVERRIDE=FY","FILING_STATUS=MR","SCALING_FORMAT=MLN","Sort=A","Dates=H","DateFormat=P","Fill=—","Direction=H","UseDPDF=Y")</f>
        <v>—</v>
      </c>
      <c r="D28" s="13" t="str">
        <f>_xll.BDH("FIS US Equity","IS_IMPAIRMENT_ASSETS","FY 2014","FY 2014","Currency=USD","Period=FY","BEST_FPERIOD_OVERRIDE=FY","FILING_STATUS=MR","SCALING_FORMAT=MLN","Sort=A","Dates=H","DateFormat=P","Fill=—","Direction=H","UseDPDF=Y")</f>
        <v>—</v>
      </c>
      <c r="E28" s="13" t="str">
        <f>_xll.BDH("FIS US Equity","IS_IMPAIRMENT_ASSETS","FY 2015","FY 2015","Currency=USD","Period=FY","BEST_FPERIOD_OVERRIDE=FY","FILING_STATUS=MR","SCALING_FORMAT=MLN","Sort=A","Dates=H","DateFormat=P","Fill=—","Direction=H","UseDPDF=Y")</f>
        <v>—</v>
      </c>
      <c r="F28" s="13" t="str">
        <f>_xll.BDH("FIS US Equity","IS_IMPAIRMENT_ASSETS","FY 2016","FY 2016","Currency=USD","Period=FY","BEST_FPERIOD_OVERRIDE=FY","FILING_STATUS=MR","SCALING_FORMAT=MLN","Sort=A","Dates=H","DateFormat=P","Fill=—","Direction=H","UseDPDF=Y")</f>
        <v>—</v>
      </c>
      <c r="G28" s="13" t="str">
        <f>_xll.BDH("FIS US Equity","IS_IMPAIRMENT_ASSETS","FY 2017","FY 2017","Currency=USD","Period=FY","BEST_FPERIOD_OVERRIDE=FY","FILING_STATUS=MR","SCALING_FORMAT=MLN","Sort=A","Dates=H","DateFormat=P","Fill=—","Direction=H","UseDPDF=Y")</f>
        <v>—</v>
      </c>
      <c r="H28" s="13">
        <f>_xll.BDH("FIS US Equity","IS_IMPAIRMENT_ASSETS","FY 2018","FY 2018","Currency=USD","Period=FY","BEST_FPERIOD_OVERRIDE=FY","FILING_STATUS=MR","SCALING_FORMAT=MLN","Sort=A","Dates=H","DateFormat=P","Fill=—","Direction=H","UseDPDF=Y")</f>
        <v>95</v>
      </c>
      <c r="I28" s="13">
        <f>_xll.BDH("FIS US Equity","IS_IMPAIRMENT_ASSETS","FY 2019","FY 2019","Currency=USD","Period=FY","BEST_FPERIOD_OVERRIDE=FY","FILING_STATUS=MR","SCALING_FORMAT=MLN","Sort=A","Dates=H","DateFormat=P","Fill=—","Direction=H","UseDPDF=Y")</f>
        <v>87</v>
      </c>
      <c r="J28" s="16"/>
      <c r="K28" s="13"/>
      <c r="L28" s="13"/>
    </row>
    <row r="29" spans="1:12" x14ac:dyDescent="0.45">
      <c r="A29" s="10" t="s">
        <v>71</v>
      </c>
      <c r="B29" s="10" t="s">
        <v>72</v>
      </c>
      <c r="C29" s="13">
        <f>_xll.BDH("FIS US Equity","IS_IMPAIR_OF_INTANG_ASSETS","FY 2013","FY 2013","Currency=USD","Period=FY","BEST_FPERIOD_OVERRIDE=FY","FILING_STATUS=MR","SCALING_FORMAT=MLN","Sort=A","Dates=H","DateFormat=P","Fill=—","Direction=H","UseDPDF=Y")</f>
        <v>-9.1999999999999993</v>
      </c>
      <c r="D29" s="13" t="str">
        <f>_xll.BDH("FIS US Equity","IS_IMPAIR_OF_INTANG_ASSETS","FY 2014","FY 2014","Currency=USD","Period=FY","BEST_FPERIOD_OVERRIDE=FY","FILING_STATUS=MR","SCALING_FORMAT=MLN","Sort=A","Dates=H","DateFormat=P","Fill=—","Direction=H","UseDPDF=Y")</f>
        <v>—</v>
      </c>
      <c r="E29" s="13" t="str">
        <f>_xll.BDH("FIS US Equity","IS_IMPAIR_OF_INTANG_ASSETS","FY 2015","FY 2015","Currency=USD","Period=FY","BEST_FPERIOD_OVERRIDE=FY","FILING_STATUS=MR","SCALING_FORMAT=MLN","Sort=A","Dates=H","DateFormat=P","Fill=—","Direction=H","UseDPDF=Y")</f>
        <v>—</v>
      </c>
      <c r="F29" s="13" t="str">
        <f>_xll.BDH("FIS US Equity","IS_IMPAIR_OF_INTANG_ASSETS","FY 2016","FY 2016","Currency=USD","Period=FY","BEST_FPERIOD_OVERRIDE=FY","FILING_STATUS=MR","SCALING_FORMAT=MLN","Sort=A","Dates=H","DateFormat=P","Fill=—","Direction=H","UseDPDF=Y")</f>
        <v>—</v>
      </c>
      <c r="G29" s="13" t="str">
        <f>_xll.BDH("FIS US Equity","IS_IMPAIR_OF_INTANG_ASSETS","FY 2017","FY 2017","Currency=USD","Period=FY","BEST_FPERIOD_OVERRIDE=FY","FILING_STATUS=MR","SCALING_FORMAT=MLN","Sort=A","Dates=H","DateFormat=P","Fill=—","Direction=H","UseDPDF=Y")</f>
        <v>—</v>
      </c>
      <c r="H29" s="13" t="str">
        <f>_xll.BDH("FIS US Equity","IS_IMPAIR_OF_INTANG_ASSETS","FY 2018","FY 2018","Currency=USD","Period=FY","BEST_FPERIOD_OVERRIDE=FY","FILING_STATUS=MR","SCALING_FORMAT=MLN","Sort=A","Dates=H","DateFormat=P","Fill=—","Direction=H","UseDPDF=Y")</f>
        <v>—</v>
      </c>
      <c r="I29" s="13" t="str">
        <f>_xll.BDH("FIS US Equity","IS_IMPAIR_OF_INTANG_ASSETS","FY 2019","FY 2019","Currency=USD","Period=FY","BEST_FPERIOD_OVERRIDE=FY","FILING_STATUS=MR","SCALING_FORMAT=MLN","Sort=A","Dates=H","DateFormat=P","Fill=—","Direction=H","UseDPDF=Y")</f>
        <v>—</v>
      </c>
      <c r="J29" s="16"/>
      <c r="K29" s="13"/>
      <c r="L29" s="13"/>
    </row>
    <row r="30" spans="1:12" x14ac:dyDescent="0.45">
      <c r="A30" s="10" t="s">
        <v>73</v>
      </c>
      <c r="B30" s="10" t="s">
        <v>74</v>
      </c>
      <c r="C30" s="13" t="str">
        <f>_xll.BDH("FIS US Equity","IS_SALE_OF_BUSINESS","FY 2013","FY 2013","Currency=USD","Period=FY","BEST_FPERIOD_OVERRIDE=FY","FILING_STATUS=MR","SCALING_FORMAT=MLN","Sort=A","Dates=H","DateFormat=P","Fill=—","Direction=H","UseDPDF=Y")</f>
        <v>—</v>
      </c>
      <c r="D30" s="13" t="str">
        <f>_xll.BDH("FIS US Equity","IS_SALE_OF_BUSINESS","FY 2014","FY 2014","Currency=USD","Period=FY","BEST_FPERIOD_OVERRIDE=FY","FILING_STATUS=MR","SCALING_FORMAT=MLN","Sort=A","Dates=H","DateFormat=P","Fill=—","Direction=H","UseDPDF=Y")</f>
        <v>—</v>
      </c>
      <c r="E30" s="13">
        <f>_xll.BDH("FIS US Equity","IS_SALE_OF_BUSINESS","FY 2015","FY 2015","Currency=USD","Period=FY","BEST_FPERIOD_OVERRIDE=FY","FILING_STATUS=MR","SCALING_FORMAT=MLN","Sort=A","Dates=H","DateFormat=P","Fill=—","Direction=H","UseDPDF=Y")</f>
        <v>-139</v>
      </c>
      <c r="F30" s="13">
        <f>_xll.BDH("FIS US Equity","IS_SALE_OF_BUSINESS","FY 2016","FY 2016","Currency=USD","Period=FY","BEST_FPERIOD_OVERRIDE=FY","FILING_STATUS=MR","SCALING_FORMAT=MLN","Sort=A","Dates=H","DateFormat=P","Fill=—","Direction=H","UseDPDF=Y")</f>
        <v>-62</v>
      </c>
      <c r="G30" s="13">
        <f>_xll.BDH("FIS US Equity","IS_SALE_OF_BUSINESS","FY 2017","FY 2017","Currency=USD","Period=FY","BEST_FPERIOD_OVERRIDE=FY","FILING_STATUS=MR","SCALING_FORMAT=MLN","Sort=A","Dates=H","DateFormat=P","Fill=—","Direction=H","UseDPDF=Y")</f>
        <v>-62</v>
      </c>
      <c r="H30" s="13">
        <f>_xll.BDH("FIS US Equity","IS_SALE_OF_BUSINESS","FY 2018","FY 2018","Currency=USD","Period=FY","BEST_FPERIOD_OVERRIDE=FY","FILING_STATUS=MR","SCALING_FORMAT=MLN","Sort=A","Dates=H","DateFormat=P","Fill=—","Direction=H","UseDPDF=Y")</f>
        <v>56</v>
      </c>
      <c r="I30" s="13">
        <f>_xll.BDH("FIS US Equity","IS_SALE_OF_BUSINESS","FY 2019","FY 2019","Currency=USD","Period=FY","BEST_FPERIOD_OVERRIDE=FY","FILING_STATUS=MR","SCALING_FORMAT=MLN","Sort=A","Dates=H","DateFormat=P","Fill=—","Direction=H","UseDPDF=Y")</f>
        <v>6</v>
      </c>
      <c r="J30" s="16"/>
      <c r="K30" s="13"/>
      <c r="L30" s="13"/>
    </row>
    <row r="31" spans="1:12" x14ac:dyDescent="0.45">
      <c r="A31" s="10" t="s">
        <v>75</v>
      </c>
      <c r="B31" s="10" t="s">
        <v>76</v>
      </c>
      <c r="C31" s="13">
        <f>_xll.BDH("FIS US Equity","IS_RESTRUCTURING_EXPENSES","FY 2013","FY 2013","Currency=USD","Period=FY","BEST_FPERIOD_OVERRIDE=FY","FILING_STATUS=MR","SCALING_FORMAT=MLN","Sort=A","Dates=H","DateFormat=P","Fill=—","Direction=H","UseDPDF=Y")</f>
        <v>9.1</v>
      </c>
      <c r="D31" s="13" t="str">
        <f>_xll.BDH("FIS US Equity","IS_RESTRUCTURING_EXPENSES","FY 2014","FY 2014","Currency=USD","Period=FY","BEST_FPERIOD_OVERRIDE=FY","FILING_STATUS=MR","SCALING_FORMAT=MLN","Sort=A","Dates=H","DateFormat=P","Fill=—","Direction=H","UseDPDF=Y")</f>
        <v>—</v>
      </c>
      <c r="E31" s="13">
        <f>_xll.BDH("FIS US Equity","IS_RESTRUCTURING_EXPENSES","FY 2015","FY 2015","Currency=USD","Period=FY","BEST_FPERIOD_OVERRIDE=FY","FILING_STATUS=MR","SCALING_FORMAT=MLN","Sort=A","Dates=H","DateFormat=P","Fill=—","Direction=H","UseDPDF=Y")</f>
        <v>45</v>
      </c>
      <c r="F31" s="13" t="str">
        <f>_xll.BDH("FIS US Equity","IS_RESTRUCTURING_EXPENSES","FY 2016","FY 2016","Currency=USD","Period=FY","BEST_FPERIOD_OVERRIDE=FY","FILING_STATUS=MR","SCALING_FORMAT=MLN","Sort=A","Dates=H","DateFormat=P","Fill=—","Direction=H","UseDPDF=Y")</f>
        <v>—</v>
      </c>
      <c r="G31" s="13" t="str">
        <f>_xll.BDH("FIS US Equity","IS_RESTRUCTURING_EXPENSES","FY 2017","FY 2017","Currency=USD","Period=FY","BEST_FPERIOD_OVERRIDE=FY","FILING_STATUS=MR","SCALING_FORMAT=MLN","Sort=A","Dates=H","DateFormat=P","Fill=—","Direction=H","UseDPDF=Y")</f>
        <v>—</v>
      </c>
      <c r="H31" s="13" t="str">
        <f>_xll.BDH("FIS US Equity","IS_RESTRUCTURING_EXPENSES","FY 2018","FY 2018","Currency=USD","Period=FY","BEST_FPERIOD_OVERRIDE=FY","FILING_STATUS=MR","SCALING_FORMAT=MLN","Sort=A","Dates=H","DateFormat=P","Fill=—","Direction=H","UseDPDF=Y")</f>
        <v>—</v>
      </c>
      <c r="I31" s="13" t="str">
        <f>_xll.BDH("FIS US Equity","IS_RESTRUCTURING_EXPENSES","FY 2019","FY 2019","Currency=USD","Period=FY","BEST_FPERIOD_OVERRIDE=FY","FILING_STATUS=MR","SCALING_FORMAT=MLN","Sort=A","Dates=H","DateFormat=P","Fill=—","Direction=H","UseDPDF=Y")</f>
        <v>—</v>
      </c>
      <c r="J31" s="16"/>
      <c r="K31" s="13"/>
      <c r="L31" s="13"/>
    </row>
    <row r="32" spans="1:12" x14ac:dyDescent="0.45">
      <c r="A32" s="10" t="s">
        <v>77</v>
      </c>
      <c r="B32" s="10" t="s">
        <v>78</v>
      </c>
      <c r="C32" s="13" t="str">
        <f>_xll.BDH("FIS US Equity","IS_OTHER_ONE_TIME_ITEMS","FY 2013","FY 2013","Currency=USD","Period=FY","BEST_FPERIOD_OVERRIDE=FY","FILING_STATUS=MR","SCALING_FORMAT=MLN","Sort=A","Dates=H","DateFormat=P","Fill=—","Direction=H","UseDPDF=Y")</f>
        <v>—</v>
      </c>
      <c r="D32" s="13">
        <f>_xll.BDH("FIS US Equity","IS_OTHER_ONE_TIME_ITEMS","FY 2014","FY 2014","Currency=USD","Period=FY","BEST_FPERIOD_OVERRIDE=FY","FILING_STATUS=MR","SCALING_FORMAT=MLN","Sort=A","Dates=H","DateFormat=P","Fill=—","Direction=H","UseDPDF=Y")</f>
        <v>47.9</v>
      </c>
      <c r="E32" s="13">
        <f>_xll.BDH("FIS US Equity","IS_OTHER_ONE_TIME_ITEMS","FY 2015","FY 2015","Currency=USD","Period=FY","BEST_FPERIOD_OVERRIDE=FY","FILING_STATUS=MR","SCALING_FORMAT=MLN","Sort=A","Dates=H","DateFormat=P","Fill=—","Direction=H","UseDPDF=Y")</f>
        <v>239</v>
      </c>
      <c r="F32" s="13">
        <f>_xll.BDH("FIS US Equity","IS_OTHER_ONE_TIME_ITEMS","FY 2016","FY 2016","Currency=USD","Period=FY","BEST_FPERIOD_OVERRIDE=FY","FILING_STATUS=MR","SCALING_FORMAT=MLN","Sort=A","Dates=H","DateFormat=P","Fill=—","Direction=H","UseDPDF=Y")</f>
        <v>178</v>
      </c>
      <c r="G32" s="13">
        <f>_xll.BDH("FIS US Equity","IS_OTHER_ONE_TIME_ITEMS","FY 2017","FY 2017","Currency=USD","Period=FY","BEST_FPERIOD_OVERRIDE=FY","FILING_STATUS=MR","SCALING_FORMAT=MLN","Sort=A","Dates=H","DateFormat=P","Fill=—","Direction=H","UseDPDF=Y")</f>
        <v>178</v>
      </c>
      <c r="H32" s="13">
        <f>_xll.BDH("FIS US Equity","IS_OTHER_ONE_TIME_ITEMS","FY 2018","FY 2018","Currency=USD","Period=FY","BEST_FPERIOD_OVERRIDE=FY","FILING_STATUS=MR","SCALING_FORMAT=MLN","Sort=A","Dates=H","DateFormat=P","Fill=—","Direction=H","UseDPDF=Y")</f>
        <v>156</v>
      </c>
      <c r="I32" s="13">
        <f>_xll.BDH("FIS US Equity","IS_OTHER_ONE_TIME_ITEMS","FY 2019","FY 2019","Currency=USD","Period=FY","BEST_FPERIOD_OVERRIDE=FY","FILING_STATUS=MR","SCALING_FORMAT=MLN","Sort=A","Dates=H","DateFormat=P","Fill=—","Direction=H","UseDPDF=Y")</f>
        <v>768</v>
      </c>
      <c r="J32" s="16">
        <v>1026</v>
      </c>
      <c r="K32" s="13"/>
      <c r="L32" s="13"/>
    </row>
    <row r="33" spans="1:12" x14ac:dyDescent="0.45">
      <c r="A33" s="6" t="s">
        <v>79</v>
      </c>
      <c r="B33" s="6" t="s">
        <v>62</v>
      </c>
      <c r="C33" s="19">
        <f>_xll.BDH("FIS US Equity","PRETAX_INC","FY 2013","FY 2013","Currency=USD","Period=FY","BEST_FPERIOD_OVERRIDE=FY","FILING_STATUS=MR","SCALING_FORMAT=MLN","FA_ADJUSTED=GAAP","Sort=A","Dates=H","DateFormat=P","Fill=—","Direction=H","UseDPDF=Y")</f>
        <v>823.5</v>
      </c>
      <c r="D33" s="19">
        <f>_xll.BDH("FIS US Equity","PRETAX_INC","FY 2014","FY 2014","Currency=USD","Period=FY","BEST_FPERIOD_OVERRIDE=FY","FILING_STATUS=MR","SCALING_FORMAT=MLN","FA_ADJUSTED=GAAP","Sort=A","Dates=H","DateFormat=P","Fill=—","Direction=H","UseDPDF=Y")</f>
        <v>1053</v>
      </c>
      <c r="E33" s="19">
        <f>_xll.BDH("FIS US Equity","PRETAX_INC","FY 2015","FY 2015","Currency=USD","Period=FY","BEST_FPERIOD_OVERRIDE=FY","FILING_STATUS=MR","SCALING_FORMAT=MLN","FA_ADJUSTED=GAAP","Sort=A","Dates=H","DateFormat=P","Fill=—","Direction=H","UseDPDF=Y")</f>
        <v>1037</v>
      </c>
      <c r="F33" s="19">
        <f>_xll.BDH("FIS US Equity","PRETAX_INC","FY 2016","FY 2016","Currency=USD","Period=FY","BEST_FPERIOD_OVERRIDE=FY","FILING_STATUS=MR","SCALING_FORMAT=MLN","FA_ADJUSTED=GAAP","Sort=A","Dates=H","DateFormat=P","Fill=—","Direction=H","UseDPDF=Y")</f>
        <v>837</v>
      </c>
      <c r="G33" s="19">
        <f>_xll.BDH("FIS US Equity","PRETAX_INC","FY 2017","FY 2017","Currency=USD","Period=FY","BEST_FPERIOD_OVERRIDE=FY","FILING_STATUS=MR","SCALING_FORMAT=MLN","FA_ADJUSTED=GAAP","Sort=A","Dates=H","DateFormat=P","Fill=—","Direction=H","UseDPDF=Y")</f>
        <v>976</v>
      </c>
      <c r="H33" s="19">
        <f>_xll.BDH("FIS US Equity","PRETAX_INC","FY 2018","FY 2018","Currency=USD","Period=FY","BEST_FPERIOD_OVERRIDE=FY","FILING_STATUS=MR","SCALING_FORMAT=MLN","FA_ADJUSTED=GAAP","Sort=A","Dates=H","DateFormat=P","Fill=—","Direction=H","UseDPDF=Y")</f>
        <v>1104</v>
      </c>
      <c r="I33" s="19">
        <f>_xll.BDH("FIS US Equity","PRETAX_INC","FY 2019","FY 2019","Currency=USD","Period=FY","BEST_FPERIOD_OVERRIDE=FY","FILING_STATUS=MR","SCALING_FORMAT=MLN","FA_ADJUSTED=GAAP","Sort=A","Dates=H","DateFormat=P","Fill=—","Direction=H","UseDPDF=Y")</f>
        <v>413</v>
      </c>
      <c r="J33" s="22">
        <v>-19</v>
      </c>
      <c r="K33" s="19">
        <v>3978.6669999999999</v>
      </c>
      <c r="L33" s="19">
        <v>4743</v>
      </c>
    </row>
    <row r="34" spans="1:12" x14ac:dyDescent="0.45">
      <c r="A34" s="10" t="s">
        <v>80</v>
      </c>
      <c r="B34" s="10" t="s">
        <v>81</v>
      </c>
      <c r="C34" s="13">
        <f>_xll.BDH("FIS US Equity","IS_INC_TAX_EXP","FY 2013","FY 2013","Currency=USD","Period=FY","BEST_FPERIOD_OVERRIDE=FY","FILING_STATUS=MR","SCALING_FORMAT=MLN","FA_ADJUSTED=GAAP","Sort=A","Dates=H","DateFormat=P","Fill=—","Direction=H","UseDPDF=Y")</f>
        <v>308.89999999999998</v>
      </c>
      <c r="D34" s="13">
        <f>_xll.BDH("FIS US Equity","IS_INC_TAX_EXP","FY 2014","FY 2014","Currency=USD","Period=FY","BEST_FPERIOD_OVERRIDE=FY","FILING_STATUS=MR","SCALING_FORMAT=MLN","FA_ADJUSTED=GAAP","Sort=A","Dates=H","DateFormat=P","Fill=—","Direction=H","UseDPDF=Y")</f>
        <v>335</v>
      </c>
      <c r="E34" s="13">
        <f>_xll.BDH("FIS US Equity","IS_INC_TAX_EXP","FY 2015","FY 2015","Currency=USD","Period=FY","BEST_FPERIOD_OVERRIDE=FY","FILING_STATUS=MR","SCALING_FORMAT=MLN","FA_ADJUSTED=GAAP","Sort=A","Dates=H","DateFormat=P","Fill=—","Direction=H","UseDPDF=Y")</f>
        <v>379</v>
      </c>
      <c r="F34" s="13">
        <f>_xll.BDH("FIS US Equity","IS_INC_TAX_EXP","FY 2016","FY 2016","Currency=USD","Period=FY","BEST_FPERIOD_OVERRIDE=FY","FILING_STATUS=MR","SCALING_FORMAT=MLN","FA_ADJUSTED=GAAP","Sort=A","Dates=H","DateFormat=P","Fill=—","Direction=H","UseDPDF=Y")</f>
        <v>291</v>
      </c>
      <c r="G34" s="13">
        <f>_xll.BDH("FIS US Equity","IS_INC_TAX_EXP","FY 2017","FY 2017","Currency=USD","Period=FY","BEST_FPERIOD_OVERRIDE=FY","FILING_STATUS=MR","SCALING_FORMAT=MLN","FA_ADJUSTED=GAAP","Sort=A","Dates=H","DateFormat=P","Fill=—","Direction=H","UseDPDF=Y")</f>
        <v>-321</v>
      </c>
      <c r="H34" s="13">
        <f>_xll.BDH("FIS US Equity","IS_INC_TAX_EXP","FY 2018","FY 2018","Currency=USD","Period=FY","BEST_FPERIOD_OVERRIDE=FY","FILING_STATUS=MR","SCALING_FORMAT=MLN","FA_ADJUSTED=GAAP","Sort=A","Dates=H","DateFormat=P","Fill=—","Direction=H","UseDPDF=Y")</f>
        <v>208</v>
      </c>
      <c r="I34" s="13">
        <f>_xll.BDH("FIS US Equity","IS_INC_TAX_EXP","FY 2019","FY 2019","Currency=USD","Period=FY","BEST_FPERIOD_OVERRIDE=FY","FILING_STATUS=MR","SCALING_FORMAT=MLN","FA_ADJUSTED=GAAP","Sort=A","Dates=H","DateFormat=P","Fill=—","Direction=H","UseDPDF=Y")</f>
        <v>100</v>
      </c>
      <c r="J34" s="16">
        <v>76</v>
      </c>
      <c r="K34" s="13"/>
      <c r="L34" s="13"/>
    </row>
    <row r="35" spans="1:12" x14ac:dyDescent="0.45">
      <c r="A35" s="10" t="s">
        <v>82</v>
      </c>
      <c r="B35" s="10" t="s">
        <v>83</v>
      </c>
      <c r="C35" s="13">
        <f>_xll.BDH("FIS US Equity","IS_CURRENT_INCOME_TAX_BENEFIT","FY 2013","FY 2013","Currency=USD","Period=FY","BEST_FPERIOD_OVERRIDE=FY","FILING_STATUS=MR","SCALING_FORMAT=MLN","Sort=A","Dates=H","DateFormat=P","Fill=—","Direction=H","UseDPDF=Y")</f>
        <v>308.7</v>
      </c>
      <c r="D35" s="13">
        <f>_xll.BDH("FIS US Equity","IS_CURRENT_INCOME_TAX_BENEFIT","FY 2014","FY 2014","Currency=USD","Period=FY","BEST_FPERIOD_OVERRIDE=FY","FILING_STATUS=MR","SCALING_FORMAT=MLN","Sort=A","Dates=H","DateFormat=P","Fill=—","Direction=H","UseDPDF=Y")</f>
        <v>344</v>
      </c>
      <c r="E35" s="13">
        <f>_xll.BDH("FIS US Equity","IS_CURRENT_INCOME_TAX_BENEFIT","FY 2015","FY 2015","Currency=USD","Period=FY","BEST_FPERIOD_OVERRIDE=FY","FILING_STATUS=MR","SCALING_FORMAT=MLN","Sort=A","Dates=H","DateFormat=P","Fill=—","Direction=H","UseDPDF=Y")</f>
        <v>333</v>
      </c>
      <c r="F35" s="13">
        <f>_xll.BDH("FIS US Equity","IS_CURRENT_INCOME_TAX_BENEFIT","FY 2016","FY 2016","Currency=USD","Period=FY","BEST_FPERIOD_OVERRIDE=FY","FILING_STATUS=MR","SCALING_FORMAT=MLN","Sort=A","Dates=H","DateFormat=P","Fill=—","Direction=H","UseDPDF=Y")</f>
        <v>493</v>
      </c>
      <c r="G35" s="13">
        <f>_xll.BDH("FIS US Equity","IS_CURRENT_INCOME_TAX_BENEFIT","FY 2017","FY 2017","Currency=USD","Period=FY","BEST_FPERIOD_OVERRIDE=FY","FILING_STATUS=MR","SCALING_FORMAT=MLN","Sort=A","Dates=H","DateFormat=P","Fill=—","Direction=H","UseDPDF=Y")</f>
        <v>684</v>
      </c>
      <c r="H35" s="13">
        <f>_xll.BDH("FIS US Equity","IS_CURRENT_INCOME_TAX_BENEFIT","FY 2018","FY 2018","Currency=USD","Period=FY","BEST_FPERIOD_OVERRIDE=FY","FILING_STATUS=MR","SCALING_FORMAT=MLN","Sort=A","Dates=H","DateFormat=P","Fill=—","Direction=H","UseDPDF=Y")</f>
        <v>324</v>
      </c>
      <c r="I35" s="13">
        <f>_xll.BDH("FIS US Equity","IS_CURRENT_INCOME_TAX_BENEFIT","FY 2019","FY 2019","Currency=USD","Period=FY","BEST_FPERIOD_OVERRIDE=FY","FILING_STATUS=MR","SCALING_FORMAT=MLN","Sort=A","Dates=H","DateFormat=P","Fill=—","Direction=H","UseDPDF=Y")</f>
        <v>215</v>
      </c>
      <c r="J35" s="16"/>
      <c r="K35" s="13"/>
      <c r="L35" s="13"/>
    </row>
    <row r="36" spans="1:12" x14ac:dyDescent="0.45">
      <c r="A36" s="10" t="s">
        <v>84</v>
      </c>
      <c r="B36" s="10" t="s">
        <v>85</v>
      </c>
      <c r="C36" s="13">
        <f>_xll.BDH("FIS US Equity","IS_DEFERRED_INCOME_TAX_BENEFIT","FY 2013","FY 2013","Currency=USD","Period=FY","BEST_FPERIOD_OVERRIDE=FY","FILING_STATUS=MR","SCALING_FORMAT=MLN","Sort=A","Dates=H","DateFormat=P","Fill=—","Direction=H","UseDPDF=Y")</f>
        <v>0.2</v>
      </c>
      <c r="D36" s="13">
        <f>_xll.BDH("FIS US Equity","IS_DEFERRED_INCOME_TAX_BENEFIT","FY 2014","FY 2014","Currency=USD","Period=FY","BEST_FPERIOD_OVERRIDE=FY","FILING_STATUS=MR","SCALING_FORMAT=MLN","Sort=A","Dates=H","DateFormat=P","Fill=—","Direction=H","UseDPDF=Y")</f>
        <v>-9</v>
      </c>
      <c r="E36" s="13">
        <f>_xll.BDH("FIS US Equity","IS_DEFERRED_INCOME_TAX_BENEFIT","FY 2015","FY 2015","Currency=USD","Period=FY","BEST_FPERIOD_OVERRIDE=FY","FILING_STATUS=MR","SCALING_FORMAT=MLN","Sort=A","Dates=H","DateFormat=P","Fill=—","Direction=H","UseDPDF=Y")</f>
        <v>46</v>
      </c>
      <c r="F36" s="13">
        <f>_xll.BDH("FIS US Equity","IS_DEFERRED_INCOME_TAX_BENEFIT","FY 2016","FY 2016","Currency=USD","Period=FY","BEST_FPERIOD_OVERRIDE=FY","FILING_STATUS=MR","SCALING_FORMAT=MLN","Sort=A","Dates=H","DateFormat=P","Fill=—","Direction=H","UseDPDF=Y")</f>
        <v>-202</v>
      </c>
      <c r="G36" s="13">
        <f>_xll.BDH("FIS US Equity","IS_DEFERRED_INCOME_TAX_BENEFIT","FY 2017","FY 2017","Currency=USD","Period=FY","BEST_FPERIOD_OVERRIDE=FY","FILING_STATUS=MR","SCALING_FORMAT=MLN","Sort=A","Dates=H","DateFormat=P","Fill=—","Direction=H","UseDPDF=Y")</f>
        <v>-1005</v>
      </c>
      <c r="H36" s="13">
        <f>_xll.BDH("FIS US Equity","IS_DEFERRED_INCOME_TAX_BENEFIT","FY 2018","FY 2018","Currency=USD","Period=FY","BEST_FPERIOD_OVERRIDE=FY","FILING_STATUS=MR","SCALING_FORMAT=MLN","Sort=A","Dates=H","DateFormat=P","Fill=—","Direction=H","UseDPDF=Y")</f>
        <v>-116</v>
      </c>
      <c r="I36" s="13">
        <f>_xll.BDH("FIS US Equity","IS_DEFERRED_INCOME_TAX_BENEFIT","FY 2019","FY 2019","Currency=USD","Period=FY","BEST_FPERIOD_OVERRIDE=FY","FILING_STATUS=MR","SCALING_FORMAT=MLN","Sort=A","Dates=H","DateFormat=P","Fill=—","Direction=H","UseDPDF=Y")</f>
        <v>-115</v>
      </c>
      <c r="J36" s="16"/>
      <c r="K36" s="13"/>
      <c r="L36" s="13"/>
    </row>
    <row r="37" spans="1:12" x14ac:dyDescent="0.45">
      <c r="A37" s="10" t="s">
        <v>86</v>
      </c>
      <c r="B37" s="10" t="s">
        <v>87</v>
      </c>
      <c r="C37" s="13" t="str">
        <f>_xll.BDH("FIS US Equity","IS_TAX_VALN_ALLOWNCE_CREDITS","FY 2013","FY 2013","Currency=USD","Period=FY","BEST_FPERIOD_OVERRIDE=FY","FILING_STATUS=MR","SCALING_FORMAT=MLN","Sort=A","Dates=H","DateFormat=P","Fill=—","Direction=H","UseDPDF=Y")</f>
        <v>—</v>
      </c>
      <c r="D37" s="13" t="str">
        <f>_xll.BDH("FIS US Equity","IS_TAX_VALN_ALLOWNCE_CREDITS","FY 2014","FY 2014","Currency=USD","Period=FY","BEST_FPERIOD_OVERRIDE=FY","FILING_STATUS=MR","SCALING_FORMAT=MLN","Sort=A","Dates=H","DateFormat=P","Fill=—","Direction=H","UseDPDF=Y")</f>
        <v>—</v>
      </c>
      <c r="E37" s="13" t="str">
        <f>_xll.BDH("FIS US Equity","IS_TAX_VALN_ALLOWNCE_CREDITS","FY 2015","FY 2015","Currency=USD","Period=FY","BEST_FPERIOD_OVERRIDE=FY","FILING_STATUS=MR","SCALING_FORMAT=MLN","Sort=A","Dates=H","DateFormat=P","Fill=—","Direction=H","UseDPDF=Y")</f>
        <v>—</v>
      </c>
      <c r="F37" s="13" t="str">
        <f>_xll.BDH("FIS US Equity","IS_TAX_VALN_ALLOWNCE_CREDITS","FY 2016","FY 2016","Currency=USD","Period=FY","BEST_FPERIOD_OVERRIDE=FY","FILING_STATUS=MR","SCALING_FORMAT=MLN","Sort=A","Dates=H","DateFormat=P","Fill=—","Direction=H","UseDPDF=Y")</f>
        <v>—</v>
      </c>
      <c r="G37" s="13" t="str">
        <f>_xll.BDH("FIS US Equity","IS_TAX_VALN_ALLOWNCE_CREDITS","FY 2017","FY 2017","Currency=USD","Period=FY","BEST_FPERIOD_OVERRIDE=FY","FILING_STATUS=MR","SCALING_FORMAT=MLN","Sort=A","Dates=H","DateFormat=P","Fill=—","Direction=H","UseDPDF=Y")</f>
        <v>—</v>
      </c>
      <c r="H37" s="13" t="str">
        <f>_xll.BDH("FIS US Equity","IS_TAX_VALN_ALLOWNCE_CREDITS","FY 2018","FY 2018","Currency=USD","Period=FY","BEST_FPERIOD_OVERRIDE=FY","FILING_STATUS=MR","SCALING_FORMAT=MLN","Sort=A","Dates=H","DateFormat=P","Fill=—","Direction=H","UseDPDF=Y")</f>
        <v>—</v>
      </c>
      <c r="I37" s="13" t="str">
        <f>_xll.BDH("FIS US Equity","IS_TAX_VALN_ALLOWNCE_CREDITS","FY 2019","FY 2019","Currency=USD","Period=FY","BEST_FPERIOD_OVERRIDE=FY","FILING_STATUS=MR","SCALING_FORMAT=MLN","Sort=A","Dates=H","DateFormat=P","Fill=—","Direction=H","UseDPDF=Y")</f>
        <v>—</v>
      </c>
      <c r="J37" s="16"/>
      <c r="K37" s="13"/>
      <c r="L37" s="13"/>
    </row>
    <row r="38" spans="1:12" x14ac:dyDescent="0.45">
      <c r="A38" s="10" t="s">
        <v>88</v>
      </c>
      <c r="B38" s="10" t="s">
        <v>89</v>
      </c>
      <c r="C38" s="13" t="str">
        <f>_xll.BDH("FIS US Equity","IS_SH_PRO_EQY_MT_INV_NET_OF_TAX","FY 2013","FY 2013","Currency=USD","Period=FY","BEST_FPERIOD_OVERRIDE=FY","FILING_STATUS=MR","SCALING_FORMAT=MLN","FA_ADJUSTED=GAAP","Sort=A","Dates=H","DateFormat=P","Fill=—","Direction=H","UseDPDF=Y")</f>
        <v>—</v>
      </c>
      <c r="D38" s="13" t="str">
        <f>_xll.BDH("FIS US Equity","IS_SH_PRO_EQY_MT_INV_NET_OF_TAX","FY 2014","FY 2014","Currency=USD","Period=FY","BEST_FPERIOD_OVERRIDE=FY","FILING_STATUS=MR","SCALING_FORMAT=MLN","FA_ADJUSTED=GAAP","Sort=A","Dates=H","DateFormat=P","Fill=—","Direction=H","UseDPDF=Y")</f>
        <v>—</v>
      </c>
      <c r="E38" s="13">
        <f>_xll.BDH("FIS US Equity","IS_SH_PRO_EQY_MT_INV_NET_OF_TAX","FY 2015","FY 2015","Currency=USD","Period=FY","BEST_FPERIOD_OVERRIDE=FY","FILING_STATUS=MR","SCALING_FORMAT=MLN","FA_ADJUSTED=GAAP","Sort=A","Dates=H","DateFormat=P","Fill=—","Direction=H","UseDPDF=Y")</f>
        <v>0</v>
      </c>
      <c r="F38" s="13">
        <f>_xll.BDH("FIS US Equity","IS_SH_PRO_EQY_MT_INV_NET_OF_TAX","FY 2016","FY 2016","Currency=USD","Period=FY","BEST_FPERIOD_OVERRIDE=FY","FILING_STATUS=MR","SCALING_FORMAT=MLN","FA_ADJUSTED=GAAP","Sort=A","Dates=H","DateFormat=P","Fill=—","Direction=H","UseDPDF=Y")</f>
        <v>0</v>
      </c>
      <c r="G38" s="13">
        <f>_xll.BDH("FIS US Equity","IS_SH_PRO_EQY_MT_INV_NET_OF_TAX","FY 2017","FY 2017","Currency=USD","Period=FY","BEST_FPERIOD_OVERRIDE=FY","FILING_STATUS=MR","SCALING_FORMAT=MLN","FA_ADJUSTED=GAAP","Sort=A","Dates=H","DateFormat=P","Fill=—","Direction=H","UseDPDF=Y")</f>
        <v>3</v>
      </c>
      <c r="H38" s="13">
        <f>_xll.BDH("FIS US Equity","IS_SH_PRO_EQY_MT_INV_NET_OF_TAX","FY 2018","FY 2018","Currency=USD","Period=FY","BEST_FPERIOD_OVERRIDE=FY","FILING_STATUS=MR","SCALING_FORMAT=MLN","FA_ADJUSTED=GAAP","Sort=A","Dates=H","DateFormat=P","Fill=—","Direction=H","UseDPDF=Y")</f>
        <v>15</v>
      </c>
      <c r="I38" s="13">
        <f>_xll.BDH("FIS US Equity","IS_SH_PRO_EQY_MT_INV_NET_OF_TAX","FY 2019","FY 2019","Currency=USD","Period=FY","BEST_FPERIOD_OVERRIDE=FY","FILING_STATUS=MR","SCALING_FORMAT=MLN","FA_ADJUSTED=GAAP","Sort=A","Dates=H","DateFormat=P","Fill=—","Direction=H","UseDPDF=Y")</f>
        <v>10</v>
      </c>
      <c r="J38" s="16">
        <v>1</v>
      </c>
      <c r="K38" s="13"/>
      <c r="L38" s="13"/>
    </row>
    <row r="39" spans="1:12" x14ac:dyDescent="0.45">
      <c r="A39" s="6" t="s">
        <v>90</v>
      </c>
      <c r="B39" s="6" t="s">
        <v>91</v>
      </c>
      <c r="C39" s="19">
        <f>_xll.BDH("FIS US Equity","IS_INC_BEF_XO_ITEM","FY 2013","FY 2013","Currency=USD","Period=FY","BEST_FPERIOD_OVERRIDE=FY","FILING_STATUS=MR","SCALING_FORMAT=MLN","Sort=A","Dates=H","DateFormat=P","Fill=—","Direction=H","UseDPDF=Y")</f>
        <v>514.6</v>
      </c>
      <c r="D39" s="19">
        <f>_xll.BDH("FIS US Equity","IS_INC_BEF_XO_ITEM","FY 2014","FY 2014","Currency=USD","Period=FY","BEST_FPERIOD_OVERRIDE=FY","FILING_STATUS=MR","SCALING_FORMAT=MLN","Sort=A","Dates=H","DateFormat=P","Fill=—","Direction=H","UseDPDF=Y")</f>
        <v>718</v>
      </c>
      <c r="E39" s="19">
        <f>_xll.BDH("FIS US Equity","IS_INC_BEF_XO_ITEM","FY 2015","FY 2015","Currency=USD","Period=FY","BEST_FPERIOD_OVERRIDE=FY","FILING_STATUS=MR","SCALING_FORMAT=MLN","Sort=A","Dates=H","DateFormat=P","Fill=—","Direction=H","UseDPDF=Y")</f>
        <v>658</v>
      </c>
      <c r="F39" s="19">
        <f>_xll.BDH("FIS US Equity","IS_INC_BEF_XO_ITEM","FY 2016","FY 2016","Currency=USD","Period=FY","BEST_FPERIOD_OVERRIDE=FY","FILING_STATUS=MR","SCALING_FORMAT=MLN","Sort=A","Dates=H","DateFormat=P","Fill=—","Direction=H","UseDPDF=Y")</f>
        <v>546</v>
      </c>
      <c r="G39" s="19">
        <f>_xll.BDH("FIS US Equity","IS_INC_BEF_XO_ITEM","FY 2017","FY 2017","Currency=USD","Period=FY","BEST_FPERIOD_OVERRIDE=FY","FILING_STATUS=MR","SCALING_FORMAT=MLN","Sort=A","Dates=H","DateFormat=P","Fill=—","Direction=H","UseDPDF=Y")</f>
        <v>1294</v>
      </c>
      <c r="H39" s="19">
        <f>_xll.BDH("FIS US Equity","IS_INC_BEF_XO_ITEM","FY 2018","FY 2018","Currency=USD","Period=FY","BEST_FPERIOD_OVERRIDE=FY","FILING_STATUS=MR","SCALING_FORMAT=MLN","Sort=A","Dates=H","DateFormat=P","Fill=—","Direction=H","UseDPDF=Y")</f>
        <v>881</v>
      </c>
      <c r="I39" s="19">
        <f>_xll.BDH("FIS US Equity","IS_INC_BEF_XO_ITEM","FY 2019","FY 2019","Currency=USD","Period=FY","BEST_FPERIOD_OVERRIDE=FY","FILING_STATUS=MR","SCALING_FORMAT=MLN","Sort=A","Dates=H","DateFormat=P","Fill=—","Direction=H","UseDPDF=Y")</f>
        <v>303</v>
      </c>
      <c r="J39" s="22">
        <v>-96</v>
      </c>
      <c r="K39" s="19">
        <v>312.27300000000002</v>
      </c>
      <c r="L39" s="19">
        <v>1245.182</v>
      </c>
    </row>
    <row r="40" spans="1:12" x14ac:dyDescent="0.45">
      <c r="A40" s="10" t="s">
        <v>92</v>
      </c>
      <c r="B40" s="10" t="s">
        <v>93</v>
      </c>
      <c r="C40" s="13">
        <f>_xll.BDH("FIS US Equity","XO_GL_NET_OF_TAX","FY 2013","FY 2013","Currency=USD","Period=FY","BEST_FPERIOD_OVERRIDE=FY","FILING_STATUS=MR","SCALING_FORMAT=MLN","Sort=A","Dates=H","DateFormat=P","Fill=—","Direction=H","UseDPDF=Y")</f>
        <v>-3.1</v>
      </c>
      <c r="D40" s="13">
        <f>_xll.BDH("FIS US Equity","XO_GL_NET_OF_TAX","FY 2014","FY 2014","Currency=USD","Period=FY","BEST_FPERIOD_OVERRIDE=FY","FILING_STATUS=MR","SCALING_FORMAT=MLN","Sort=A","Dates=H","DateFormat=P","Fill=—","Direction=H","UseDPDF=Y")</f>
        <v>11</v>
      </c>
      <c r="E40" s="13">
        <f>_xll.BDH("FIS US Equity","XO_GL_NET_OF_TAX","FY 2015","FY 2015","Currency=USD","Period=FY","BEST_FPERIOD_OVERRIDE=FY","FILING_STATUS=MR","SCALING_FORMAT=MLN","Sort=A","Dates=H","DateFormat=P","Fill=—","Direction=H","UseDPDF=Y")</f>
        <v>7</v>
      </c>
      <c r="F40" s="13">
        <f>_xll.BDH("FIS US Equity","XO_GL_NET_OF_TAX","FY 2016","FY 2016","Currency=USD","Period=FY","BEST_FPERIOD_OVERRIDE=FY","FILING_STATUS=MR","SCALING_FORMAT=MLN","Sort=A","Dates=H","DateFormat=P","Fill=—","Direction=H","UseDPDF=Y")</f>
        <v>-1</v>
      </c>
      <c r="G40" s="13">
        <f>_xll.BDH("FIS US Equity","XO_GL_NET_OF_TAX","FY 2017","FY 2017","Currency=USD","Period=FY","BEST_FPERIOD_OVERRIDE=FY","FILING_STATUS=MR","SCALING_FORMAT=MLN","Sort=A","Dates=H","DateFormat=P","Fill=—","Direction=H","UseDPDF=Y")</f>
        <v>0</v>
      </c>
      <c r="H40" s="13">
        <f>_xll.BDH("FIS US Equity","XO_GL_NET_OF_TAX","FY 2018","FY 2018","Currency=USD","Period=FY","BEST_FPERIOD_OVERRIDE=FY","FILING_STATUS=MR","SCALING_FORMAT=MLN","Sort=A","Dates=H","DateFormat=P","Fill=—","Direction=H","UseDPDF=Y")</f>
        <v>0</v>
      </c>
      <c r="I40" s="13">
        <f>_xll.BDH("FIS US Equity","XO_GL_NET_OF_TAX","FY 2019","FY 2019","Currency=USD","Period=FY","BEST_FPERIOD_OVERRIDE=FY","FILING_STATUS=MR","SCALING_FORMAT=MLN","Sort=A","Dates=H","DateFormat=P","Fill=—","Direction=H","UseDPDF=Y")</f>
        <v>0</v>
      </c>
      <c r="J40" s="16">
        <v>0</v>
      </c>
      <c r="K40" s="13"/>
      <c r="L40" s="13"/>
    </row>
    <row r="41" spans="1:12" x14ac:dyDescent="0.45">
      <c r="A41" s="10" t="s">
        <v>94</v>
      </c>
      <c r="B41" s="10" t="s">
        <v>95</v>
      </c>
      <c r="C41" s="13">
        <f>_xll.BDH("FIS US Equity","IS_DISCONTINUED_OPERATIONS","FY 2013","FY 2013","Currency=USD","Period=FY","BEST_FPERIOD_OVERRIDE=FY","FILING_STATUS=MR","SCALING_FORMAT=MLN","Sort=A","Dates=H","DateFormat=P","Fill=—","Direction=H","UseDPDF=Y")</f>
        <v>-3.1</v>
      </c>
      <c r="D41" s="13">
        <f>_xll.BDH("FIS US Equity","IS_DISCONTINUED_OPERATIONS","FY 2014","FY 2014","Currency=USD","Period=FY","BEST_FPERIOD_OVERRIDE=FY","FILING_STATUS=MR","SCALING_FORMAT=MLN","Sort=A","Dates=H","DateFormat=P","Fill=—","Direction=H","UseDPDF=Y")</f>
        <v>11</v>
      </c>
      <c r="E41" s="13">
        <f>_xll.BDH("FIS US Equity","IS_DISCONTINUED_OPERATIONS","FY 2015","FY 2015","Currency=USD","Period=FY","BEST_FPERIOD_OVERRIDE=FY","FILING_STATUS=MR","SCALING_FORMAT=MLN","Sort=A","Dates=H","DateFormat=P","Fill=—","Direction=H","UseDPDF=Y")</f>
        <v>7</v>
      </c>
      <c r="F41" s="13">
        <f>_xll.BDH("FIS US Equity","IS_DISCONTINUED_OPERATIONS","FY 2016","FY 2016","Currency=USD","Period=FY","BEST_FPERIOD_OVERRIDE=FY","FILING_STATUS=MR","SCALING_FORMAT=MLN","Sort=A","Dates=H","DateFormat=P","Fill=—","Direction=H","UseDPDF=Y")</f>
        <v>-1</v>
      </c>
      <c r="G41" s="13">
        <f>_xll.BDH("FIS US Equity","IS_DISCONTINUED_OPERATIONS","FY 2017","FY 2017","Currency=USD","Period=FY","BEST_FPERIOD_OVERRIDE=FY","FILING_STATUS=MR","SCALING_FORMAT=MLN","Sort=A","Dates=H","DateFormat=P","Fill=—","Direction=H","UseDPDF=Y")</f>
        <v>0</v>
      </c>
      <c r="H41" s="13">
        <f>_xll.BDH("FIS US Equity","IS_DISCONTINUED_OPERATIONS","FY 2018","FY 2018","Currency=USD","Period=FY","BEST_FPERIOD_OVERRIDE=FY","FILING_STATUS=MR","SCALING_FORMAT=MLN","Sort=A","Dates=H","DateFormat=P","Fill=—","Direction=H","UseDPDF=Y")</f>
        <v>0</v>
      </c>
      <c r="I41" s="13">
        <f>_xll.BDH("FIS US Equity","IS_DISCONTINUED_OPERATIONS","FY 2019","FY 2019","Currency=USD","Period=FY","BEST_FPERIOD_OVERRIDE=FY","FILING_STATUS=MR","SCALING_FORMAT=MLN","Sort=A","Dates=H","DateFormat=P","Fill=—","Direction=H","UseDPDF=Y")</f>
        <v>0</v>
      </c>
      <c r="J41" s="16">
        <v>0</v>
      </c>
      <c r="K41" s="13"/>
      <c r="L41" s="13"/>
    </row>
    <row r="42" spans="1:12" x14ac:dyDescent="0.45">
      <c r="A42" s="10" t="s">
        <v>96</v>
      </c>
      <c r="B42" s="10" t="s">
        <v>97</v>
      </c>
      <c r="C42" s="13">
        <f>_xll.BDH("FIS US Equity","IS_EXTRAORD_ITEMS_&amp;_ACCTG_CHNG","FY 2013","FY 2013","Currency=USD","Period=FY","BEST_FPERIOD_OVERRIDE=FY","FILING_STATUS=MR","SCALING_FORMAT=MLN","Sort=A","Dates=H","DateFormat=P","Fill=—","Direction=H","UseDPDF=Y")</f>
        <v>0</v>
      </c>
      <c r="D42" s="13">
        <f>_xll.BDH("FIS US Equity","IS_EXTRAORD_ITEMS_&amp;_ACCTG_CHNG","FY 2014","FY 2014","Currency=USD","Period=FY","BEST_FPERIOD_OVERRIDE=FY","FILING_STATUS=MR","SCALING_FORMAT=MLN","Sort=A","Dates=H","DateFormat=P","Fill=—","Direction=H","UseDPDF=Y")</f>
        <v>0</v>
      </c>
      <c r="E42" s="13">
        <f>_xll.BDH("FIS US Equity","IS_EXTRAORD_ITEMS_&amp;_ACCTG_CHNG","FY 2015","FY 2015","Currency=USD","Period=FY","BEST_FPERIOD_OVERRIDE=FY","FILING_STATUS=MR","SCALING_FORMAT=MLN","Sort=A","Dates=H","DateFormat=P","Fill=—","Direction=H","UseDPDF=Y")</f>
        <v>0</v>
      </c>
      <c r="F42" s="13">
        <f>_xll.BDH("FIS US Equity","IS_EXTRAORD_ITEMS_&amp;_ACCTG_CHNG","FY 2016","FY 2016","Currency=USD","Period=FY","BEST_FPERIOD_OVERRIDE=FY","FILING_STATUS=MR","SCALING_FORMAT=MLN","Sort=A","Dates=H","DateFormat=P","Fill=—","Direction=H","UseDPDF=Y")</f>
        <v>0</v>
      </c>
      <c r="G42" s="13">
        <f>_xll.BDH("FIS US Equity","IS_EXTRAORD_ITEMS_&amp;_ACCTG_CHNG","FY 2017","FY 2017","Currency=USD","Period=FY","BEST_FPERIOD_OVERRIDE=FY","FILING_STATUS=MR","SCALING_FORMAT=MLN","Sort=A","Dates=H","DateFormat=P","Fill=—","Direction=H","UseDPDF=Y")</f>
        <v>0</v>
      </c>
      <c r="H42" s="13">
        <f>_xll.BDH("FIS US Equity","IS_EXTRAORD_ITEMS_&amp;_ACCTG_CHNG","FY 2018","FY 2018","Currency=USD","Period=FY","BEST_FPERIOD_OVERRIDE=FY","FILING_STATUS=MR","SCALING_FORMAT=MLN","Sort=A","Dates=H","DateFormat=P","Fill=—","Direction=H","UseDPDF=Y")</f>
        <v>0</v>
      </c>
      <c r="I42" s="13">
        <f>_xll.BDH("FIS US Equity","IS_EXTRAORD_ITEMS_&amp;_ACCTG_CHNG","FY 2019","FY 2019","Currency=USD","Period=FY","BEST_FPERIOD_OVERRIDE=FY","FILING_STATUS=MR","SCALING_FORMAT=MLN","Sort=A","Dates=H","DateFormat=P","Fill=—","Direction=H","UseDPDF=Y")</f>
        <v>0</v>
      </c>
      <c r="J42" s="16">
        <v>0</v>
      </c>
      <c r="K42" s="13"/>
      <c r="L42" s="13"/>
    </row>
    <row r="43" spans="1:12" x14ac:dyDescent="0.45">
      <c r="A43" s="6" t="s">
        <v>98</v>
      </c>
      <c r="B43" s="6" t="s">
        <v>99</v>
      </c>
      <c r="C43" s="19">
        <f>_xll.BDH("FIS US Equity","NI_INCLUDING_MINORITY_INT_RATIO","FY 2013","FY 2013","Currency=USD","Period=FY","BEST_FPERIOD_OVERRIDE=FY","FILING_STATUS=MR","SCALING_FORMAT=MLN","FA_ADJUSTED=GAAP","Sort=A","Dates=H","DateFormat=P","Fill=—","Direction=H","UseDPDF=Y")</f>
        <v>517.70000000000005</v>
      </c>
      <c r="D43" s="19">
        <f>_xll.BDH("FIS US Equity","NI_INCLUDING_MINORITY_INT_RATIO","FY 2014","FY 2014","Currency=USD","Period=FY","BEST_FPERIOD_OVERRIDE=FY","FILING_STATUS=MR","SCALING_FORMAT=MLN","FA_ADJUSTED=GAAP","Sort=A","Dates=H","DateFormat=P","Fill=—","Direction=H","UseDPDF=Y")</f>
        <v>707</v>
      </c>
      <c r="E43" s="19">
        <f>_xll.BDH("FIS US Equity","NI_INCLUDING_MINORITY_INT_RATIO","FY 2015","FY 2015","Currency=USD","Period=FY","BEST_FPERIOD_OVERRIDE=FY","FILING_STATUS=MR","SCALING_FORMAT=MLN","FA_ADJUSTED=GAAP","Sort=A","Dates=H","DateFormat=P","Fill=—","Direction=H","UseDPDF=Y")</f>
        <v>651</v>
      </c>
      <c r="F43" s="19">
        <f>_xll.BDH("FIS US Equity","NI_INCLUDING_MINORITY_INT_RATIO","FY 2016","FY 2016","Currency=USD","Period=FY","BEST_FPERIOD_OVERRIDE=FY","FILING_STATUS=MR","SCALING_FORMAT=MLN","FA_ADJUSTED=GAAP","Sort=A","Dates=H","DateFormat=P","Fill=—","Direction=H","UseDPDF=Y")</f>
        <v>547</v>
      </c>
      <c r="G43" s="19">
        <f>_xll.BDH("FIS US Equity","NI_INCLUDING_MINORITY_INT_RATIO","FY 2017","FY 2017","Currency=USD","Period=FY","BEST_FPERIOD_OVERRIDE=FY","FILING_STATUS=MR","SCALING_FORMAT=MLN","FA_ADJUSTED=GAAP","Sort=A","Dates=H","DateFormat=P","Fill=—","Direction=H","UseDPDF=Y")</f>
        <v>1294</v>
      </c>
      <c r="H43" s="19">
        <f>_xll.BDH("FIS US Equity","NI_INCLUDING_MINORITY_INT_RATIO","FY 2018","FY 2018","Currency=USD","Period=FY","BEST_FPERIOD_OVERRIDE=FY","FILING_STATUS=MR","SCALING_FORMAT=MLN","FA_ADJUSTED=GAAP","Sort=A","Dates=H","DateFormat=P","Fill=—","Direction=H","UseDPDF=Y")</f>
        <v>881</v>
      </c>
      <c r="I43" s="19">
        <f>_xll.BDH("FIS US Equity","NI_INCLUDING_MINORITY_INT_RATIO","FY 2019","FY 2019","Currency=USD","Period=FY","BEST_FPERIOD_OVERRIDE=FY","FILING_STATUS=MR","SCALING_FORMAT=MLN","FA_ADJUSTED=GAAP","Sort=A","Dates=H","DateFormat=P","Fill=—","Direction=H","UseDPDF=Y")</f>
        <v>303</v>
      </c>
      <c r="J43" s="22">
        <v>-96</v>
      </c>
      <c r="K43" s="19"/>
      <c r="L43" s="19"/>
    </row>
    <row r="44" spans="1:12" x14ac:dyDescent="0.45">
      <c r="A44" s="10" t="s">
        <v>100</v>
      </c>
      <c r="B44" s="10" t="s">
        <v>101</v>
      </c>
      <c r="C44" s="13">
        <f>_xll.BDH("FIS US Equity","MIN_NONCONTROL_INTEREST_CREDITS","FY 2013","FY 2013","Currency=USD","Period=FY","BEST_FPERIOD_OVERRIDE=FY","FILING_STATUS=MR","SCALING_FORMAT=MLN","FA_ADJUSTED=GAAP","Sort=A","Dates=H","DateFormat=P","Fill=—","Direction=H","UseDPDF=Y")</f>
        <v>24.6</v>
      </c>
      <c r="D44" s="13">
        <f>_xll.BDH("FIS US Equity","MIN_NONCONTROL_INTEREST_CREDITS","FY 2014","FY 2014","Currency=USD","Period=FY","BEST_FPERIOD_OVERRIDE=FY","FILING_STATUS=MR","SCALING_FORMAT=MLN","FA_ADJUSTED=GAAP","Sort=A","Dates=H","DateFormat=P","Fill=—","Direction=H","UseDPDF=Y")</f>
        <v>28</v>
      </c>
      <c r="E44" s="13">
        <f>_xll.BDH("FIS US Equity","MIN_NONCONTROL_INTEREST_CREDITS","FY 2015","FY 2015","Currency=USD","Period=FY","BEST_FPERIOD_OVERRIDE=FY","FILING_STATUS=MR","SCALING_FORMAT=MLN","FA_ADJUSTED=GAAP","Sort=A","Dates=H","DateFormat=P","Fill=—","Direction=H","UseDPDF=Y")</f>
        <v>19</v>
      </c>
      <c r="F44" s="13">
        <f>_xll.BDH("FIS US Equity","MIN_NONCONTROL_INTEREST_CREDITS","FY 2016","FY 2016","Currency=USD","Period=FY","BEST_FPERIOD_OVERRIDE=FY","FILING_STATUS=MR","SCALING_FORMAT=MLN","FA_ADJUSTED=GAAP","Sort=A","Dates=H","DateFormat=P","Fill=—","Direction=H","UseDPDF=Y")</f>
        <v>22</v>
      </c>
      <c r="G44" s="13">
        <f>_xll.BDH("FIS US Equity","MIN_NONCONTROL_INTEREST_CREDITS","FY 2017","FY 2017","Currency=USD","Period=FY","BEST_FPERIOD_OVERRIDE=FY","FILING_STATUS=MR","SCALING_FORMAT=MLN","FA_ADJUSTED=GAAP","Sort=A","Dates=H","DateFormat=P","Fill=—","Direction=H","UseDPDF=Y")</f>
        <v>33</v>
      </c>
      <c r="H44" s="13">
        <f>_xll.BDH("FIS US Equity","MIN_NONCONTROL_INTEREST_CREDITS","FY 2018","FY 2018","Currency=USD","Period=FY","BEST_FPERIOD_OVERRIDE=FY","FILING_STATUS=MR","SCALING_FORMAT=MLN","FA_ADJUSTED=GAAP","Sort=A","Dates=H","DateFormat=P","Fill=—","Direction=H","UseDPDF=Y")</f>
        <v>35</v>
      </c>
      <c r="I44" s="13">
        <f>_xll.BDH("FIS US Equity","MIN_NONCONTROL_INTEREST_CREDITS","FY 2019","FY 2019","Currency=USD","Period=FY","BEST_FPERIOD_OVERRIDE=FY","FILING_STATUS=MR","SCALING_FORMAT=MLN","FA_ADJUSTED=GAAP","Sort=A","Dates=H","DateFormat=P","Fill=—","Direction=H","UseDPDF=Y")</f>
        <v>5</v>
      </c>
      <c r="J44" s="16">
        <v>8</v>
      </c>
      <c r="K44" s="13"/>
      <c r="L44" s="13"/>
    </row>
    <row r="45" spans="1:12" x14ac:dyDescent="0.45">
      <c r="A45" s="6" t="s">
        <v>102</v>
      </c>
      <c r="B45" s="6" t="s">
        <v>103</v>
      </c>
      <c r="C45" s="19">
        <f>_xll.BDH("FIS US Equity","NET_INCOME","FY 2013","FY 2013","Currency=USD","Period=FY","BEST_FPERIOD_OVERRIDE=FY","FILING_STATUS=MR","SCALING_FORMAT=MLN","FA_ADJUSTED=GAAP","Sort=A","Dates=H","DateFormat=P","Fill=—","Direction=H","UseDPDF=Y")</f>
        <v>493.1</v>
      </c>
      <c r="D45" s="19">
        <f>_xll.BDH("FIS US Equity","NET_INCOME","FY 2014","FY 2014","Currency=USD","Period=FY","BEST_FPERIOD_OVERRIDE=FY","FILING_STATUS=MR","SCALING_FORMAT=MLN","FA_ADJUSTED=GAAP","Sort=A","Dates=H","DateFormat=P","Fill=—","Direction=H","UseDPDF=Y")</f>
        <v>679</v>
      </c>
      <c r="E45" s="19">
        <f>_xll.BDH("FIS US Equity","NET_INCOME","FY 2015","FY 2015","Currency=USD","Period=FY","BEST_FPERIOD_OVERRIDE=FY","FILING_STATUS=MR","SCALING_FORMAT=MLN","FA_ADJUSTED=GAAP","Sort=A","Dates=H","DateFormat=P","Fill=—","Direction=H","UseDPDF=Y")</f>
        <v>632</v>
      </c>
      <c r="F45" s="19">
        <f>_xll.BDH("FIS US Equity","NET_INCOME","FY 2016","FY 2016","Currency=USD","Period=FY","BEST_FPERIOD_OVERRIDE=FY","FILING_STATUS=MR","SCALING_FORMAT=MLN","FA_ADJUSTED=GAAP","Sort=A","Dates=H","DateFormat=P","Fill=—","Direction=H","UseDPDF=Y")</f>
        <v>525</v>
      </c>
      <c r="G45" s="19">
        <f>_xll.BDH("FIS US Equity","NET_INCOME","FY 2017","FY 2017","Currency=USD","Period=FY","BEST_FPERIOD_OVERRIDE=FY","FILING_STATUS=MR","SCALING_FORMAT=MLN","FA_ADJUSTED=GAAP","Sort=A","Dates=H","DateFormat=P","Fill=—","Direction=H","UseDPDF=Y")</f>
        <v>1261</v>
      </c>
      <c r="H45" s="19">
        <f>_xll.BDH("FIS US Equity","NET_INCOME","FY 2018","FY 2018","Currency=USD","Period=FY","BEST_FPERIOD_OVERRIDE=FY","FILING_STATUS=MR","SCALING_FORMAT=MLN","FA_ADJUSTED=GAAP","Sort=A","Dates=H","DateFormat=P","Fill=—","Direction=H","UseDPDF=Y")</f>
        <v>846</v>
      </c>
      <c r="I45" s="19">
        <f>_xll.BDH("FIS US Equity","NET_INCOME","FY 2019","FY 2019","Currency=USD","Period=FY","BEST_FPERIOD_OVERRIDE=FY","FILING_STATUS=MR","SCALING_FORMAT=MLN","FA_ADJUSTED=GAAP","Sort=A","Dates=H","DateFormat=P","Fill=—","Direction=H","UseDPDF=Y")</f>
        <v>298</v>
      </c>
      <c r="J45" s="22">
        <v>-104</v>
      </c>
      <c r="K45" s="19">
        <v>312.27300000000002</v>
      </c>
      <c r="L45" s="19">
        <v>1245.182</v>
      </c>
    </row>
    <row r="46" spans="1:12" x14ac:dyDescent="0.45">
      <c r="A46" s="10" t="s">
        <v>104</v>
      </c>
      <c r="B46" s="10" t="s">
        <v>105</v>
      </c>
      <c r="C46" s="13">
        <f>_xll.BDH("FIS US Equity","IS_TOT_CASH_PFD_DVD","FY 2013","FY 2013","Currency=USD","Period=FY","BEST_FPERIOD_OVERRIDE=FY","FILING_STATUS=MR","SCALING_FORMAT=MLN","Sort=A","Dates=H","DateFormat=P","Fill=—","Direction=H","UseDPDF=Y")</f>
        <v>0</v>
      </c>
      <c r="D46" s="13">
        <f>_xll.BDH("FIS US Equity","IS_TOT_CASH_PFD_DVD","FY 2014","FY 2014","Currency=USD","Period=FY","BEST_FPERIOD_OVERRIDE=FY","FILING_STATUS=MR","SCALING_FORMAT=MLN","Sort=A","Dates=H","DateFormat=P","Fill=—","Direction=H","UseDPDF=Y")</f>
        <v>0</v>
      </c>
      <c r="E46" s="13">
        <f>_xll.BDH("FIS US Equity","IS_TOT_CASH_PFD_DVD","FY 2015","FY 2015","Currency=USD","Period=FY","BEST_FPERIOD_OVERRIDE=FY","FILING_STATUS=MR","SCALING_FORMAT=MLN","Sort=A","Dates=H","DateFormat=P","Fill=—","Direction=H","UseDPDF=Y")</f>
        <v>0</v>
      </c>
      <c r="F46" s="13">
        <f>_xll.BDH("FIS US Equity","IS_TOT_CASH_PFD_DVD","FY 2016","FY 2016","Currency=USD","Period=FY","BEST_FPERIOD_OVERRIDE=FY","FILING_STATUS=MR","SCALING_FORMAT=MLN","Sort=A","Dates=H","DateFormat=P","Fill=—","Direction=H","UseDPDF=Y")</f>
        <v>0</v>
      </c>
      <c r="G46" s="13">
        <f>_xll.BDH("FIS US Equity","IS_TOT_CASH_PFD_DVD","FY 2017","FY 2017","Currency=USD","Period=FY","BEST_FPERIOD_OVERRIDE=FY","FILING_STATUS=MR","SCALING_FORMAT=MLN","Sort=A","Dates=H","DateFormat=P","Fill=—","Direction=H","UseDPDF=Y")</f>
        <v>0</v>
      </c>
      <c r="H46" s="13">
        <f>_xll.BDH("FIS US Equity","IS_TOT_CASH_PFD_DVD","FY 2018","FY 2018","Currency=USD","Period=FY","BEST_FPERIOD_OVERRIDE=FY","FILING_STATUS=MR","SCALING_FORMAT=MLN","Sort=A","Dates=H","DateFormat=P","Fill=—","Direction=H","UseDPDF=Y")</f>
        <v>0</v>
      </c>
      <c r="I46" s="13">
        <f>_xll.BDH("FIS US Equity","IS_TOT_CASH_PFD_DVD","FY 2019","FY 2019","Currency=USD","Period=FY","BEST_FPERIOD_OVERRIDE=FY","FILING_STATUS=MR","SCALING_FORMAT=MLN","Sort=A","Dates=H","DateFormat=P","Fill=—","Direction=H","UseDPDF=Y")</f>
        <v>0</v>
      </c>
      <c r="J46" s="16">
        <v>0</v>
      </c>
      <c r="K46" s="13"/>
      <c r="L46" s="13"/>
    </row>
    <row r="47" spans="1:12" x14ac:dyDescent="0.45">
      <c r="A47" s="10" t="s">
        <v>106</v>
      </c>
      <c r="B47" s="10" t="s">
        <v>107</v>
      </c>
      <c r="C47" s="13">
        <f>_xll.BDH("FIS US Equity","OTHER_ADJUSTMENTS","FY 2013","FY 2013","Currency=USD","Period=FY","BEST_FPERIOD_OVERRIDE=FY","FILING_STATUS=MR","SCALING_FORMAT=MLN","Sort=A","Dates=H","DateFormat=P","Fill=—","Direction=H","UseDPDF=Y")</f>
        <v>0</v>
      </c>
      <c r="D47" s="13">
        <f>_xll.BDH("FIS US Equity","OTHER_ADJUSTMENTS","FY 2014","FY 2014","Currency=USD","Period=FY","BEST_FPERIOD_OVERRIDE=FY","FILING_STATUS=MR","SCALING_FORMAT=MLN","Sort=A","Dates=H","DateFormat=P","Fill=—","Direction=H","UseDPDF=Y")</f>
        <v>0</v>
      </c>
      <c r="E47" s="13">
        <f>_xll.BDH("FIS US Equity","OTHER_ADJUSTMENTS","FY 2015","FY 2015","Currency=USD","Period=FY","BEST_FPERIOD_OVERRIDE=FY","FILING_STATUS=MR","SCALING_FORMAT=MLN","Sort=A","Dates=H","DateFormat=P","Fill=—","Direction=H","UseDPDF=Y")</f>
        <v>0</v>
      </c>
      <c r="F47" s="13">
        <f>_xll.BDH("FIS US Equity","OTHER_ADJUSTMENTS","FY 2016","FY 2016","Currency=USD","Period=FY","BEST_FPERIOD_OVERRIDE=FY","FILING_STATUS=MR","SCALING_FORMAT=MLN","Sort=A","Dates=H","DateFormat=P","Fill=—","Direction=H","UseDPDF=Y")</f>
        <v>0</v>
      </c>
      <c r="G47" s="13">
        <f>_xll.BDH("FIS US Equity","OTHER_ADJUSTMENTS","FY 2017","FY 2017","Currency=USD","Period=FY","BEST_FPERIOD_OVERRIDE=FY","FILING_STATUS=MR","SCALING_FORMAT=MLN","Sort=A","Dates=H","DateFormat=P","Fill=—","Direction=H","UseDPDF=Y")</f>
        <v>0</v>
      </c>
      <c r="H47" s="13">
        <f>_xll.BDH("FIS US Equity","OTHER_ADJUSTMENTS","FY 2018","FY 2018","Currency=USD","Period=FY","BEST_FPERIOD_OVERRIDE=FY","FILING_STATUS=MR","SCALING_FORMAT=MLN","Sort=A","Dates=H","DateFormat=P","Fill=—","Direction=H","UseDPDF=Y")</f>
        <v>0</v>
      </c>
      <c r="I47" s="13">
        <f>_xll.BDH("FIS US Equity","OTHER_ADJUSTMENTS","FY 2019","FY 2019","Currency=USD","Period=FY","BEST_FPERIOD_OVERRIDE=FY","FILING_STATUS=MR","SCALING_FORMAT=MLN","Sort=A","Dates=H","DateFormat=P","Fill=—","Direction=H","UseDPDF=Y")</f>
        <v>0</v>
      </c>
      <c r="J47" s="16">
        <v>0</v>
      </c>
      <c r="K47" s="13"/>
      <c r="L47" s="13"/>
    </row>
    <row r="48" spans="1:12" x14ac:dyDescent="0.45">
      <c r="A48" s="6" t="s">
        <v>108</v>
      </c>
      <c r="B48" s="6" t="s">
        <v>109</v>
      </c>
      <c r="C48" s="19">
        <f>_xll.BDH("FIS US Equity","EARN_FOR_COMMON","FY 2013","FY 2013","Currency=USD","Period=FY","BEST_FPERIOD_OVERRIDE=FY","FILING_STATUS=MR","SCALING_FORMAT=MLN","FA_ADJUSTED=GAAP","Sort=A","Dates=H","DateFormat=P","Fill=—","Direction=H","UseDPDF=Y")</f>
        <v>493.1</v>
      </c>
      <c r="D48" s="19">
        <f>_xll.BDH("FIS US Equity","EARN_FOR_COMMON","FY 2014","FY 2014","Currency=USD","Period=FY","BEST_FPERIOD_OVERRIDE=FY","FILING_STATUS=MR","SCALING_FORMAT=MLN","FA_ADJUSTED=GAAP","Sort=A","Dates=H","DateFormat=P","Fill=—","Direction=H","UseDPDF=Y")</f>
        <v>679</v>
      </c>
      <c r="E48" s="19">
        <f>_xll.BDH("FIS US Equity","EARN_FOR_COMMON","FY 2015","FY 2015","Currency=USD","Period=FY","BEST_FPERIOD_OVERRIDE=FY","FILING_STATUS=MR","SCALING_FORMAT=MLN","FA_ADJUSTED=GAAP","Sort=A","Dates=H","DateFormat=P","Fill=—","Direction=H","UseDPDF=Y")</f>
        <v>632</v>
      </c>
      <c r="F48" s="19">
        <f>_xll.BDH("FIS US Equity","EARN_FOR_COMMON","FY 2016","FY 2016","Currency=USD","Period=FY","BEST_FPERIOD_OVERRIDE=FY","FILING_STATUS=MR","SCALING_FORMAT=MLN","FA_ADJUSTED=GAAP","Sort=A","Dates=H","DateFormat=P","Fill=—","Direction=H","UseDPDF=Y")</f>
        <v>525</v>
      </c>
      <c r="G48" s="19">
        <f>_xll.BDH("FIS US Equity","EARN_FOR_COMMON","FY 2017","FY 2017","Currency=USD","Period=FY","BEST_FPERIOD_OVERRIDE=FY","FILING_STATUS=MR","SCALING_FORMAT=MLN","FA_ADJUSTED=GAAP","Sort=A","Dates=H","DateFormat=P","Fill=—","Direction=H","UseDPDF=Y")</f>
        <v>1261</v>
      </c>
      <c r="H48" s="19">
        <f>_xll.BDH("FIS US Equity","EARN_FOR_COMMON","FY 2018","FY 2018","Currency=USD","Period=FY","BEST_FPERIOD_OVERRIDE=FY","FILING_STATUS=MR","SCALING_FORMAT=MLN","FA_ADJUSTED=GAAP","Sort=A","Dates=H","DateFormat=P","Fill=—","Direction=H","UseDPDF=Y")</f>
        <v>846</v>
      </c>
      <c r="I48" s="19">
        <f>_xll.BDH("FIS US Equity","EARN_FOR_COMMON","FY 2019","FY 2019","Currency=USD","Period=FY","BEST_FPERIOD_OVERRIDE=FY","FILING_STATUS=MR","SCALING_FORMAT=MLN","FA_ADJUSTED=GAAP","Sort=A","Dates=H","DateFormat=P","Fill=—","Direction=H","UseDPDF=Y")</f>
        <v>298</v>
      </c>
      <c r="J48" s="22">
        <v>-104</v>
      </c>
      <c r="K48" s="19">
        <v>312.27300000000002</v>
      </c>
      <c r="L48" s="19">
        <v>1245.182</v>
      </c>
    </row>
    <row r="49" spans="1:12" x14ac:dyDescent="0.45">
      <c r="A49" s="6"/>
      <c r="B49" s="18"/>
      <c r="C49" s="18"/>
      <c r="D49" s="18"/>
      <c r="E49" s="18"/>
      <c r="F49" s="18"/>
      <c r="G49" s="18"/>
      <c r="H49" s="18"/>
      <c r="I49" s="18"/>
      <c r="J49" s="21"/>
      <c r="K49" s="18"/>
      <c r="L49" s="18"/>
    </row>
    <row r="50" spans="1:12" x14ac:dyDescent="0.45">
      <c r="A50" s="6" t="s">
        <v>110</v>
      </c>
      <c r="B50" s="6" t="s">
        <v>109</v>
      </c>
      <c r="C50" s="19">
        <f>_xll.BDH("FIS US Equity","EARN_FOR_COMMON","FY 2013","FY 2013","Currency=USD","Period=FY","BEST_FPERIOD_OVERRIDE=FY","FILING_STATUS=MR","SCALING_FORMAT=MLN","FA_ADJUSTED=Adjusted","Sort=A","Dates=H","DateFormat=P","Fill=—","Direction=H","UseDPDF=Y")</f>
        <v>674.82</v>
      </c>
      <c r="D50" s="19">
        <f>_xll.BDH("FIS US Equity","EARN_FOR_COMMON","FY 2014","FY 2014","Currency=USD","Period=FY","BEST_FPERIOD_OVERRIDE=FY","FILING_STATUS=MR","SCALING_FORMAT=MLN","FA_ADJUSTED=Adjusted","Sort=A","Dates=H","DateFormat=P","Fill=—","Direction=H","UseDPDF=Y")</f>
        <v>748.3</v>
      </c>
      <c r="E50" s="19">
        <f>_xll.BDH("FIS US Equity","EARN_FOR_COMMON","FY 2015","FY 2015","Currency=USD","Period=FY","BEST_FPERIOD_OVERRIDE=FY","FILING_STATUS=MR","SCALING_FORMAT=MLN","FA_ADJUSTED=Adjusted","Sort=A","Dates=H","DateFormat=P","Fill=—","Direction=H","UseDPDF=Y")</f>
        <v>749.16970000000003</v>
      </c>
      <c r="F50" s="19">
        <f>_xll.BDH("FIS US Equity","EARN_FOR_COMMON","FY 2016","FY 2016","Currency=USD","Period=FY","BEST_FPERIOD_OVERRIDE=FY","FILING_STATUS=MR","SCALING_FORMAT=MLN","FA_ADJUSTED=Adjusted","Sort=A","Dates=H","DateFormat=P","Fill=—","Direction=H","UseDPDF=Y")</f>
        <v>-17.703900000000001</v>
      </c>
      <c r="G50" s="19">
        <f>_xll.BDH("FIS US Equity","EARN_FOR_COMMON","FY 2017","FY 2017","Currency=USD","Period=FY","BEST_FPERIOD_OVERRIDE=FY","FILING_STATUS=MR","SCALING_FORMAT=MLN","FA_ADJUSTED=Adjusted","Sort=A","Dates=H","DateFormat=P","Fill=—","Direction=H","UseDPDF=Y")</f>
        <v>1526.2192</v>
      </c>
      <c r="H50" s="19">
        <f>_xll.BDH("FIS US Equity","EARN_FOR_COMMON","FY 2018","FY 2018","Currency=USD","Period=FY","BEST_FPERIOD_OVERRIDE=FY","FILING_STATUS=MR","SCALING_FORMAT=MLN","FA_ADJUSTED=Adjusted","Sort=A","Dates=H","DateFormat=P","Fill=—","Direction=H","UseDPDF=Y")</f>
        <v>1106.3869</v>
      </c>
      <c r="I50" s="19">
        <f>_xll.BDH("FIS US Equity","EARN_FOR_COMMON","FY 2019","FY 2019","Currency=USD","Period=FY","BEST_FPERIOD_OVERRIDE=FY","FILING_STATUS=MR","SCALING_FORMAT=MLN","FA_ADJUSTED=Adjusted","Sort=A","Dates=H","DateFormat=P","Fill=—","Direction=H","UseDPDF=Y")</f>
        <v>1105.4266</v>
      </c>
      <c r="J50" s="22">
        <v>1079.16492317234</v>
      </c>
      <c r="K50" s="19">
        <v>3393.364</v>
      </c>
      <c r="L50" s="19">
        <v>4027.7739999999999</v>
      </c>
    </row>
    <row r="51" spans="1:12" x14ac:dyDescent="0.45">
      <c r="A51" s="10" t="s">
        <v>111</v>
      </c>
      <c r="B51" s="10" t="s">
        <v>112</v>
      </c>
      <c r="C51" s="13">
        <f>_xll.BDH("FIS US Equity","IS_NET_ABNORMAL_ITEMS","FY 2013","FY 2013","Currency=USD","Period=FY","BEST_FPERIOD_OVERRIDE=FY","FILING_STATUS=MR","SCALING_FORMAT=MLN","Sort=A","Dates=H","DateFormat=P","Fill=—","Direction=H","UseDPDF=Y")</f>
        <v>184.82</v>
      </c>
      <c r="D51" s="13">
        <f>_xll.BDH("FIS US Equity","IS_NET_ABNORMAL_ITEMS","FY 2014","FY 2014","Currency=USD","Period=FY","BEST_FPERIOD_OVERRIDE=FY","FILING_STATUS=MR","SCALING_FORMAT=MLN","Sort=A","Dates=H","DateFormat=P","Fill=—","Direction=H","UseDPDF=Y")</f>
        <v>58.3</v>
      </c>
      <c r="E51" s="13">
        <f>_xll.BDH("FIS US Equity","IS_NET_ABNORMAL_ITEMS","FY 2015","FY 2015","Currency=USD","Period=FY","BEST_FPERIOD_OVERRIDE=FY","FILING_STATUS=MR","SCALING_FORMAT=MLN","Sort=A","Dates=H","DateFormat=P","Fill=—","Direction=H","UseDPDF=Y")</f>
        <v>110.16970000000001</v>
      </c>
      <c r="F51" s="13">
        <f>_xll.BDH("FIS US Equity","IS_NET_ABNORMAL_ITEMS","FY 2016","FY 2016","Currency=USD","Period=FY","BEST_FPERIOD_OVERRIDE=FY","FILING_STATUS=MR","SCALING_FORMAT=MLN","Sort=A","Dates=H","DateFormat=P","Fill=—","Direction=H","UseDPDF=Y")</f>
        <v>-541.70389999999998</v>
      </c>
      <c r="G51" s="13">
        <f>_xll.BDH("FIS US Equity","IS_NET_ABNORMAL_ITEMS","FY 2017","FY 2017","Currency=USD","Period=FY","BEST_FPERIOD_OVERRIDE=FY","FILING_STATUS=MR","SCALING_FORMAT=MLN","Sort=A","Dates=H","DateFormat=P","Fill=—","Direction=H","UseDPDF=Y")</f>
        <v>265.2192</v>
      </c>
      <c r="H51" s="13">
        <f>_xll.BDH("FIS US Equity","IS_NET_ABNORMAL_ITEMS","FY 2018","FY 2018","Currency=USD","Period=FY","BEST_FPERIOD_OVERRIDE=FY","FILING_STATUS=MR","SCALING_FORMAT=MLN","Sort=A","Dates=H","DateFormat=P","Fill=—","Direction=H","UseDPDF=Y")</f>
        <v>260.38690000000003</v>
      </c>
      <c r="I51" s="13">
        <f>_xll.BDH("FIS US Equity","IS_NET_ABNORMAL_ITEMS","FY 2019","FY 2019","Currency=USD","Period=FY","BEST_FPERIOD_OVERRIDE=FY","FILING_STATUS=MR","SCALING_FORMAT=MLN","Sort=A","Dates=H","DateFormat=P","Fill=—","Direction=H","UseDPDF=Y")</f>
        <v>807.42660000000001</v>
      </c>
      <c r="J51" s="16">
        <v>1183.16491980929</v>
      </c>
      <c r="K51" s="13"/>
      <c r="L51" s="13"/>
    </row>
    <row r="52" spans="1:12" x14ac:dyDescent="0.45">
      <c r="A52" s="10" t="s">
        <v>113</v>
      </c>
      <c r="B52" s="10" t="s">
        <v>93</v>
      </c>
      <c r="C52" s="13">
        <f>_xll.BDH("FIS US Equity","XO_GL_NET_OF_TAX","FY 2013","FY 2013","Currency=USD","Period=FY","BEST_FPERIOD_OVERRIDE=FY","FILING_STATUS=MR","SCALING_FORMAT=MLN","Sort=A","Dates=H","DateFormat=P","Fill=—","Direction=H","UseDPDF=Y")</f>
        <v>-3.1</v>
      </c>
      <c r="D52" s="13">
        <f>_xll.BDH("FIS US Equity","XO_GL_NET_OF_TAX","FY 2014","FY 2014","Currency=USD","Period=FY","BEST_FPERIOD_OVERRIDE=FY","FILING_STATUS=MR","SCALING_FORMAT=MLN","Sort=A","Dates=H","DateFormat=P","Fill=—","Direction=H","UseDPDF=Y")</f>
        <v>11</v>
      </c>
      <c r="E52" s="13">
        <f>_xll.BDH("FIS US Equity","XO_GL_NET_OF_TAX","FY 2015","FY 2015","Currency=USD","Period=FY","BEST_FPERIOD_OVERRIDE=FY","FILING_STATUS=MR","SCALING_FORMAT=MLN","Sort=A","Dates=H","DateFormat=P","Fill=—","Direction=H","UseDPDF=Y")</f>
        <v>7</v>
      </c>
      <c r="F52" s="13">
        <f>_xll.BDH("FIS US Equity","XO_GL_NET_OF_TAX","FY 2016","FY 2016","Currency=USD","Period=FY","BEST_FPERIOD_OVERRIDE=FY","FILING_STATUS=MR","SCALING_FORMAT=MLN","Sort=A","Dates=H","DateFormat=P","Fill=—","Direction=H","UseDPDF=Y")</f>
        <v>-1</v>
      </c>
      <c r="G52" s="13">
        <f>_xll.BDH("FIS US Equity","XO_GL_NET_OF_TAX","FY 2017","FY 2017","Currency=USD","Period=FY","BEST_FPERIOD_OVERRIDE=FY","FILING_STATUS=MR","SCALING_FORMAT=MLN","Sort=A","Dates=H","DateFormat=P","Fill=—","Direction=H","UseDPDF=Y")</f>
        <v>0</v>
      </c>
      <c r="H52" s="13">
        <f>_xll.BDH("FIS US Equity","XO_GL_NET_OF_TAX","FY 2018","FY 2018","Currency=USD","Period=FY","BEST_FPERIOD_OVERRIDE=FY","FILING_STATUS=MR","SCALING_FORMAT=MLN","Sort=A","Dates=H","DateFormat=P","Fill=—","Direction=H","UseDPDF=Y")</f>
        <v>0</v>
      </c>
      <c r="I52" s="13">
        <f>_xll.BDH("FIS US Equity","XO_GL_NET_OF_TAX","FY 2019","FY 2019","Currency=USD","Period=FY","BEST_FPERIOD_OVERRIDE=FY","FILING_STATUS=MR","SCALING_FORMAT=MLN","Sort=A","Dates=H","DateFormat=P","Fill=—","Direction=H","UseDPDF=Y")</f>
        <v>0</v>
      </c>
      <c r="J52" s="16">
        <v>0</v>
      </c>
      <c r="K52" s="13"/>
      <c r="L52" s="13"/>
    </row>
    <row r="53" spans="1:12" x14ac:dyDescent="0.45">
      <c r="A53" s="6"/>
      <c r="B53" s="18"/>
      <c r="C53" s="18"/>
      <c r="D53" s="18"/>
      <c r="E53" s="18"/>
      <c r="F53" s="18"/>
      <c r="G53" s="18"/>
      <c r="H53" s="18"/>
      <c r="I53" s="18"/>
      <c r="J53" s="21"/>
      <c r="K53" s="18"/>
      <c r="L53" s="18"/>
    </row>
    <row r="54" spans="1:12" x14ac:dyDescent="0.45">
      <c r="A54" s="10" t="s">
        <v>114</v>
      </c>
      <c r="B54" s="10" t="s">
        <v>115</v>
      </c>
      <c r="C54" s="13">
        <f>_xll.BDH("FIS US Equity","IS_AVG_NUM_SH_FOR_EPS","FY 2013","FY 2013","Currency=USD","Period=FY","BEST_FPERIOD_OVERRIDE=FY","FILING_STATUS=MR","Sort=A","Dates=H","DateFormat=P","Fill=—","Direction=H","UseDPDF=Y")</f>
        <v>289.7</v>
      </c>
      <c r="D54" s="13">
        <f>_xll.BDH("FIS US Equity","IS_AVG_NUM_SH_FOR_EPS","FY 2014","FY 2014","Currency=USD","Period=FY","BEST_FPERIOD_OVERRIDE=FY","FILING_STATUS=MR","Sort=A","Dates=H","DateFormat=P","Fill=—","Direction=H","UseDPDF=Y")</f>
        <v>285</v>
      </c>
      <c r="E54" s="13">
        <f>_xll.BDH("FIS US Equity","IS_AVG_NUM_SH_FOR_EPS","FY 2015","FY 2015","Currency=USD","Period=FY","BEST_FPERIOD_OVERRIDE=FY","FILING_STATUS=MR","Sort=A","Dates=H","DateFormat=P","Fill=—","Direction=H","UseDPDF=Y")</f>
        <v>285</v>
      </c>
      <c r="F54" s="13">
        <f>_xll.BDH("FIS US Equity","IS_AVG_NUM_SH_FOR_EPS","FY 2016","FY 2016","Currency=USD","Period=FY","BEST_FPERIOD_OVERRIDE=FY","FILING_STATUS=MR","Sort=A","Dates=H","DateFormat=P","Fill=—","Direction=H","UseDPDF=Y")</f>
        <v>326</v>
      </c>
      <c r="G54" s="13">
        <f>_xll.BDH("FIS US Equity","IS_AVG_NUM_SH_FOR_EPS","FY 2017","FY 2017","Currency=USD","Period=FY","BEST_FPERIOD_OVERRIDE=FY","FILING_STATUS=MR","Sort=A","Dates=H","DateFormat=P","Fill=—","Direction=H","UseDPDF=Y")</f>
        <v>330</v>
      </c>
      <c r="H54" s="13">
        <f>_xll.BDH("FIS US Equity","IS_AVG_NUM_SH_FOR_EPS","FY 2018","FY 2018","Currency=USD","Period=FY","BEST_FPERIOD_OVERRIDE=FY","FILING_STATUS=MR","Sort=A","Dates=H","DateFormat=P","Fill=—","Direction=H","UseDPDF=Y")</f>
        <v>328</v>
      </c>
      <c r="I54" s="13">
        <f>_xll.BDH("FIS US Equity","IS_AVG_NUM_SH_FOR_EPS","FY 2019","FY 2019","Currency=USD","Period=FY","BEST_FPERIOD_OVERRIDE=FY","FILING_STATUS=MR","Sort=A","Dates=H","DateFormat=P","Fill=—","Direction=H","UseDPDF=Y")</f>
        <v>445</v>
      </c>
      <c r="J54" s="16">
        <v>620</v>
      </c>
      <c r="K54" s="13"/>
      <c r="L54" s="13"/>
    </row>
    <row r="55" spans="1:12" x14ac:dyDescent="0.45">
      <c r="A55" s="6" t="s">
        <v>116</v>
      </c>
      <c r="B55" s="6" t="s">
        <v>117</v>
      </c>
      <c r="C55" s="20">
        <f>_xll.BDH("FIS US Equity","IS_EPS","FY 2013","FY 2013","Currency=USD","Period=FY","BEST_FPERIOD_OVERRIDE=FY","FILING_STATUS=MR","FA_ADJUSTED=GAAP","Sort=A","Dates=H","DateFormat=P","Fill=—","Direction=H","UseDPDF=Y")</f>
        <v>1.7</v>
      </c>
      <c r="D55" s="20">
        <f>_xll.BDH("FIS US Equity","IS_EPS","FY 2014","FY 2014","Currency=USD","Period=FY","BEST_FPERIOD_OVERRIDE=FY","FILING_STATUS=MR","FA_ADJUSTED=GAAP","Sort=A","Dates=H","DateFormat=P","Fill=—","Direction=H","UseDPDF=Y")</f>
        <v>2.38</v>
      </c>
      <c r="E55" s="20">
        <f>_xll.BDH("FIS US Equity","IS_EPS","FY 2015","FY 2015","Currency=USD","Period=FY","BEST_FPERIOD_OVERRIDE=FY","FILING_STATUS=MR","FA_ADJUSTED=GAAP","Sort=A","Dates=H","DateFormat=P","Fill=—","Direction=H","UseDPDF=Y")</f>
        <v>2.2200000000000002</v>
      </c>
      <c r="F55" s="20">
        <f>_xll.BDH("FIS US Equity","IS_EPS","FY 2016","FY 2016","Currency=USD","Period=FY","BEST_FPERIOD_OVERRIDE=FY","FILING_STATUS=MR","FA_ADJUSTED=GAAP","Sort=A","Dates=H","DateFormat=P","Fill=—","Direction=H","UseDPDF=Y")</f>
        <v>1.6099999999999999</v>
      </c>
      <c r="G55" s="20">
        <f>_xll.BDH("FIS US Equity","IS_EPS","FY 2017","FY 2017","Currency=USD","Period=FY","BEST_FPERIOD_OVERRIDE=FY","FILING_STATUS=MR","FA_ADJUSTED=GAAP","Sort=A","Dates=H","DateFormat=P","Fill=—","Direction=H","UseDPDF=Y")</f>
        <v>3.82</v>
      </c>
      <c r="H55" s="20">
        <f>_xll.BDH("FIS US Equity","IS_EPS","FY 2018","FY 2018","Currency=USD","Period=FY","BEST_FPERIOD_OVERRIDE=FY","FILING_STATUS=MR","FA_ADJUSTED=GAAP","Sort=A","Dates=H","DateFormat=P","Fill=—","Direction=H","UseDPDF=Y")</f>
        <v>2.58</v>
      </c>
      <c r="I55" s="20">
        <f>_xll.BDH("FIS US Equity","IS_EPS","FY 2019","FY 2019","Currency=USD","Period=FY","BEST_FPERIOD_OVERRIDE=FY","FILING_STATUS=MR","FA_ADJUSTED=GAAP","Sort=A","Dates=H","DateFormat=P","Fill=—","Direction=H","UseDPDF=Y")</f>
        <v>0.67</v>
      </c>
      <c r="J55" s="23">
        <v>-0.18</v>
      </c>
      <c r="K55" s="20">
        <v>0.55100000000000005</v>
      </c>
      <c r="L55" s="20">
        <v>2.484</v>
      </c>
    </row>
    <row r="56" spans="1:12" x14ac:dyDescent="0.45">
      <c r="A56" s="6" t="s">
        <v>118</v>
      </c>
      <c r="B56" s="6" t="s">
        <v>119</v>
      </c>
      <c r="C56" s="20">
        <f>_xll.BDH("FIS US Equity","IS_EARN_BEF_XO_ITEMS_PER_SH","FY 2013","FY 2013","Currency=USD","Period=FY","BEST_FPERIOD_OVERRIDE=FY","FILING_STATUS=MR","Sort=A","Dates=H","DateFormat=P","Fill=—","Direction=H","UseDPDF=Y")</f>
        <v>1.69</v>
      </c>
      <c r="D56" s="20">
        <f>_xll.BDH("FIS US Equity","IS_EARN_BEF_XO_ITEMS_PER_SH","FY 2014","FY 2014","Currency=USD","Period=FY","BEST_FPERIOD_OVERRIDE=FY","FILING_STATUS=MR","Sort=A","Dates=H","DateFormat=P","Fill=—","Direction=H","UseDPDF=Y")</f>
        <v>2.42</v>
      </c>
      <c r="E56" s="20">
        <f>_xll.BDH("FIS US Equity","IS_EARN_BEF_XO_ITEMS_PER_SH","FY 2015","FY 2015","Currency=USD","Period=FY","BEST_FPERIOD_OVERRIDE=FY","FILING_STATUS=MR","Sort=A","Dates=H","DateFormat=P","Fill=—","Direction=H","UseDPDF=Y")</f>
        <v>2.2400000000000002</v>
      </c>
      <c r="F56" s="20">
        <f>_xll.BDH("FIS US Equity","IS_EARN_BEF_XO_ITEMS_PER_SH","FY 2016","FY 2016","Currency=USD","Period=FY","BEST_FPERIOD_OVERRIDE=FY","FILING_STATUS=MR","Sort=A","Dates=H","DateFormat=P","Fill=—","Direction=H","UseDPDF=Y")</f>
        <v>1.6099999999999999</v>
      </c>
      <c r="G56" s="20">
        <f>_xll.BDH("FIS US Equity","IS_EARN_BEF_XO_ITEMS_PER_SH","FY 2017","FY 2017","Currency=USD","Period=FY","BEST_FPERIOD_OVERRIDE=FY","FILING_STATUS=MR","Sort=A","Dates=H","DateFormat=P","Fill=—","Direction=H","UseDPDF=Y")</f>
        <v>3.82</v>
      </c>
      <c r="H56" s="20">
        <f>_xll.BDH("FIS US Equity","IS_EARN_BEF_XO_ITEMS_PER_SH","FY 2018","FY 2018","Currency=USD","Period=FY","BEST_FPERIOD_OVERRIDE=FY","FILING_STATUS=MR","Sort=A","Dates=H","DateFormat=P","Fill=—","Direction=H","UseDPDF=Y")</f>
        <v>2.58</v>
      </c>
      <c r="I56" s="20">
        <f>_xll.BDH("FIS US Equity","IS_EARN_BEF_XO_ITEMS_PER_SH","FY 2019","FY 2019","Currency=USD","Period=FY","BEST_FPERIOD_OVERRIDE=FY","FILING_STATUS=MR","Sort=A","Dates=H","DateFormat=P","Fill=—","Direction=H","UseDPDF=Y")</f>
        <v>0.67</v>
      </c>
      <c r="J56" s="23">
        <v>-0.18</v>
      </c>
      <c r="K56" s="20">
        <v>0.55100000000000005</v>
      </c>
      <c r="L56" s="20">
        <v>2.484</v>
      </c>
    </row>
    <row r="57" spans="1:12" x14ac:dyDescent="0.45">
      <c r="A57" s="6" t="s">
        <v>120</v>
      </c>
      <c r="B57" s="6" t="s">
        <v>121</v>
      </c>
      <c r="C57" s="20">
        <f>_xll.BDH("FIS US Equity","IS_BASIC_EPS_CONT_OPS","FY 2013","FY 2013","Currency=USD","Period=FY","BEST_FPERIOD_OVERRIDE=FY","FILING_STATUS=MR","Sort=A","Dates=H","DateFormat=P","Fill=—","Direction=H","UseDPDF=Y")</f>
        <v>2.3294000000000001</v>
      </c>
      <c r="D57" s="20">
        <f>_xll.BDH("FIS US Equity","IS_BASIC_EPS_CONT_OPS","FY 2014","FY 2014","Currency=USD","Period=FY","BEST_FPERIOD_OVERRIDE=FY","FILING_STATUS=MR","Sort=A","Dates=H","DateFormat=P","Fill=—","Direction=H","UseDPDF=Y")</f>
        <v>2.6255999999999999</v>
      </c>
      <c r="E57" s="20">
        <f>_xll.BDH("FIS US Equity","IS_BASIC_EPS_CONT_OPS","FY 2015","FY 2015","Currency=USD","Period=FY","BEST_FPERIOD_OVERRIDE=FY","FILING_STATUS=MR","Sort=A","Dates=H","DateFormat=P","Fill=—","Direction=H","UseDPDF=Y")</f>
        <v>2.6287000000000003</v>
      </c>
      <c r="F57" s="20">
        <f>_xll.BDH("FIS US Equity","IS_BASIC_EPS_CONT_OPS","FY 2016","FY 2016","Currency=USD","Period=FY","BEST_FPERIOD_OVERRIDE=FY","FILING_STATUS=MR","Sort=A","Dates=H","DateFormat=P","Fill=—","Direction=H","UseDPDF=Y")</f>
        <v>-5.4300000000000001E-2</v>
      </c>
      <c r="G57" s="20">
        <f>_xll.BDH("FIS US Equity","IS_BASIC_EPS_CONT_OPS","FY 2017","FY 2017","Currency=USD","Period=FY","BEST_FPERIOD_OVERRIDE=FY","FILING_STATUS=MR","Sort=A","Dates=H","DateFormat=P","Fill=—","Direction=H","UseDPDF=Y")</f>
        <v>4.6249000000000002</v>
      </c>
      <c r="H57" s="20">
        <f>_xll.BDH("FIS US Equity","IS_BASIC_EPS_CONT_OPS","FY 2018","FY 2018","Currency=USD","Period=FY","BEST_FPERIOD_OVERRIDE=FY","FILING_STATUS=MR","Sort=A","Dates=H","DateFormat=P","Fill=—","Direction=H","UseDPDF=Y")</f>
        <v>3.3731</v>
      </c>
      <c r="I57" s="20">
        <f>_xll.BDH("FIS US Equity","IS_BASIC_EPS_CONT_OPS","FY 2019","FY 2019","Currency=USD","Period=FY","BEST_FPERIOD_OVERRIDE=FY","FILING_STATUS=MR","Sort=A","Dates=H","DateFormat=P","Fill=—","Direction=H","UseDPDF=Y")</f>
        <v>2.4840999999999998</v>
      </c>
      <c r="J57" s="23">
        <v>1.7495810000000001</v>
      </c>
      <c r="K57" s="20">
        <v>5.41</v>
      </c>
      <c r="L57" s="20">
        <v>6.431</v>
      </c>
    </row>
    <row r="58" spans="1:12" x14ac:dyDescent="0.45">
      <c r="A58" s="6"/>
      <c r="B58" s="18"/>
      <c r="C58" s="18"/>
      <c r="D58" s="18"/>
      <c r="E58" s="18"/>
      <c r="F58" s="18"/>
      <c r="G58" s="18"/>
      <c r="H58" s="18"/>
      <c r="I58" s="18"/>
      <c r="J58" s="21"/>
      <c r="K58" s="18"/>
      <c r="L58" s="18"/>
    </row>
    <row r="59" spans="1:12" x14ac:dyDescent="0.45">
      <c r="A59" s="10" t="s">
        <v>122</v>
      </c>
      <c r="B59" s="10" t="s">
        <v>123</v>
      </c>
      <c r="C59" s="13">
        <f>_xll.BDH("FIS US Equity","IS_SH_FOR_DILUTED_EPS","FY 2013","FY 2013","Currency=USD","Period=FY","BEST_FPERIOD_OVERRIDE=FY","FILING_STATUS=MR","Sort=A","Dates=H","DateFormat=P","Fill=—","Direction=H","UseDPDF=Y")</f>
        <v>294.2</v>
      </c>
      <c r="D59" s="13">
        <f>_xll.BDH("FIS US Equity","IS_SH_FOR_DILUTED_EPS","FY 2014","FY 2014","Currency=USD","Period=FY","BEST_FPERIOD_OVERRIDE=FY","FILING_STATUS=MR","Sort=A","Dates=H","DateFormat=P","Fill=—","Direction=H","UseDPDF=Y")</f>
        <v>289</v>
      </c>
      <c r="E59" s="13">
        <f>_xll.BDH("FIS US Equity","IS_SH_FOR_DILUTED_EPS","FY 2015","FY 2015","Currency=USD","Period=FY","BEST_FPERIOD_OVERRIDE=FY","FILING_STATUS=MR","Sort=A","Dates=H","DateFormat=P","Fill=—","Direction=H","UseDPDF=Y")</f>
        <v>289</v>
      </c>
      <c r="F59" s="13">
        <f>_xll.BDH("FIS US Equity","IS_SH_FOR_DILUTED_EPS","FY 2016","FY 2016","Currency=USD","Period=FY","BEST_FPERIOD_OVERRIDE=FY","FILING_STATUS=MR","Sort=A","Dates=H","DateFormat=P","Fill=—","Direction=H","UseDPDF=Y")</f>
        <v>330</v>
      </c>
      <c r="G59" s="13">
        <f>_xll.BDH("FIS US Equity","IS_SH_FOR_DILUTED_EPS","FY 2017","FY 2017","Currency=USD","Period=FY","BEST_FPERIOD_OVERRIDE=FY","FILING_STATUS=MR","Sort=A","Dates=H","DateFormat=P","Fill=—","Direction=H","UseDPDF=Y")</f>
        <v>336</v>
      </c>
      <c r="H59" s="13">
        <f>_xll.BDH("FIS US Equity","IS_SH_FOR_DILUTED_EPS","FY 2018","FY 2018","Currency=USD","Period=FY","BEST_FPERIOD_OVERRIDE=FY","FILING_STATUS=MR","Sort=A","Dates=H","DateFormat=P","Fill=—","Direction=H","UseDPDF=Y")</f>
        <v>332</v>
      </c>
      <c r="I59" s="13">
        <f>_xll.BDH("FIS US Equity","IS_SH_FOR_DILUTED_EPS","FY 2019","FY 2019","Currency=USD","Period=FY","BEST_FPERIOD_OVERRIDE=FY","FILING_STATUS=MR","Sort=A","Dates=H","DateFormat=P","Fill=—","Direction=H","UseDPDF=Y")</f>
        <v>451</v>
      </c>
      <c r="J59" s="16">
        <v>627</v>
      </c>
      <c r="K59" s="13"/>
      <c r="L59" s="13"/>
    </row>
    <row r="60" spans="1:12" x14ac:dyDescent="0.45">
      <c r="A60" s="6" t="s">
        <v>124</v>
      </c>
      <c r="B60" s="6" t="s">
        <v>125</v>
      </c>
      <c r="C60" s="20">
        <f>_xll.BDH("FIS US Equity","IS_DILUTED_EPS","FY 2013","FY 2013","Currency=USD","Period=FY","BEST_FPERIOD_OVERRIDE=FY","FILING_STATUS=MR","FA_ADJUSTED=GAAP","Sort=A","Dates=H","DateFormat=P","Fill=—","Direction=H","UseDPDF=Y")</f>
        <v>1.6800000000000002</v>
      </c>
      <c r="D60" s="20">
        <f>_xll.BDH("FIS US Equity","IS_DILUTED_EPS","FY 2014","FY 2014","Currency=USD","Period=FY","BEST_FPERIOD_OVERRIDE=FY","FILING_STATUS=MR","FA_ADJUSTED=GAAP","Sort=A","Dates=H","DateFormat=P","Fill=—","Direction=H","UseDPDF=Y")</f>
        <v>2.35</v>
      </c>
      <c r="E60" s="20">
        <f>_xll.BDH("FIS US Equity","IS_DILUTED_EPS","FY 2015","FY 2015","Currency=USD","Period=FY","BEST_FPERIOD_OVERRIDE=FY","FILING_STATUS=MR","FA_ADJUSTED=GAAP","Sort=A","Dates=H","DateFormat=P","Fill=—","Direction=H","UseDPDF=Y")</f>
        <v>2.19</v>
      </c>
      <c r="F60" s="20">
        <f>_xll.BDH("FIS US Equity","IS_DILUTED_EPS","FY 2016","FY 2016","Currency=USD","Period=FY","BEST_FPERIOD_OVERRIDE=FY","FILING_STATUS=MR","FA_ADJUSTED=GAAP","Sort=A","Dates=H","DateFormat=P","Fill=—","Direction=H","UseDPDF=Y")</f>
        <v>1.5899999999999999</v>
      </c>
      <c r="G60" s="20">
        <f>_xll.BDH("FIS US Equity","IS_DILUTED_EPS","FY 2017","FY 2017","Currency=USD","Period=FY","BEST_FPERIOD_OVERRIDE=FY","FILING_STATUS=MR","FA_ADJUSTED=GAAP","Sort=A","Dates=H","DateFormat=P","Fill=—","Direction=H","UseDPDF=Y")</f>
        <v>3.75</v>
      </c>
      <c r="H60" s="20">
        <f>_xll.BDH("FIS US Equity","IS_DILUTED_EPS","FY 2018","FY 2018","Currency=USD","Period=FY","BEST_FPERIOD_OVERRIDE=FY","FILING_STATUS=MR","FA_ADJUSTED=GAAP","Sort=A","Dates=H","DateFormat=P","Fill=—","Direction=H","UseDPDF=Y")</f>
        <v>2.5499999999999998</v>
      </c>
      <c r="I60" s="20">
        <f>_xll.BDH("FIS US Equity","IS_DILUTED_EPS","FY 2019","FY 2019","Currency=USD","Period=FY","BEST_FPERIOD_OVERRIDE=FY","FILING_STATUS=MR","FA_ADJUSTED=GAAP","Sort=A","Dates=H","DateFormat=P","Fill=—","Direction=H","UseDPDF=Y")</f>
        <v>0.66</v>
      </c>
      <c r="J60" s="23">
        <v>-0.18</v>
      </c>
      <c r="K60" s="20">
        <v>0.55100000000000005</v>
      </c>
      <c r="L60" s="20">
        <v>2.484</v>
      </c>
    </row>
    <row r="61" spans="1:12" x14ac:dyDescent="0.45">
      <c r="A61" s="6" t="s">
        <v>126</v>
      </c>
      <c r="B61" s="6" t="s">
        <v>127</v>
      </c>
      <c r="C61" s="20">
        <f>_xll.BDH("FIS US Equity","IS_DIL_EPS_BEF_XO","FY 2013","FY 2013","Currency=USD","Period=FY","BEST_FPERIOD_OVERRIDE=FY","FILING_STATUS=MR","Sort=A","Dates=H","DateFormat=P","Fill=—","Direction=H","UseDPDF=Y")</f>
        <v>1.67</v>
      </c>
      <c r="D61" s="20">
        <f>_xll.BDH("FIS US Equity","IS_DIL_EPS_BEF_XO","FY 2014","FY 2014","Currency=USD","Period=FY","BEST_FPERIOD_OVERRIDE=FY","FILING_STATUS=MR","Sort=A","Dates=H","DateFormat=P","Fill=—","Direction=H","UseDPDF=Y")</f>
        <v>2.39</v>
      </c>
      <c r="E61" s="20">
        <f>_xll.BDH("FIS US Equity","IS_DIL_EPS_BEF_XO","FY 2015","FY 2015","Currency=USD","Period=FY","BEST_FPERIOD_OVERRIDE=FY","FILING_STATUS=MR","Sort=A","Dates=H","DateFormat=P","Fill=—","Direction=H","UseDPDF=Y")</f>
        <v>2.21</v>
      </c>
      <c r="F61" s="20">
        <f>_xll.BDH("FIS US Equity","IS_DIL_EPS_BEF_XO","FY 2016","FY 2016","Currency=USD","Period=FY","BEST_FPERIOD_OVERRIDE=FY","FILING_STATUS=MR","Sort=A","Dates=H","DateFormat=P","Fill=—","Direction=H","UseDPDF=Y")</f>
        <v>1.5899999999999999</v>
      </c>
      <c r="G61" s="20">
        <f>_xll.BDH("FIS US Equity","IS_DIL_EPS_BEF_XO","FY 2017","FY 2017","Currency=USD","Period=FY","BEST_FPERIOD_OVERRIDE=FY","FILING_STATUS=MR","Sort=A","Dates=H","DateFormat=P","Fill=—","Direction=H","UseDPDF=Y")</f>
        <v>3.75</v>
      </c>
      <c r="H61" s="20">
        <f>_xll.BDH("FIS US Equity","IS_DIL_EPS_BEF_XO","FY 2018","FY 2018","Currency=USD","Period=FY","BEST_FPERIOD_OVERRIDE=FY","FILING_STATUS=MR","Sort=A","Dates=H","DateFormat=P","Fill=—","Direction=H","UseDPDF=Y")</f>
        <v>2.5499999999999998</v>
      </c>
      <c r="I61" s="20">
        <f>_xll.BDH("FIS US Equity","IS_DIL_EPS_BEF_XO","FY 2019","FY 2019","Currency=USD","Period=FY","BEST_FPERIOD_OVERRIDE=FY","FILING_STATUS=MR","Sort=A","Dates=H","DateFormat=P","Fill=—","Direction=H","UseDPDF=Y")</f>
        <v>0.66</v>
      </c>
      <c r="J61" s="23">
        <v>-0.18</v>
      </c>
      <c r="K61" s="20">
        <v>0.55100000000000005</v>
      </c>
      <c r="L61" s="20">
        <v>2.484</v>
      </c>
    </row>
    <row r="62" spans="1:12" x14ac:dyDescent="0.45">
      <c r="A62" s="6" t="s">
        <v>128</v>
      </c>
      <c r="B62" s="6" t="s">
        <v>129</v>
      </c>
      <c r="C62" s="20">
        <f>_xll.BDH("FIS US Equity","IS_DIL_EPS_CONT_OPS","FY 2013","FY 2013","Currency=USD","Period=FY","BEST_FPERIOD_OVERRIDE=FY","FILING_STATUS=MR","Sort=A","Dates=H","DateFormat=P","Fill=—","Direction=H","UseDPDF=Y")</f>
        <v>2.2982</v>
      </c>
      <c r="D62" s="20">
        <f>_xll.BDH("FIS US Equity","IS_DIL_EPS_CONT_OPS","FY 2014","FY 2014","Currency=USD","Period=FY","BEST_FPERIOD_OVERRIDE=FY","FILING_STATUS=MR","Sort=A","Dates=H","DateFormat=P","Fill=—","Direction=H","UseDPDF=Y")</f>
        <v>2.5916999999999999</v>
      </c>
      <c r="E62" s="20">
        <f>_xll.BDH("FIS US Equity","IS_DIL_EPS_CONT_OPS","FY 2015","FY 2015","Currency=USD","Period=FY","BEST_FPERIOD_OVERRIDE=FY","FILING_STATUS=MR","Sort=A","Dates=H","DateFormat=P","Fill=—","Direction=H","UseDPDF=Y")</f>
        <v>2.5911999999999997</v>
      </c>
      <c r="F62" s="20">
        <f>_xll.BDH("FIS US Equity","IS_DIL_EPS_CONT_OPS","FY 2016","FY 2016","Currency=USD","Period=FY","BEST_FPERIOD_OVERRIDE=FY","FILING_STATUS=MR","Sort=A","Dates=H","DateFormat=P","Fill=—","Direction=H","UseDPDF=Y")</f>
        <v>-5.4300000000000001E-2</v>
      </c>
      <c r="G62" s="20">
        <f>_xll.BDH("FIS US Equity","IS_DIL_EPS_CONT_OPS","FY 2017","FY 2017","Currency=USD","Period=FY","BEST_FPERIOD_OVERRIDE=FY","FILING_STATUS=MR","Sort=A","Dates=H","DateFormat=P","Fill=—","Direction=H","UseDPDF=Y")</f>
        <v>4.5392999999999999</v>
      </c>
      <c r="H62" s="20">
        <f>_xll.BDH("FIS US Equity","IS_DIL_EPS_CONT_OPS","FY 2018","FY 2018","Currency=USD","Period=FY","BEST_FPERIOD_OVERRIDE=FY","FILING_STATUS=MR","Sort=A","Dates=H","DateFormat=P","Fill=—","Direction=H","UseDPDF=Y")</f>
        <v>3.3342999999999998</v>
      </c>
      <c r="I62" s="20">
        <f>_xll.BDH("FIS US Equity","IS_DIL_EPS_CONT_OPS","FY 2019","FY 2019","Currency=USD","Period=FY","BEST_FPERIOD_OVERRIDE=FY","FILING_STATUS=MR","Sort=A","Dates=H","DateFormat=P","Fill=—","Direction=H","UseDPDF=Y")</f>
        <v>2.4502999999999999</v>
      </c>
      <c r="J62" s="23">
        <v>1.7266840000000001</v>
      </c>
      <c r="K62" s="20">
        <v>5.41</v>
      </c>
      <c r="L62" s="20">
        <v>6.431</v>
      </c>
    </row>
    <row r="63" spans="1:12" x14ac:dyDescent="0.45">
      <c r="A63" s="6"/>
      <c r="B63" s="18"/>
      <c r="C63" s="18"/>
      <c r="D63" s="18"/>
      <c r="E63" s="18"/>
      <c r="F63" s="18"/>
      <c r="G63" s="18"/>
      <c r="H63" s="18"/>
      <c r="I63" s="18"/>
      <c r="J63" s="21"/>
      <c r="K63" s="18"/>
      <c r="L63" s="18"/>
    </row>
    <row r="64" spans="1:12" x14ac:dyDescent="0.45">
      <c r="A64" s="6" t="s">
        <v>2</v>
      </c>
      <c r="B64" s="18"/>
      <c r="C64" s="18"/>
      <c r="D64" s="18"/>
      <c r="E64" s="18"/>
      <c r="F64" s="18"/>
      <c r="G64" s="18"/>
      <c r="H64" s="18"/>
      <c r="I64" s="18"/>
      <c r="J64" s="21"/>
      <c r="K64" s="18"/>
      <c r="L64" s="18"/>
    </row>
    <row r="65" spans="1:12" x14ac:dyDescent="0.45">
      <c r="A65" s="10" t="s">
        <v>130</v>
      </c>
      <c r="B65" s="10" t="s">
        <v>131</v>
      </c>
      <c r="C65" s="12" t="s">
        <v>132</v>
      </c>
      <c r="D65" s="12" t="s">
        <v>132</v>
      </c>
      <c r="E65" s="12" t="s">
        <v>132</v>
      </c>
      <c r="F65" s="12" t="s">
        <v>132</v>
      </c>
      <c r="G65" s="12" t="s">
        <v>132</v>
      </c>
      <c r="H65" s="12" t="s">
        <v>132</v>
      </c>
      <c r="I65" s="12" t="s">
        <v>132</v>
      </c>
      <c r="J65" s="15"/>
      <c r="K65" s="12"/>
      <c r="L65" s="12"/>
    </row>
    <row r="66" spans="1:12" x14ac:dyDescent="0.45">
      <c r="A66" s="10" t="s">
        <v>133</v>
      </c>
      <c r="B66" s="10" t="s">
        <v>133</v>
      </c>
      <c r="C66" s="13">
        <f>_xll.BDH("FIS US Equity","EBITDA","FY 2013","FY 2013","Currency=USD","Period=FY","BEST_FPERIOD_OVERRIDE=FY","FILING_STATUS=MR","SCALING_FORMAT=MLN","FA_ADJUSTED=Adjusted","Sort=A","Dates=H","DateFormat=P","Fill=—","Direction=H","UseDPDF=Y")</f>
        <v>1844.5</v>
      </c>
      <c r="D66" s="13">
        <f>_xll.BDH("FIS US Equity","EBITDA","FY 2014","FY 2014","Currency=USD","Period=FY","BEST_FPERIOD_OVERRIDE=FY","FILING_STATUS=MR","SCALING_FORMAT=MLN","FA_ADJUSTED=Adjusted","Sort=A","Dates=H","DateFormat=P","Fill=—","Direction=H","UseDPDF=Y")</f>
        <v>1927.5</v>
      </c>
      <c r="E66" s="13">
        <f>_xll.BDH("FIS US Equity","EBITDA","FY 2015","FY 2015","Currency=USD","Period=FY","BEST_FPERIOD_OVERRIDE=FY","FILING_STATUS=MR","SCALING_FORMAT=MLN","FA_ADJUSTED=Adjusted","Sort=A","Dates=H","DateFormat=P","Fill=—","Direction=H","UseDPDF=Y")</f>
        <v>1987</v>
      </c>
      <c r="F66" s="13">
        <f>_xll.BDH("FIS US Equity","EBITDA","FY 2016","FY 2016","Currency=USD","Period=FY","BEST_FPERIOD_OVERRIDE=FY","FILING_STATUS=MR","SCALING_FORMAT=MLN","FA_ADJUSTED=Adjusted","Sort=A","Dates=H","DateFormat=P","Fill=—","Direction=H","UseDPDF=Y")</f>
        <v>2505</v>
      </c>
      <c r="G66" s="13">
        <f>_xll.BDH("FIS US Equity","EBITDA","FY 2017","FY 2017","Currency=USD","Period=FY","BEST_FPERIOD_OVERRIDE=FY","FILING_STATUS=MR","SCALING_FORMAT=MLN","FA_ADJUSTED=Adjusted","Sort=A","Dates=H","DateFormat=P","Fill=—","Direction=H","UseDPDF=Y")</f>
        <v>2921</v>
      </c>
      <c r="H66" s="13">
        <f>_xll.BDH("FIS US Equity","EBITDA","FY 2018","FY 2018","Currency=USD","Period=FY","BEST_FPERIOD_OVERRIDE=FY","FILING_STATUS=MR","SCALING_FORMAT=MLN","FA_ADJUSTED=Adjusted","Sort=A","Dates=H","DateFormat=P","Fill=—","Direction=H","UseDPDF=Y")</f>
        <v>3189</v>
      </c>
      <c r="I66" s="13">
        <f>_xll.BDH("FIS US Equity","EBITDA","FY 2019","FY 2019","Currency=USD","Period=FY","BEST_FPERIOD_OVERRIDE=FY","FILING_STATUS=MR","SCALING_FORMAT=MLN","FA_ADJUSTED=Adjusted","Sort=A","Dates=H","DateFormat=P","Fill=—","Direction=H","UseDPDF=Y")</f>
        <v>4419</v>
      </c>
      <c r="J66" s="16">
        <v>5336</v>
      </c>
      <c r="K66" s="13">
        <v>5259</v>
      </c>
      <c r="L66" s="13">
        <v>6115.9660000000003</v>
      </c>
    </row>
    <row r="67" spans="1:12" x14ac:dyDescent="0.45">
      <c r="A67" s="10" t="s">
        <v>134</v>
      </c>
      <c r="B67" s="10" t="s">
        <v>135</v>
      </c>
      <c r="C67" s="14">
        <f>_xll.BDH("FIS US Equity","EBITDA_MARGIN","FY 2013","FY 2013","Currency=USD","Period=FY","BEST_FPERIOD_OVERRIDE=FY","FILING_STATUS=MR","FA_ADJUSTED=Adjusted","Sort=A","Dates=H","DateFormat=P","Fill=—","Direction=H","UseDPDF=Y")</f>
        <v>30.420200000000001</v>
      </c>
      <c r="D67" s="14">
        <f>_xll.BDH("FIS US Equity","EBITDA_MARGIN","FY 2014","FY 2014","Currency=USD","Period=FY","BEST_FPERIOD_OVERRIDE=FY","FILING_STATUS=MR","FA_ADJUSTED=Adjusted","Sort=A","Dates=H","DateFormat=P","Fill=—","Direction=H","UseDPDF=Y")</f>
        <v>30.056100000000001</v>
      </c>
      <c r="E67" s="14">
        <f>_xll.BDH("FIS US Equity","EBITDA_MARGIN","FY 2015","FY 2015","Currency=USD","Period=FY","BEST_FPERIOD_OVERRIDE=FY","FILING_STATUS=MR","FA_ADJUSTED=Adjusted","Sort=A","Dates=H","DateFormat=P","Fill=—","Direction=H","UseDPDF=Y")</f>
        <v>30.124300000000002</v>
      </c>
      <c r="F67" s="14">
        <f>_xll.BDH("FIS US Equity","EBITDA_MARGIN","FY 2016","FY 2016","Currency=USD","Period=FY","BEST_FPERIOD_OVERRIDE=FY","FILING_STATUS=MR","FA_ADJUSTED=Adjusted","Sort=A","Dates=H","DateFormat=P","Fill=—","Direction=H","UseDPDF=Y")</f>
        <v>28.366</v>
      </c>
      <c r="G67" s="14">
        <f>_xll.BDH("FIS US Equity","EBITDA_MARGIN","FY 2017","FY 2017","Currency=USD","Period=FY","BEST_FPERIOD_OVERRIDE=FY","FILING_STATUS=MR","FA_ADJUSTED=Adjusted","Sort=A","Dates=H","DateFormat=P","Fill=—","Direction=H","UseDPDF=Y")</f>
        <v>33.698700000000002</v>
      </c>
      <c r="H67" s="14">
        <f>_xll.BDH("FIS US Equity","EBITDA_MARGIN","FY 2018","FY 2018","Currency=USD","Period=FY","BEST_FPERIOD_OVERRIDE=FY","FILING_STATUS=MR","FA_ADJUSTED=Adjusted","Sort=A","Dates=H","DateFormat=P","Fill=—","Direction=H","UseDPDF=Y")</f>
        <v>37.860599999999998</v>
      </c>
      <c r="I67" s="14">
        <f>_xll.BDH("FIS US Equity","EBITDA_MARGIN","FY 2019","FY 2019","Currency=USD","Period=FY","BEST_FPERIOD_OVERRIDE=FY","FILING_STATUS=MR","FA_ADJUSTED=Adjusted","Sort=A","Dates=H","DateFormat=P","Fill=—","Direction=H","UseDPDF=Y")</f>
        <v>42.765900000000002</v>
      </c>
      <c r="J67" s="17">
        <v>42.423278740658297</v>
      </c>
      <c r="K67" s="14">
        <v>41.8268711122345</v>
      </c>
      <c r="L67" s="14">
        <v>44.879635172621001</v>
      </c>
    </row>
    <row r="68" spans="1:12" x14ac:dyDescent="0.45">
      <c r="A68" s="10" t="s">
        <v>136</v>
      </c>
      <c r="B68" s="10" t="s">
        <v>136</v>
      </c>
      <c r="C68" s="13">
        <f>_xll.BDH("FIS US Equity","EBITA","FY 2013","FY 2013","Currency=USD","Period=FY","BEST_FPERIOD_OVERRIDE=FY","FILING_STATUS=MR","SCALING_FORMAT=MLN","FA_ADJUSTED=Adjusted","Sort=A","Dates=H","DateFormat=P","Fill=—","Direction=H","UseDPDF=Y")</f>
        <v>1463</v>
      </c>
      <c r="D68" s="13">
        <f>_xll.BDH("FIS US Equity","EBITA","FY 2014","FY 2014","Currency=USD","Period=FY","BEST_FPERIOD_OVERRIDE=FY","FILING_STATUS=MR","SCALING_FORMAT=MLN","FA_ADJUSTED=Adjusted","Sort=A","Dates=H","DateFormat=P","Fill=—","Direction=H","UseDPDF=Y")</f>
        <v>1797.5</v>
      </c>
      <c r="E68" s="13">
        <f>_xll.BDH("FIS US Equity","EBITA","FY 2015","FY 2015","Currency=USD","Period=FY","BEST_FPERIOD_OVERRIDE=FY","FILING_STATUS=MR","SCALING_FORMAT=MLN","FA_ADJUSTED=Adjusted","Sort=A","Dates=H","DateFormat=P","Fill=—","Direction=H","UseDPDF=Y")</f>
        <v>1848</v>
      </c>
      <c r="F68" s="13">
        <f>_xll.BDH("FIS US Equity","EBITA","FY 2016","FY 2016","Currency=USD","Period=FY","BEST_FPERIOD_OVERRIDE=FY","FILING_STATUS=MR","SCALING_FORMAT=MLN","FA_ADJUSTED=Adjusted","Sort=A","Dates=H","DateFormat=P","Fill=—","Direction=H","UseDPDF=Y")</f>
        <v>1870</v>
      </c>
      <c r="G68" s="13">
        <f>_xll.BDH("FIS US Equity","EBITA","FY 2017","FY 2017","Currency=USD","Period=FY","BEST_FPERIOD_OVERRIDE=FY","FILING_STATUS=MR","SCALING_FORMAT=MLN","FA_ADJUSTED=Adjusted","Sort=A","Dates=H","DateFormat=P","Fill=—","Direction=H","UseDPDF=Y")</f>
        <v>2225</v>
      </c>
      <c r="H68" s="13">
        <f>_xll.BDH("FIS US Equity","EBITA","FY 2018","FY 2018","Currency=USD","Period=FY","BEST_FPERIOD_OVERRIDE=FY","FILING_STATUS=MR","SCALING_FORMAT=MLN","FA_ADJUSTED=Adjusted","Sort=A","Dates=H","DateFormat=P","Fill=—","Direction=H","UseDPDF=Y")</f>
        <v>3160</v>
      </c>
      <c r="I68" s="13">
        <f>_xll.BDH("FIS US Equity","EBITA","FY 2019","FY 2019","Currency=USD","Period=FY","BEST_FPERIOD_OVERRIDE=FY","FILING_STATUS=MR","SCALING_FORMAT=MLN","FA_ADJUSTED=Adjusted","Sort=A","Dates=H","DateFormat=P","Fill=—","Direction=H","UseDPDF=Y")</f>
        <v>3610</v>
      </c>
      <c r="J68" s="16">
        <v>4328</v>
      </c>
      <c r="K68" s="13"/>
      <c r="L68" s="13"/>
    </row>
    <row r="69" spans="1:12" x14ac:dyDescent="0.45">
      <c r="A69" s="10" t="s">
        <v>137</v>
      </c>
      <c r="B69" s="10" t="s">
        <v>137</v>
      </c>
      <c r="C69" s="13">
        <f>_xll.BDH("FIS US Equity","EBIT","FY 2013","FY 2013","Currency=USD","Period=FY","BEST_FPERIOD_OVERRIDE=FY","FILING_STATUS=MR","SCALING_FORMAT=MLN","FA_ADJUSTED=Adjusted","Sort=A","Dates=H","DateFormat=P","Fill=—","Direction=H","UseDPDF=Y")</f>
        <v>1210</v>
      </c>
      <c r="D69" s="13">
        <f>_xll.BDH("FIS US Equity","EBIT","FY 2014","FY 2014","Currency=USD","Period=FY","BEST_FPERIOD_OVERRIDE=FY","FILING_STATUS=MR","SCALING_FORMAT=MLN","FA_ADJUSTED=Adjusted","Sort=A","Dates=H","DateFormat=P","Fill=—","Direction=H","UseDPDF=Y")</f>
        <v>1301.5</v>
      </c>
      <c r="E69" s="13">
        <f>_xll.BDH("FIS US Equity","EBIT","FY 2015","FY 2015","Currency=USD","Period=FY","BEST_FPERIOD_OVERRIDE=FY","FILING_STATUS=MR","SCALING_FORMAT=MLN","FA_ADJUSTED=Adjusted","Sort=A","Dates=H","DateFormat=P","Fill=—","Direction=H","UseDPDF=Y")</f>
        <v>1318</v>
      </c>
      <c r="F69" s="13">
        <f>_xll.BDH("FIS US Equity","EBIT","FY 2016","FY 2016","Currency=USD","Period=FY","BEST_FPERIOD_OVERRIDE=FY","FILING_STATUS=MR","SCALING_FORMAT=MLN","FA_ADJUSTED=Adjusted","Sort=A","Dates=H","DateFormat=P","Fill=—","Direction=H","UseDPDF=Y")</f>
        <v>1352</v>
      </c>
      <c r="G69" s="13">
        <f>_xll.BDH("FIS US Equity","EBIT","FY 2017","FY 2017","Currency=USD","Period=FY","BEST_FPERIOD_OVERRIDE=FY","FILING_STATUS=MR","SCALING_FORMAT=MLN","FA_ADJUSTED=Adjusted","Sort=A","Dates=H","DateFormat=P","Fill=—","Direction=H","UseDPDF=Y")</f>
        <v>1555</v>
      </c>
      <c r="H69" s="13">
        <f>_xll.BDH("FIS US Equity","EBIT","FY 2018","FY 2018","Currency=USD","Period=FY","BEST_FPERIOD_OVERRIDE=FY","FILING_STATUS=MR","SCALING_FORMAT=MLN","FA_ADJUSTED=Adjusted","Sort=A","Dates=H","DateFormat=P","Fill=—","Direction=H","UseDPDF=Y")</f>
        <v>1769</v>
      </c>
      <c r="I69" s="13">
        <f>_xll.BDH("FIS US Equity","EBIT","FY 2019","FY 2019","Currency=USD","Period=FY","BEST_FPERIOD_OVERRIDE=FY","FILING_STATUS=MR","SCALING_FORMAT=MLN","FA_ADJUSTED=Adjusted","Sort=A","Dates=H","DateFormat=P","Fill=—","Direction=H","UseDPDF=Y")</f>
        <v>1830</v>
      </c>
      <c r="J69" s="16">
        <v>1578</v>
      </c>
      <c r="K69" s="13">
        <v>3197.5880000000002</v>
      </c>
      <c r="L69" s="13">
        <v>3900.95</v>
      </c>
    </row>
    <row r="70" spans="1:12" x14ac:dyDescent="0.45">
      <c r="A70" s="10" t="s">
        <v>138</v>
      </c>
      <c r="B70" s="10" t="s">
        <v>139</v>
      </c>
      <c r="C70" s="14">
        <f>_xll.BDH("FIS US Equity","GROSS_MARGIN","FY 2013","FY 2013","Currency=USD","Period=FY","BEST_FPERIOD_OVERRIDE=FY","FILING_STATUS=MR","FA_ADJUSTED=Adjusted","Sort=A","Dates=H","DateFormat=P","Fill=—","Direction=H","UseDPDF=Y")</f>
        <v>32.767099999999999</v>
      </c>
      <c r="D70" s="14">
        <f>_xll.BDH("FIS US Equity","GROSS_MARGIN","FY 2014","FY 2014","Currency=USD","Period=FY","BEST_FPERIOD_OVERRIDE=FY","FILING_STATUS=MR","FA_ADJUSTED=Adjusted","Sort=A","Dates=H","DateFormat=P","Fill=—","Direction=H","UseDPDF=Y")</f>
        <v>32.667999999999999</v>
      </c>
      <c r="E70" s="14">
        <f>_xll.BDH("FIS US Equity","GROSS_MARGIN","FY 2015","FY 2015","Currency=USD","Period=FY","BEST_FPERIOD_OVERRIDE=FY","FILING_STATUS=MR","FA_ADJUSTED=Adjusted","Sort=A","Dates=H","DateFormat=P","Fill=—","Direction=H","UseDPDF=Y")</f>
        <v>33.368699999999997</v>
      </c>
      <c r="F70" s="14">
        <f>_xll.BDH("FIS US Equity","GROSS_MARGIN","FY 2016","FY 2016","Currency=USD","Period=FY","BEST_FPERIOD_OVERRIDE=FY","FILING_STATUS=MR","FA_ADJUSTED=Adjusted","Sort=A","Dates=H","DateFormat=P","Fill=—","Direction=H","UseDPDF=Y")</f>
        <v>33.246499999999997</v>
      </c>
      <c r="G70" s="14">
        <f>_xll.BDH("FIS US Equity","GROSS_MARGIN","FY 2017","FY 2017","Currency=USD","Period=FY","BEST_FPERIOD_OVERRIDE=FY","FILING_STATUS=MR","FA_ADJUSTED=Adjusted","Sort=A","Dates=H","DateFormat=P","Fill=—","Direction=H","UseDPDF=Y")</f>
        <v>33.156399999999998</v>
      </c>
      <c r="H70" s="14">
        <f>_xll.BDH("FIS US Equity","GROSS_MARGIN","FY 2018","FY 2018","Currency=USD","Period=FY","BEST_FPERIOD_OVERRIDE=FY","FILING_STATUS=MR","FA_ADJUSTED=Adjusted","Sort=A","Dates=H","DateFormat=P","Fill=—","Direction=H","UseDPDF=Y")</f>
        <v>33.883400000000002</v>
      </c>
      <c r="I70" s="14">
        <f>_xll.BDH("FIS US Equity","GROSS_MARGIN","FY 2019","FY 2019","Currency=USD","Period=FY","BEST_FPERIOD_OVERRIDE=FY","FILING_STATUS=MR","FA_ADJUSTED=Adjusted","Sort=A","Dates=H","DateFormat=P","Fill=—","Direction=H","UseDPDF=Y")</f>
        <v>36.030200000000001</v>
      </c>
      <c r="J70" s="17">
        <v>34.6080457942439</v>
      </c>
      <c r="K70" s="14">
        <v>36.363</v>
      </c>
      <c r="L70" s="14">
        <v>39.497</v>
      </c>
    </row>
    <row r="71" spans="1:12" x14ac:dyDescent="0.45">
      <c r="A71" s="10" t="s">
        <v>140</v>
      </c>
      <c r="B71" s="10" t="s">
        <v>141</v>
      </c>
      <c r="C71" s="14">
        <f>_xll.BDH("FIS US Equity","OPER_MARGIN","FY 2013","FY 2013","Currency=USD","Period=FY","BEST_FPERIOD_OVERRIDE=FY","FILING_STATUS=MR","FA_ADJUSTED=Adjusted","Sort=A","Dates=H","DateFormat=P","Fill=—","Direction=H","UseDPDF=Y")</f>
        <v>19.9558</v>
      </c>
      <c r="D71" s="14">
        <f>_xll.BDH("FIS US Equity","OPER_MARGIN","FY 2014","FY 2014","Currency=USD","Period=FY","BEST_FPERIOD_OVERRIDE=FY","FILING_STATUS=MR","FA_ADJUSTED=Adjusted","Sort=A","Dates=H","DateFormat=P","Fill=—","Direction=H","UseDPDF=Y")</f>
        <v>20.294699999999999</v>
      </c>
      <c r="E71" s="14">
        <f>_xll.BDH("FIS US Equity","OPER_MARGIN","FY 2015","FY 2015","Currency=USD","Period=FY","BEST_FPERIOD_OVERRIDE=FY","FILING_STATUS=MR","FA_ADJUSTED=Adjusted","Sort=A","Dates=H","DateFormat=P","Fill=—","Direction=H","UseDPDF=Y")</f>
        <v>19.9818</v>
      </c>
      <c r="F71" s="14">
        <f>_xll.BDH("FIS US Equity","OPER_MARGIN","FY 2016","FY 2016","Currency=USD","Period=FY","BEST_FPERIOD_OVERRIDE=FY","FILING_STATUS=MR","FA_ADJUSTED=Adjusted","Sort=A","Dates=H","DateFormat=P","Fill=—","Direction=H","UseDPDF=Y")</f>
        <v>15.309699999999999</v>
      </c>
      <c r="G71" s="14">
        <f>_xll.BDH("FIS US Equity","OPER_MARGIN","FY 2017","FY 2017","Currency=USD","Period=FY","BEST_FPERIOD_OVERRIDE=FY","FILING_STATUS=MR","FA_ADJUSTED=Adjusted","Sort=A","Dates=H","DateFormat=P","Fill=—","Direction=H","UseDPDF=Y")</f>
        <v>17.939499999999999</v>
      </c>
      <c r="H71" s="14">
        <f>_xll.BDH("FIS US Equity","OPER_MARGIN","FY 2018","FY 2018","Currency=USD","Period=FY","BEST_FPERIOD_OVERRIDE=FY","FILING_STATUS=MR","FA_ADJUSTED=Adjusted","Sort=A","Dates=H","DateFormat=P","Fill=—","Direction=H","UseDPDF=Y")</f>
        <v>21.001999999999999</v>
      </c>
      <c r="I71" s="14">
        <f>_xll.BDH("FIS US Equity","OPER_MARGIN","FY 2019","FY 2019","Currency=USD","Period=FY","BEST_FPERIOD_OVERRIDE=FY","FILING_STATUS=MR","FA_ADJUSTED=Adjusted","Sort=A","Dates=H","DateFormat=P","Fill=—","Direction=H","UseDPDF=Y")</f>
        <v>17.7102</v>
      </c>
      <c r="J71" s="17">
        <v>12.5457147400223</v>
      </c>
      <c r="K71" s="14">
        <v>25.4316602293264</v>
      </c>
      <c r="L71" s="14">
        <v>28.625602697372099</v>
      </c>
    </row>
    <row r="72" spans="1:12" x14ac:dyDescent="0.45">
      <c r="A72" s="10" t="s">
        <v>142</v>
      </c>
      <c r="B72" s="10" t="s">
        <v>143</v>
      </c>
      <c r="C72" s="14">
        <f>_xll.BDH("FIS US Equity","PROF_MARGIN","FY 2013","FY 2013","Currency=USD","Period=FY","BEST_FPERIOD_OVERRIDE=FY","FILING_STATUS=MR","FA_ADJUSTED=Adjusted","Sort=A","Dates=H","DateFormat=P","Fill=—","Direction=H","UseDPDF=Y")</f>
        <v>11.1294</v>
      </c>
      <c r="D72" s="14">
        <f>_xll.BDH("FIS US Equity","PROF_MARGIN","FY 2014","FY 2014","Currency=USD","Period=FY","BEST_FPERIOD_OVERRIDE=FY","FILING_STATUS=MR","FA_ADJUSTED=Adjusted","Sort=A","Dates=H","DateFormat=P","Fill=—","Direction=H","UseDPDF=Y")</f>
        <v>11.6685</v>
      </c>
      <c r="E72" s="14">
        <f>_xll.BDH("FIS US Equity","PROF_MARGIN","FY 2015","FY 2015","Currency=USD","Period=FY","BEST_FPERIOD_OVERRIDE=FY","FILING_STATUS=MR","FA_ADJUSTED=Adjusted","Sort=A","Dates=H","DateFormat=P","Fill=—","Direction=H","UseDPDF=Y")</f>
        <v>11.357900000000001</v>
      </c>
      <c r="F72" s="14">
        <f>_xll.BDH("FIS US Equity","PROF_MARGIN","FY 2016","FY 2016","Currency=USD","Period=FY","BEST_FPERIOD_OVERRIDE=FY","FILING_STATUS=MR","FA_ADJUSTED=Adjusted","Sort=A","Dates=H","DateFormat=P","Fill=—","Direction=H","UseDPDF=Y")</f>
        <v>-0.20050000000000001</v>
      </c>
      <c r="G72" s="14">
        <f>_xll.BDH("FIS US Equity","PROF_MARGIN","FY 2017","FY 2017","Currency=USD","Period=FY","BEST_FPERIOD_OVERRIDE=FY","FILING_STATUS=MR","FA_ADJUSTED=Adjusted","Sort=A","Dates=H","DateFormat=P","Fill=—","Direction=H","UseDPDF=Y")</f>
        <v>17.607500000000002</v>
      </c>
      <c r="H72" s="14">
        <f>_xll.BDH("FIS US Equity","PROF_MARGIN","FY 2018","FY 2018","Currency=USD","Period=FY","BEST_FPERIOD_OVERRIDE=FY","FILING_STATUS=MR","FA_ADJUSTED=Adjusted","Sort=A","Dates=H","DateFormat=P","Fill=—","Direction=H","UseDPDF=Y")</f>
        <v>13.135300000000001</v>
      </c>
      <c r="I72" s="14">
        <f>_xll.BDH("FIS US Equity","PROF_MARGIN","FY 2019","FY 2019","Currency=USD","Period=FY","BEST_FPERIOD_OVERRIDE=FY","FILING_STATUS=MR","FA_ADJUSTED=Adjusted","Sort=A","Dates=H","DateFormat=P","Fill=—","Direction=H","UseDPDF=Y")</f>
        <v>10.698</v>
      </c>
      <c r="J72" s="17">
        <v>8.5797815217784201</v>
      </c>
      <c r="K72" s="14">
        <v>26.988742853184299</v>
      </c>
      <c r="L72" s="14">
        <v>29.556251241058</v>
      </c>
    </row>
    <row r="73" spans="1:12" x14ac:dyDescent="0.45">
      <c r="A73" s="10" t="s">
        <v>144</v>
      </c>
      <c r="B73" s="10" t="s">
        <v>145</v>
      </c>
      <c r="C73" s="14">
        <f>_xll.BDH("FIS US Equity","ACTUAL_SALES_PER_EMPL","FY 2013","FY 2013","Currency=USD","Period=FY","BEST_FPERIOD_OVERRIDE=FY","FILING_STATUS=MR","FA_ADJUSTED=Adjusted","Sort=A","Dates=H","DateFormat=P","Fill=—","Direction=H","UseDPDF=Y")</f>
        <v>159563.15789999999</v>
      </c>
      <c r="D73" s="14">
        <f>_xll.BDH("FIS US Equity","ACTUAL_SALES_PER_EMPL","FY 2014","FY 2014","Currency=USD","Period=FY","BEST_FPERIOD_OVERRIDE=FY","FILING_STATUS=MR","FA_ADJUSTED=Adjusted","Sort=A","Dates=H","DateFormat=P","Fill=—","Direction=H","UseDPDF=Y")</f>
        <v>160325</v>
      </c>
      <c r="E73" s="14">
        <f>_xll.BDH("FIS US Equity","ACTUAL_SALES_PER_EMPL","FY 2015","FY 2015","Currency=USD","Period=FY","BEST_FPERIOD_OVERRIDE=FY","FILING_STATUS=MR","FA_ADJUSTED=Adjusted","Sort=A","Dates=H","DateFormat=P","Fill=—","Direction=H","UseDPDF=Y")</f>
        <v>119927.2727</v>
      </c>
      <c r="F73" s="14">
        <f>_xll.BDH("FIS US Equity","ACTUAL_SALES_PER_EMPL","FY 2016","FY 2016","Currency=USD","Period=FY","BEST_FPERIOD_OVERRIDE=FY","FILING_STATUS=MR","FA_ADJUSTED=Adjusted","Sort=A","Dates=H","DateFormat=P","Fill=—","Direction=H","UseDPDF=Y")</f>
        <v>160563.63639999999</v>
      </c>
      <c r="G73" s="14">
        <f>_xll.BDH("FIS US Equity","ACTUAL_SALES_PER_EMPL","FY 2017","FY 2017","Currency=USD","Period=FY","BEST_FPERIOD_OVERRIDE=FY","FILING_STATUS=MR","FA_ADJUSTED=Adjusted","Sort=A","Dates=H","DateFormat=P","Fill=—","Direction=H","UseDPDF=Y")</f>
        <v>163547.1698</v>
      </c>
      <c r="H73" s="14">
        <f>_xll.BDH("FIS US Equity","ACTUAL_SALES_PER_EMPL","FY 2018","FY 2018","Currency=USD","Period=FY","BEST_FPERIOD_OVERRIDE=FY","FILING_STATUS=MR","FA_ADJUSTED=Adjusted","Sort=A","Dates=H","DateFormat=P","Fill=—","Direction=H","UseDPDF=Y")</f>
        <v>179212.766</v>
      </c>
      <c r="I73" s="14">
        <f>_xll.BDH("FIS US Equity","ACTUAL_SALES_PER_EMPL","FY 2019","FY 2019","Currency=USD","Period=FY","BEST_FPERIOD_OVERRIDE=FY","FILING_STATUS=MR","FA_ADJUSTED=Adjusted","Sort=A","Dates=H","DateFormat=P","Fill=—","Direction=H","UseDPDF=Y")</f>
        <v>187872.7273</v>
      </c>
      <c r="J73" s="17"/>
      <c r="K73" s="14"/>
      <c r="L73" s="14"/>
    </row>
    <row r="74" spans="1:12" x14ac:dyDescent="0.45">
      <c r="A74" s="10" t="s">
        <v>146</v>
      </c>
      <c r="B74" s="10" t="s">
        <v>147</v>
      </c>
      <c r="C74" s="14">
        <f>_xll.BDH("FIS US Equity","EQY_DPS","FY 2013","FY 2013","Currency=USD","Period=FY","BEST_FPERIOD_OVERRIDE=FY","FILING_STATUS=MR","Sort=A","Dates=H","DateFormat=P","Fill=—","Direction=H","UseDPDF=Y")</f>
        <v>0.88</v>
      </c>
      <c r="D74" s="14">
        <f>_xll.BDH("FIS US Equity","EQY_DPS","FY 2014","FY 2014","Currency=USD","Period=FY","BEST_FPERIOD_OVERRIDE=FY","FILING_STATUS=MR","Sort=A","Dates=H","DateFormat=P","Fill=—","Direction=H","UseDPDF=Y")</f>
        <v>0.96</v>
      </c>
      <c r="E74" s="14">
        <f>_xll.BDH("FIS US Equity","EQY_DPS","FY 2015","FY 2015","Currency=USD","Period=FY","BEST_FPERIOD_OVERRIDE=FY","FILING_STATUS=MR","Sort=A","Dates=H","DateFormat=P","Fill=—","Direction=H","UseDPDF=Y")</f>
        <v>1.04</v>
      </c>
      <c r="F74" s="14">
        <f>_xll.BDH("FIS US Equity","EQY_DPS","FY 2016","FY 2016","Currency=USD","Period=FY","BEST_FPERIOD_OVERRIDE=FY","FILING_STATUS=MR","Sort=A","Dates=H","DateFormat=P","Fill=—","Direction=H","UseDPDF=Y")</f>
        <v>1.04</v>
      </c>
      <c r="G74" s="14">
        <f>_xll.BDH("FIS US Equity","EQY_DPS","FY 2017","FY 2017","Currency=USD","Period=FY","BEST_FPERIOD_OVERRIDE=FY","FILING_STATUS=MR","Sort=A","Dates=H","DateFormat=P","Fill=—","Direction=H","UseDPDF=Y")</f>
        <v>1.1599999999999999</v>
      </c>
      <c r="H74" s="14">
        <f>_xll.BDH("FIS US Equity","EQY_DPS","FY 2018","FY 2018","Currency=USD","Period=FY","BEST_FPERIOD_OVERRIDE=FY","FILING_STATUS=MR","Sort=A","Dates=H","DateFormat=P","Fill=—","Direction=H","UseDPDF=Y")</f>
        <v>1.28</v>
      </c>
      <c r="I74" s="14">
        <f>_xll.BDH("FIS US Equity","EQY_DPS","FY 2019","FY 2019","Currency=USD","Period=FY","BEST_FPERIOD_OVERRIDE=FY","FILING_STATUS=MR","Sort=A","Dates=H","DateFormat=P","Fill=—","Direction=H","UseDPDF=Y")</f>
        <v>1.4</v>
      </c>
      <c r="J74" s="17">
        <v>2.1</v>
      </c>
      <c r="K74" s="14">
        <v>1.4390000000000001</v>
      </c>
      <c r="L74" s="14">
        <v>1.5349999999999999</v>
      </c>
    </row>
    <row r="75" spans="1:12" x14ac:dyDescent="0.45">
      <c r="A75" s="10" t="s">
        <v>148</v>
      </c>
      <c r="B75" s="10" t="s">
        <v>149</v>
      </c>
      <c r="C75" s="13">
        <f>_xll.BDH("FIS US Equity","IS_TOT_CASH_COM_DVD","FY 2013","FY 2013","Currency=USD","Period=FY","BEST_FPERIOD_OVERRIDE=FY","FILING_STATUS=MR","SCALING_FORMAT=MLN","Sort=A","Dates=H","DateFormat=P","Fill=—","Direction=H","UseDPDF=Y")</f>
        <v>260.39999999999998</v>
      </c>
      <c r="D75" s="13">
        <f>_xll.BDH("FIS US Equity","IS_TOT_CASH_COM_DVD","FY 2014","FY 2014","Currency=USD","Period=FY","BEST_FPERIOD_OVERRIDE=FY","FILING_STATUS=MR","SCALING_FORMAT=MLN","Sort=A","Dates=H","DateFormat=P","Fill=—","Direction=H","UseDPDF=Y")</f>
        <v>273.60000000000002</v>
      </c>
      <c r="E75" s="13">
        <f>_xll.BDH("FIS US Equity","IS_TOT_CASH_COM_DVD","FY 2015","FY 2015","Currency=USD","Period=FY","BEST_FPERIOD_OVERRIDE=FY","FILING_STATUS=MR","SCALING_FORMAT=MLN","Sort=A","Dates=H","DateFormat=P","Fill=—","Direction=H","UseDPDF=Y")</f>
        <v>333</v>
      </c>
      <c r="F75" s="13">
        <f>_xll.BDH("FIS US Equity","IS_TOT_CASH_COM_DVD","FY 2016","FY 2016","Currency=USD","Period=FY","BEST_FPERIOD_OVERRIDE=FY","FILING_STATUS=MR","SCALING_FORMAT=MLN","Sort=A","Dates=H","DateFormat=P","Fill=—","Direction=H","UseDPDF=Y")</f>
        <v>365</v>
      </c>
      <c r="G75" s="13">
        <f>_xll.BDH("FIS US Equity","IS_TOT_CASH_COM_DVD","FY 2017","FY 2017","Currency=USD","Period=FY","BEST_FPERIOD_OVERRIDE=FY","FILING_STATUS=MR","SCALING_FORMAT=MLN","Sort=A","Dates=H","DateFormat=P","Fill=—","Direction=H","UseDPDF=Y")</f>
        <v>412</v>
      </c>
      <c r="H75" s="13">
        <f>_xll.BDH("FIS US Equity","IS_TOT_CASH_COM_DVD","FY 2018","FY 2018","Currency=USD","Period=FY","BEST_FPERIOD_OVERRIDE=FY","FILING_STATUS=MR","SCALING_FORMAT=MLN","Sort=A","Dates=H","DateFormat=P","Fill=—","Direction=H","UseDPDF=Y")</f>
        <v>451</v>
      </c>
      <c r="I75" s="13">
        <f>_xll.BDH("FIS US Equity","IS_TOT_CASH_COM_DVD","FY 2019","FY 2019","Currency=USD","Period=FY","BEST_FPERIOD_OVERRIDE=FY","FILING_STATUS=MR","SCALING_FORMAT=MLN","Sort=A","Dates=H","DateFormat=P","Fill=—","Direction=H","UseDPDF=Y")</f>
        <v>665</v>
      </c>
      <c r="J75" s="16">
        <v>1306</v>
      </c>
      <c r="K75" s="13"/>
      <c r="L75" s="13"/>
    </row>
    <row r="76" spans="1:12" x14ac:dyDescent="0.45">
      <c r="A76" s="10" t="s">
        <v>150</v>
      </c>
      <c r="B76" s="10" t="s">
        <v>151</v>
      </c>
      <c r="C76" s="13">
        <f>_xll.BDH("FIS US Equity","IS_DEPR_EXP","FY 2013","FY 2013","Currency=USD","Period=FY","BEST_FPERIOD_OVERRIDE=FY","FILING_STATUS=MR","SCALING_FORMAT=MLN","Sort=A","Dates=H","DateFormat=P","Fill=—","Direction=H","UseDPDF=Y")</f>
        <v>381.5</v>
      </c>
      <c r="D76" s="13">
        <f>_xll.BDH("FIS US Equity","IS_DEPR_EXP","FY 2014","FY 2014","Currency=USD","Period=FY","BEST_FPERIOD_OVERRIDE=FY","FILING_STATUS=MR","SCALING_FORMAT=MLN","Sort=A","Dates=H","DateFormat=P","Fill=—","Direction=H","UseDPDF=Y")</f>
        <v>130</v>
      </c>
      <c r="E76" s="13">
        <f>_xll.BDH("FIS US Equity","IS_DEPR_EXP","FY 2015","FY 2015","Currency=USD","Period=FY","BEST_FPERIOD_OVERRIDE=FY","FILING_STATUS=MR","SCALING_FORMAT=MLN","Sort=A","Dates=H","DateFormat=P","Fill=—","Direction=H","UseDPDF=Y")</f>
        <v>139</v>
      </c>
      <c r="F76" s="13">
        <f>_xll.BDH("FIS US Equity","IS_DEPR_EXP","FY 2016","FY 2016","Currency=USD","Period=FY","BEST_FPERIOD_OVERRIDE=FY","FILING_STATUS=MR","SCALING_FORMAT=MLN","Sort=A","Dates=H","DateFormat=P","Fill=—","Direction=H","UseDPDF=Y")</f>
        <v>635</v>
      </c>
      <c r="G76" s="13">
        <f>_xll.BDH("FIS US Equity","IS_DEPR_EXP","FY 2017","FY 2017","Currency=USD","Period=FY","BEST_FPERIOD_OVERRIDE=FY","FILING_STATUS=MR","SCALING_FORMAT=MLN","Sort=A","Dates=H","DateFormat=P","Fill=—","Direction=H","UseDPDF=Y")</f>
        <v>696</v>
      </c>
      <c r="H76" s="13">
        <f>_xll.BDH("FIS US Equity","IS_DEPR_EXP","FY 2018","FY 2018","Currency=USD","Period=FY","BEST_FPERIOD_OVERRIDE=FY","FILING_STATUS=MR","SCALING_FORMAT=MLN","Sort=A","Dates=H","DateFormat=P","Fill=—","Direction=H","UseDPDF=Y")</f>
        <v>29</v>
      </c>
      <c r="I76" s="13">
        <f>_xll.BDH("FIS US Equity","IS_DEPR_EXP","FY 2019","FY 2019","Currency=USD","Period=FY","BEST_FPERIOD_OVERRIDE=FY","FILING_STATUS=MR","SCALING_FORMAT=MLN","Sort=A","Dates=H","DateFormat=P","Fill=—","Direction=H","UseDPDF=Y")</f>
        <v>809</v>
      </c>
      <c r="J76" s="16">
        <v>1008</v>
      </c>
      <c r="K76" s="13"/>
      <c r="L76" s="13"/>
    </row>
    <row r="77" spans="1:12" x14ac:dyDescent="0.45">
      <c r="A77" s="10" t="s">
        <v>152</v>
      </c>
      <c r="B77" s="10" t="s">
        <v>153</v>
      </c>
      <c r="C77" s="13">
        <f>_xll.BDH("FIS US Equity","BS_CURR_RENTAL_EXPENSE","FY 2013","FY 2013","Currency=USD","Period=FY","BEST_FPERIOD_OVERRIDE=FY","FILING_STATUS=MR","SCALING_FORMAT=MLN","Sort=A","Dates=H","DateFormat=P","Fill=—","Direction=H","UseDPDF=Y")</f>
        <v>80</v>
      </c>
      <c r="D77" s="13">
        <f>_xll.BDH("FIS US Equity","BS_CURR_RENTAL_EXPENSE","FY 2014","FY 2014","Currency=USD","Period=FY","BEST_FPERIOD_OVERRIDE=FY","FILING_STATUS=MR","SCALING_FORMAT=MLN","Sort=A","Dates=H","DateFormat=P","Fill=—","Direction=H","UseDPDF=Y")</f>
        <v>85.3</v>
      </c>
      <c r="E77" s="13">
        <f>_xll.BDH("FIS US Equity","BS_CURR_RENTAL_EXPENSE","FY 2015","FY 2015","Currency=USD","Period=FY","BEST_FPERIOD_OVERRIDE=FY","FILING_STATUS=MR","SCALING_FORMAT=MLN","Sort=A","Dates=H","DateFormat=P","Fill=—","Direction=H","UseDPDF=Y")</f>
        <v>92.8</v>
      </c>
      <c r="F77" s="13">
        <f>_xll.BDH("FIS US Equity","BS_CURR_RENTAL_EXPENSE","FY 2016","FY 2016","Currency=USD","Period=FY","BEST_FPERIOD_OVERRIDE=FY","FILING_STATUS=MR","SCALING_FORMAT=MLN","Sort=A","Dates=H","DateFormat=P","Fill=—","Direction=H","UseDPDF=Y")</f>
        <v>143</v>
      </c>
      <c r="G77" s="13">
        <f>_xll.BDH("FIS US Equity","BS_CURR_RENTAL_EXPENSE","FY 2017","FY 2017","Currency=USD","Period=FY","BEST_FPERIOD_OVERRIDE=FY","FILING_STATUS=MR","SCALING_FORMAT=MLN","Sort=A","Dates=H","DateFormat=P","Fill=—","Direction=H","UseDPDF=Y")</f>
        <v>134</v>
      </c>
      <c r="H77" s="13">
        <f>_xll.BDH("FIS US Equity","BS_CURR_RENTAL_EXPENSE","FY 2018","FY 2018","Currency=USD","Period=FY","BEST_FPERIOD_OVERRIDE=FY","FILING_STATUS=MR","SCALING_FORMAT=MLN","Sort=A","Dates=H","DateFormat=P","Fill=—","Direction=H","UseDPDF=Y")</f>
        <v>147</v>
      </c>
      <c r="I77" s="13">
        <f>_xll.BDH("FIS US Equity","BS_CURR_RENTAL_EXPENSE","FY 2019","FY 2019","Currency=USD","Period=FY","BEST_FPERIOD_OVERRIDE=FY","FILING_STATUS=MR","SCALING_FORMAT=MLN","Sort=A","Dates=H","DateFormat=P","Fill=—","Direction=H","UseDPDF=Y")</f>
        <v>179</v>
      </c>
      <c r="J77" s="16"/>
      <c r="K77" s="13"/>
      <c r="L77" s="13"/>
    </row>
    <row r="78" spans="1:12" x14ac:dyDescent="0.45">
      <c r="A78" s="7" t="s">
        <v>154</v>
      </c>
      <c r="B78" s="7"/>
      <c r="C78" s="7" t="s">
        <v>3</v>
      </c>
      <c r="D78" s="7"/>
      <c r="E78" s="7"/>
      <c r="F78" s="7"/>
      <c r="G78" s="7"/>
      <c r="H78" s="7"/>
      <c r="I78" s="7"/>
      <c r="J78" s="7"/>
      <c r="K78" s="7"/>
      <c r="L7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-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Ryan Malloy</cp:lastModifiedBy>
  <dcterms:created xsi:type="dcterms:W3CDTF">2013-04-03T15:49:21Z</dcterms:created>
  <dcterms:modified xsi:type="dcterms:W3CDTF">2021-02-05T21:09:57Z</dcterms:modified>
</cp:coreProperties>
</file>