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0ac44d67c14197e/Desktop/blp/data/"/>
    </mc:Choice>
  </mc:AlternateContent>
  <xr:revisionPtr revIDLastSave="0" documentId="8_{E4EF7E78-8BAE-43CE-88CC-15A1C2B80E19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Balance Sheet - Standardized" sheetId="2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5" i="2" l="1"/>
  <c r="G22" i="2"/>
  <c r="E11" i="2"/>
  <c r="E27" i="2"/>
  <c r="E41" i="2"/>
  <c r="K32" i="2"/>
  <c r="C16" i="2"/>
  <c r="G60" i="2"/>
  <c r="J51" i="2"/>
  <c r="C69" i="2"/>
  <c r="H64" i="2"/>
  <c r="E73" i="2"/>
  <c r="G87" i="2"/>
  <c r="I79" i="2"/>
  <c r="K81" i="2"/>
  <c r="I90" i="2"/>
  <c r="K93" i="2"/>
  <c r="C97" i="2"/>
  <c r="K8" i="2"/>
  <c r="D10" i="2"/>
  <c r="G7" i="2"/>
  <c r="F11" i="2"/>
  <c r="L12" i="2"/>
  <c r="H14" i="2"/>
  <c r="J17" i="2"/>
  <c r="F19" i="2"/>
  <c r="D16" i="2"/>
  <c r="H22" i="2"/>
  <c r="L20" i="2"/>
  <c r="J25" i="2"/>
  <c r="D24" i="2"/>
  <c r="F27" i="2"/>
  <c r="L28" i="2"/>
  <c r="C31" i="2"/>
  <c r="L32" i="2"/>
  <c r="E35" i="2"/>
  <c r="F41" i="2"/>
  <c r="G37" i="2"/>
  <c r="I43" i="2"/>
  <c r="K45" i="2"/>
  <c r="J47" i="2"/>
  <c r="C50" i="2"/>
  <c r="E52" i="2"/>
  <c r="D54" i="2"/>
  <c r="G56" i="2"/>
  <c r="I58" i="2"/>
  <c r="H60" i="2"/>
  <c r="C65" i="2"/>
  <c r="L66" i="2"/>
  <c r="E69" i="2"/>
  <c r="K62" i="2"/>
  <c r="G71" i="2"/>
  <c r="F73" i="2"/>
  <c r="I75" i="2"/>
  <c r="C82" i="2"/>
  <c r="K77" i="2"/>
  <c r="H87" i="2"/>
  <c r="J79" i="2"/>
  <c r="J90" i="2"/>
  <c r="L93" i="2"/>
  <c r="D97" i="2"/>
  <c r="K28" i="2"/>
  <c r="F7" i="2"/>
  <c r="K12" i="2"/>
  <c r="E19" i="2"/>
  <c r="D58" i="2"/>
  <c r="K49" i="2"/>
  <c r="J7" i="2"/>
  <c r="L70" i="2"/>
  <c r="G11" i="2"/>
  <c r="K17" i="2"/>
  <c r="C29" i="2"/>
  <c r="I22" i="2"/>
  <c r="G52" i="2"/>
  <c r="F35" i="2"/>
  <c r="H56" i="2"/>
  <c r="J43" i="2"/>
  <c r="C46" i="2"/>
  <c r="K58" i="2"/>
  <c r="L62" i="2"/>
  <c r="G67" i="2"/>
  <c r="I71" i="2"/>
  <c r="C35" i="2"/>
  <c r="J75" i="2"/>
  <c r="E80" i="2"/>
  <c r="E88" i="2"/>
  <c r="K97" i="2"/>
  <c r="G10" i="2"/>
  <c r="G13" i="2"/>
  <c r="C9" i="2"/>
  <c r="I16" i="2"/>
  <c r="K19" i="2"/>
  <c r="E26" i="2"/>
  <c r="K27" i="2"/>
  <c r="C23" i="2"/>
  <c r="I33" i="2"/>
  <c r="J37" i="2"/>
  <c r="F31" i="2"/>
  <c r="E44" i="2"/>
  <c r="C42" i="2"/>
  <c r="D46" i="2"/>
  <c r="G48" i="2"/>
  <c r="H52" i="2"/>
  <c r="I50" i="2"/>
  <c r="C57" i="2"/>
  <c r="L58" i="2"/>
  <c r="E61" i="2"/>
  <c r="F65" i="2"/>
  <c r="G63" i="2"/>
  <c r="I67" i="2"/>
  <c r="K69" i="2"/>
  <c r="C74" i="2"/>
  <c r="J71" i="2"/>
  <c r="D78" i="2"/>
  <c r="E76" i="2"/>
  <c r="K54" i="2"/>
  <c r="G80" i="2"/>
  <c r="L97" i="2"/>
  <c r="I82" i="2"/>
  <c r="F88" i="2"/>
  <c r="H91" i="2"/>
  <c r="J94" i="2"/>
  <c r="H10" i="2"/>
  <c r="C8" i="2"/>
  <c r="C12" i="2"/>
  <c r="F9" i="2"/>
  <c r="I13" i="2"/>
  <c r="E15" i="2"/>
  <c r="G18" i="2"/>
  <c r="I21" i="2"/>
  <c r="C20" i="2"/>
  <c r="K16" i="2"/>
  <c r="E23" i="2"/>
  <c r="K24" i="2"/>
  <c r="I29" i="2"/>
  <c r="C28" i="2"/>
  <c r="G26" i="2"/>
  <c r="K31" i="2"/>
  <c r="J33" i="2"/>
  <c r="C36" i="2"/>
  <c r="E38" i="2"/>
  <c r="D42" i="2"/>
  <c r="H48" i="2"/>
  <c r="I46" i="2"/>
  <c r="G44" i="2"/>
  <c r="C53" i="2"/>
  <c r="K50" i="2"/>
  <c r="L54" i="2"/>
  <c r="J67" i="2"/>
  <c r="G59" i="2"/>
  <c r="E57" i="2"/>
  <c r="F61" i="2"/>
  <c r="I63" i="2"/>
  <c r="K65" i="2"/>
  <c r="D74" i="2"/>
  <c r="C70" i="2"/>
  <c r="G76" i="2"/>
  <c r="E72" i="2"/>
  <c r="I78" i="2"/>
  <c r="H80" i="2"/>
  <c r="K82" i="2"/>
  <c r="C89" i="2"/>
  <c r="E92" i="2"/>
  <c r="G95" i="2"/>
  <c r="K9" i="2"/>
  <c r="I98" i="2"/>
  <c r="K20" i="2"/>
  <c r="I25" i="2"/>
  <c r="I17" i="2"/>
  <c r="H30" i="2"/>
  <c r="K66" i="2"/>
  <c r="L36" i="2"/>
  <c r="I47" i="2"/>
  <c r="F77" i="2"/>
  <c r="I62" i="2"/>
  <c r="C54" i="2"/>
  <c r="G19" i="2"/>
  <c r="I14" i="2"/>
  <c r="E10" i="2"/>
  <c r="E24" i="2"/>
  <c r="K41" i="2"/>
  <c r="G27" i="2"/>
  <c r="E48" i="2"/>
  <c r="G33" i="2"/>
  <c r="I54" i="2"/>
  <c r="C61" i="2"/>
  <c r="E65" i="2"/>
  <c r="F69" i="2"/>
  <c r="K73" i="2"/>
  <c r="C78" i="2"/>
  <c r="D82" i="2"/>
  <c r="I94" i="2"/>
  <c r="K7" i="2"/>
  <c r="G91" i="2"/>
  <c r="K11" i="2"/>
  <c r="C15" i="2"/>
  <c r="E18" i="2"/>
  <c r="G29" i="2"/>
  <c r="G21" i="2"/>
  <c r="I24" i="2"/>
  <c r="K35" i="2"/>
  <c r="G9" i="2"/>
  <c r="D8" i="2"/>
  <c r="I10" i="2"/>
  <c r="D12" i="2"/>
  <c r="J13" i="2"/>
  <c r="L16" i="2"/>
  <c r="J21" i="2"/>
  <c r="H18" i="2"/>
  <c r="D20" i="2"/>
  <c r="F23" i="2"/>
  <c r="L24" i="2"/>
  <c r="H26" i="2"/>
  <c r="D28" i="2"/>
  <c r="J29" i="2"/>
  <c r="C32" i="2"/>
  <c r="E34" i="2"/>
  <c r="D36" i="2"/>
  <c r="I42" i="2"/>
  <c r="G38" i="2"/>
  <c r="H44" i="2"/>
  <c r="F15" i="2"/>
  <c r="K46" i="2"/>
  <c r="C49" i="2"/>
  <c r="L50" i="2"/>
  <c r="I59" i="2"/>
  <c r="E53" i="2"/>
  <c r="F57" i="2"/>
  <c r="G55" i="2"/>
  <c r="K61" i="2"/>
  <c r="J63" i="2"/>
  <c r="C66" i="2"/>
  <c r="D70" i="2"/>
  <c r="E68" i="2"/>
  <c r="I74" i="2"/>
  <c r="G72" i="2"/>
  <c r="C81" i="2"/>
  <c r="L82" i="2"/>
  <c r="K78" i="2"/>
  <c r="H76" i="2"/>
  <c r="D89" i="2"/>
  <c r="F92" i="2"/>
  <c r="I8" i="2"/>
  <c r="H95" i="2"/>
  <c r="C24" i="2"/>
  <c r="G14" i="2"/>
  <c r="J98" i="2"/>
  <c r="G43" i="2"/>
  <c r="L8" i="2"/>
  <c r="G75" i="2"/>
  <c r="E56" i="2"/>
  <c r="C13" i="2"/>
  <c r="E16" i="2"/>
  <c r="C21" i="2"/>
  <c r="E31" i="2"/>
  <c r="I37" i="2"/>
  <c r="K25" i="2"/>
  <c r="E8" i="2"/>
  <c r="C7" i="2"/>
  <c r="D50" i="2"/>
  <c r="E12" i="2"/>
  <c r="I9" i="2"/>
  <c r="L10" i="2"/>
  <c r="K13" i="2"/>
  <c r="C17" i="2"/>
  <c r="G15" i="2"/>
  <c r="E20" i="2"/>
  <c r="I18" i="2"/>
  <c r="C25" i="2"/>
  <c r="I26" i="2"/>
  <c r="E30" i="2"/>
  <c r="K21" i="2"/>
  <c r="E28" i="2"/>
  <c r="D32" i="2"/>
  <c r="H38" i="2"/>
  <c r="G34" i="2"/>
  <c r="I36" i="2"/>
  <c r="K42" i="2"/>
  <c r="C45" i="2"/>
  <c r="L46" i="2"/>
  <c r="G51" i="2"/>
  <c r="G23" i="2"/>
  <c r="E49" i="2"/>
  <c r="F53" i="2"/>
  <c r="I55" i="2"/>
  <c r="J59" i="2"/>
  <c r="K57" i="2"/>
  <c r="E64" i="2"/>
  <c r="C62" i="2"/>
  <c r="D66" i="2"/>
  <c r="G68" i="2"/>
  <c r="I70" i="2"/>
  <c r="K74" i="2"/>
  <c r="H72" i="2"/>
  <c r="K89" i="2"/>
  <c r="C77" i="2"/>
  <c r="L78" i="2"/>
  <c r="E81" i="2"/>
  <c r="C93" i="2"/>
  <c r="I83" i="2"/>
  <c r="E96" i="2"/>
  <c r="G99" i="2"/>
  <c r="E7" i="2"/>
  <c r="H8" i="2"/>
  <c r="J9" i="2"/>
  <c r="C11" i="2"/>
  <c r="E14" i="2"/>
  <c r="K15" i="2"/>
  <c r="I12" i="2"/>
  <c r="G17" i="2"/>
  <c r="C19" i="2"/>
  <c r="I20" i="2"/>
  <c r="E22" i="2"/>
  <c r="G25" i="2"/>
  <c r="K23" i="2"/>
  <c r="C27" i="2"/>
  <c r="K36" i="2"/>
  <c r="G30" i="2"/>
  <c r="I28" i="2"/>
  <c r="I32" i="2"/>
  <c r="H34" i="2"/>
  <c r="C41" i="2"/>
  <c r="E45" i="2"/>
  <c r="F49" i="2"/>
  <c r="L42" i="2"/>
  <c r="I51" i="2"/>
  <c r="G47" i="2"/>
  <c r="K53" i="2"/>
  <c r="J55" i="2"/>
  <c r="C58" i="2"/>
  <c r="D62" i="2"/>
  <c r="G64" i="2"/>
  <c r="I66" i="2"/>
  <c r="E60" i="2"/>
  <c r="H68" i="2"/>
  <c r="K70" i="2"/>
  <c r="C73" i="2"/>
  <c r="G79" i="2"/>
  <c r="L74" i="2"/>
  <c r="E77" i="2"/>
  <c r="J83" i="2"/>
  <c r="H99" i="2"/>
  <c r="L89" i="2"/>
  <c r="D93" i="2"/>
  <c r="F96" i="2"/>
  <c r="F81" i="2"/>
  <c r="G83" i="2"/>
  <c r="K88" i="2"/>
  <c r="C88" i="2"/>
  <c r="E87" i="2"/>
  <c r="G90" i="2"/>
  <c r="I89" i="2"/>
  <c r="C92" i="2"/>
  <c r="G94" i="2"/>
  <c r="E95" i="2"/>
  <c r="K92" i="2"/>
  <c r="I93" i="2"/>
  <c r="C96" i="2"/>
  <c r="I97" i="2"/>
  <c r="E99" i="2"/>
  <c r="K96" i="2"/>
  <c r="E91" i="2"/>
  <c r="G98" i="2"/>
  <c r="D7" i="2"/>
  <c r="H9" i="2"/>
  <c r="L7" i="2"/>
  <c r="J8" i="2"/>
  <c r="D11" i="2"/>
  <c r="F10" i="2"/>
  <c r="L11" i="2"/>
  <c r="H13" i="2"/>
  <c r="J12" i="2"/>
  <c r="L15" i="2"/>
  <c r="D15" i="2"/>
  <c r="F14" i="2"/>
  <c r="J16" i="2"/>
  <c r="J20" i="2"/>
  <c r="H17" i="2"/>
  <c r="D19" i="2"/>
  <c r="L19" i="2"/>
  <c r="F18" i="2"/>
  <c r="F22" i="2"/>
  <c r="H21" i="2"/>
  <c r="J24" i="2"/>
  <c r="D23" i="2"/>
  <c r="L23" i="2"/>
  <c r="H25" i="2"/>
  <c r="D27" i="2"/>
  <c r="F26" i="2"/>
  <c r="L27" i="2"/>
  <c r="H29" i="2"/>
  <c r="J28" i="2"/>
  <c r="F30" i="2"/>
  <c r="L31" i="2"/>
  <c r="H33" i="2"/>
  <c r="D31" i="2"/>
  <c r="J32" i="2"/>
  <c r="F34" i="2"/>
  <c r="J36" i="2"/>
  <c r="D35" i="2"/>
  <c r="L35" i="2"/>
  <c r="F38" i="2"/>
  <c r="H37" i="2"/>
  <c r="D41" i="2"/>
  <c r="L41" i="2"/>
  <c r="J42" i="2"/>
  <c r="F44" i="2"/>
  <c r="D45" i="2"/>
  <c r="H43" i="2"/>
  <c r="L45" i="2"/>
  <c r="J46" i="2"/>
  <c r="H47" i="2"/>
  <c r="F48" i="2"/>
  <c r="L49" i="2"/>
  <c r="D49" i="2"/>
  <c r="J50" i="2"/>
  <c r="D53" i="2"/>
  <c r="F52" i="2"/>
  <c r="H51" i="2"/>
  <c r="L53" i="2"/>
  <c r="H55" i="2"/>
  <c r="J54" i="2"/>
  <c r="F56" i="2"/>
  <c r="D57" i="2"/>
  <c r="H59" i="2"/>
  <c r="L57" i="2"/>
  <c r="J58" i="2"/>
  <c r="L61" i="2"/>
  <c r="F60" i="2"/>
  <c r="D61" i="2"/>
  <c r="J62" i="2"/>
  <c r="H63" i="2"/>
  <c r="F64" i="2"/>
  <c r="L65" i="2"/>
  <c r="D65" i="2"/>
  <c r="J66" i="2"/>
  <c r="F68" i="2"/>
  <c r="H67" i="2"/>
  <c r="J70" i="2"/>
  <c r="L69" i="2"/>
  <c r="D69" i="2"/>
  <c r="H71" i="2"/>
  <c r="F72" i="2"/>
  <c r="D73" i="2"/>
  <c r="L73" i="2"/>
  <c r="J74" i="2"/>
  <c r="H75" i="2"/>
  <c r="F76" i="2"/>
  <c r="L77" i="2"/>
  <c r="F80" i="2"/>
  <c r="J78" i="2"/>
  <c r="H79" i="2"/>
  <c r="D81" i="2"/>
  <c r="J82" i="2"/>
  <c r="L81" i="2"/>
  <c r="H83" i="2"/>
  <c r="D88" i="2"/>
  <c r="F87" i="2"/>
  <c r="L88" i="2"/>
  <c r="H90" i="2"/>
  <c r="J89" i="2"/>
  <c r="L92" i="2"/>
  <c r="F91" i="2"/>
  <c r="D77" i="2"/>
  <c r="D92" i="2"/>
  <c r="J93" i="2"/>
  <c r="F95" i="2"/>
  <c r="H94" i="2"/>
  <c r="J97" i="2"/>
  <c r="D96" i="2"/>
  <c r="L96" i="2"/>
  <c r="H98" i="2"/>
  <c r="F99" i="2"/>
  <c r="I30" i="2"/>
  <c r="C37" i="2"/>
  <c r="E32" i="2"/>
  <c r="G35" i="2"/>
  <c r="K43" i="2"/>
  <c r="G41" i="2"/>
  <c r="E46" i="2"/>
  <c r="G49" i="2"/>
  <c r="K51" i="2"/>
  <c r="G53" i="2"/>
  <c r="K55" i="2"/>
  <c r="G57" i="2"/>
  <c r="E58" i="2"/>
  <c r="G61" i="2"/>
  <c r="I60" i="2"/>
  <c r="E62" i="2"/>
  <c r="C63" i="2"/>
  <c r="K63" i="2"/>
  <c r="I64" i="2"/>
  <c r="E66" i="2"/>
  <c r="C67" i="2"/>
  <c r="G65" i="2"/>
  <c r="K67" i="2"/>
  <c r="I68" i="2"/>
  <c r="K71" i="2"/>
  <c r="G69" i="2"/>
  <c r="C71" i="2"/>
  <c r="E70" i="2"/>
  <c r="I72" i="2"/>
  <c r="G73" i="2"/>
  <c r="K75" i="2"/>
  <c r="C75" i="2"/>
  <c r="G77" i="2"/>
  <c r="I76" i="2"/>
  <c r="E74" i="2"/>
  <c r="E78" i="2"/>
  <c r="C79" i="2"/>
  <c r="G81" i="2"/>
  <c r="K79" i="2"/>
  <c r="E82" i="2"/>
  <c r="I80" i="2"/>
  <c r="C83" i="2"/>
  <c r="E89" i="2"/>
  <c r="G88" i="2"/>
  <c r="C90" i="2"/>
  <c r="K83" i="2"/>
  <c r="I87" i="2"/>
  <c r="K90" i="2"/>
  <c r="I91" i="2"/>
  <c r="C94" i="2"/>
  <c r="K94" i="2"/>
  <c r="G92" i="2"/>
  <c r="E93" i="2"/>
  <c r="I95" i="2"/>
  <c r="E97" i="2"/>
  <c r="K29" i="2"/>
  <c r="G96" i="2"/>
  <c r="I99" i="2"/>
  <c r="C98" i="2"/>
  <c r="K98" i="2"/>
  <c r="E42" i="2"/>
  <c r="I34" i="2"/>
  <c r="C33" i="2"/>
  <c r="I44" i="2"/>
  <c r="K37" i="2"/>
  <c r="C47" i="2"/>
  <c r="E54" i="2"/>
  <c r="C51" i="2"/>
  <c r="I48" i="2"/>
  <c r="K59" i="2"/>
  <c r="D9" i="2"/>
  <c r="I56" i="2"/>
  <c r="F12" i="2"/>
  <c r="J10" i="2"/>
  <c r="L13" i="2"/>
  <c r="J14" i="2"/>
  <c r="H15" i="2"/>
  <c r="F16" i="2"/>
  <c r="L17" i="2"/>
  <c r="D17" i="2"/>
  <c r="H19" i="2"/>
  <c r="J18" i="2"/>
  <c r="D21" i="2"/>
  <c r="F20" i="2"/>
  <c r="L21" i="2"/>
  <c r="J22" i="2"/>
  <c r="H23" i="2"/>
  <c r="F24" i="2"/>
  <c r="D25" i="2"/>
  <c r="L25" i="2"/>
  <c r="J26" i="2"/>
  <c r="H27" i="2"/>
  <c r="F28" i="2"/>
  <c r="J30" i="2"/>
  <c r="D29" i="2"/>
  <c r="L29" i="2"/>
  <c r="L33" i="2"/>
  <c r="D33" i="2"/>
  <c r="J34" i="2"/>
  <c r="H31" i="2"/>
  <c r="F32" i="2"/>
  <c r="F36" i="2"/>
  <c r="H35" i="2"/>
  <c r="D37" i="2"/>
  <c r="L37" i="2"/>
  <c r="J38" i="2"/>
  <c r="H41" i="2"/>
  <c r="F42" i="2"/>
  <c r="D43" i="2"/>
  <c r="L43" i="2"/>
  <c r="J44" i="2"/>
  <c r="H45" i="2"/>
  <c r="F46" i="2"/>
  <c r="L47" i="2"/>
  <c r="D47" i="2"/>
  <c r="J48" i="2"/>
  <c r="H49" i="2"/>
  <c r="D51" i="2"/>
  <c r="F50" i="2"/>
  <c r="H53" i="2"/>
  <c r="L51" i="2"/>
  <c r="J52" i="2"/>
  <c r="F54" i="2"/>
  <c r="D55" i="2"/>
  <c r="J56" i="2"/>
  <c r="L55" i="2"/>
  <c r="H57" i="2"/>
  <c r="F58" i="2"/>
  <c r="D59" i="2"/>
  <c r="L59" i="2"/>
  <c r="F62" i="2"/>
  <c r="J60" i="2"/>
  <c r="H61" i="2"/>
  <c r="L63" i="2"/>
  <c r="J64" i="2"/>
  <c r="H65" i="2"/>
  <c r="L67" i="2"/>
  <c r="F66" i="2"/>
  <c r="D67" i="2"/>
  <c r="J68" i="2"/>
  <c r="H69" i="2"/>
  <c r="D71" i="2"/>
  <c r="F70" i="2"/>
  <c r="J72" i="2"/>
  <c r="L71" i="2"/>
  <c r="F74" i="2"/>
  <c r="H73" i="2"/>
  <c r="L75" i="2"/>
  <c r="D75" i="2"/>
  <c r="J76" i="2"/>
  <c r="D63" i="2"/>
  <c r="H77" i="2"/>
  <c r="D79" i="2"/>
  <c r="F78" i="2"/>
  <c r="L79" i="2"/>
  <c r="J80" i="2"/>
  <c r="H81" i="2"/>
  <c r="F82" i="2"/>
  <c r="L83" i="2"/>
  <c r="D83" i="2"/>
  <c r="J87" i="2"/>
  <c r="F89" i="2"/>
  <c r="H88" i="2"/>
  <c r="D90" i="2"/>
  <c r="L90" i="2"/>
  <c r="J91" i="2"/>
  <c r="F93" i="2"/>
  <c r="D94" i="2"/>
  <c r="H92" i="2"/>
  <c r="L94" i="2"/>
  <c r="J99" i="2"/>
  <c r="H96" i="2"/>
  <c r="F97" i="2"/>
  <c r="D98" i="2"/>
  <c r="L98" i="2"/>
  <c r="G31" i="2"/>
  <c r="I38" i="2"/>
  <c r="E36" i="2"/>
  <c r="J95" i="2"/>
  <c r="K33" i="2"/>
  <c r="C43" i="2"/>
  <c r="G45" i="2"/>
  <c r="C55" i="2"/>
  <c r="K47" i="2"/>
  <c r="E50" i="2"/>
  <c r="I52" i="2"/>
  <c r="C59" i="2"/>
  <c r="H7" i="2"/>
  <c r="L9" i="2"/>
  <c r="F8" i="2"/>
  <c r="D13" i="2"/>
  <c r="H11" i="2"/>
  <c r="I7" i="2"/>
  <c r="G8" i="2"/>
  <c r="I11" i="2"/>
  <c r="G12" i="2"/>
  <c r="E9" i="2"/>
  <c r="K10" i="2"/>
  <c r="C10" i="2"/>
  <c r="E13" i="2"/>
  <c r="I15" i="2"/>
  <c r="K14" i="2"/>
  <c r="C14" i="2"/>
  <c r="G16" i="2"/>
  <c r="E17" i="2"/>
  <c r="C18" i="2"/>
  <c r="I19" i="2"/>
  <c r="K18" i="2"/>
  <c r="K22" i="2"/>
  <c r="G20" i="2"/>
  <c r="E21" i="2"/>
  <c r="C22" i="2"/>
  <c r="E25" i="2"/>
  <c r="G24" i="2"/>
  <c r="I23" i="2"/>
  <c r="C26" i="2"/>
  <c r="K26" i="2"/>
  <c r="I27" i="2"/>
  <c r="G28" i="2"/>
  <c r="K30" i="2"/>
  <c r="C30" i="2"/>
  <c r="E29" i="2"/>
  <c r="I31" i="2"/>
  <c r="G32" i="2"/>
  <c r="E33" i="2"/>
  <c r="C34" i="2"/>
  <c r="G36" i="2"/>
  <c r="K34" i="2"/>
  <c r="E37" i="2"/>
  <c r="C38" i="2"/>
  <c r="I41" i="2"/>
  <c r="K38" i="2"/>
  <c r="G42" i="2"/>
  <c r="E43" i="2"/>
  <c r="C44" i="2"/>
  <c r="K44" i="2"/>
  <c r="G46" i="2"/>
  <c r="I45" i="2"/>
  <c r="E47" i="2"/>
  <c r="C48" i="2"/>
  <c r="K48" i="2"/>
  <c r="I49" i="2"/>
  <c r="G50" i="2"/>
  <c r="K52" i="2"/>
  <c r="C52" i="2"/>
  <c r="E51" i="2"/>
  <c r="I53" i="2"/>
  <c r="E55" i="2"/>
  <c r="G54" i="2"/>
  <c r="K56" i="2"/>
  <c r="G58" i="2"/>
  <c r="C56" i="2"/>
  <c r="I35" i="2"/>
  <c r="I57" i="2"/>
  <c r="E59" i="2"/>
  <c r="C60" i="2"/>
  <c r="I61" i="2"/>
  <c r="K60" i="2"/>
  <c r="G62" i="2"/>
  <c r="K64" i="2"/>
  <c r="I65" i="2"/>
  <c r="E63" i="2"/>
  <c r="C64" i="2"/>
  <c r="G66" i="2"/>
  <c r="E67" i="2"/>
  <c r="K68" i="2"/>
  <c r="C68" i="2"/>
  <c r="I69" i="2"/>
  <c r="G70" i="2"/>
  <c r="E71" i="2"/>
  <c r="C72" i="2"/>
  <c r="K72" i="2"/>
  <c r="E75" i="2"/>
  <c r="I73" i="2"/>
  <c r="G74" i="2"/>
  <c r="C76" i="2"/>
  <c r="K76" i="2"/>
  <c r="I77" i="2"/>
  <c r="G78" i="2"/>
  <c r="C80" i="2"/>
  <c r="E79" i="2"/>
  <c r="K80" i="2"/>
  <c r="I81" i="2"/>
  <c r="C87" i="2"/>
  <c r="G82" i="2"/>
  <c r="E83" i="2"/>
  <c r="K87" i="2"/>
  <c r="C91" i="2"/>
  <c r="I88" i="2"/>
  <c r="E90" i="2"/>
  <c r="K91" i="2"/>
  <c r="G89" i="2"/>
  <c r="I92" i="2"/>
  <c r="G93" i="2"/>
  <c r="C95" i="2"/>
  <c r="E94" i="2"/>
  <c r="K95" i="2"/>
  <c r="I96" i="2"/>
  <c r="G97" i="2"/>
  <c r="E98" i="2"/>
  <c r="C99" i="2"/>
  <c r="K99" i="2"/>
  <c r="J11" i="2"/>
  <c r="H12" i="2"/>
  <c r="F13" i="2"/>
  <c r="D14" i="2"/>
  <c r="J15" i="2"/>
  <c r="L14" i="2"/>
  <c r="D18" i="2"/>
  <c r="H16" i="2"/>
  <c r="F17" i="2"/>
  <c r="J19" i="2"/>
  <c r="L18" i="2"/>
  <c r="F21" i="2"/>
  <c r="H20" i="2"/>
  <c r="L22" i="2"/>
  <c r="J23" i="2"/>
  <c r="H24" i="2"/>
  <c r="D22" i="2"/>
  <c r="F25" i="2"/>
  <c r="D26" i="2"/>
  <c r="J27" i="2"/>
  <c r="L26" i="2"/>
  <c r="H28" i="2"/>
  <c r="F29" i="2"/>
  <c r="D30" i="2"/>
  <c r="L30" i="2"/>
  <c r="H32" i="2"/>
  <c r="J31" i="2"/>
  <c r="F33" i="2"/>
  <c r="D34" i="2"/>
  <c r="L34" i="2"/>
  <c r="J35" i="2"/>
  <c r="H36" i="2"/>
  <c r="F37" i="2"/>
  <c r="L38" i="2"/>
  <c r="D38" i="2"/>
  <c r="H42" i="2"/>
  <c r="J41" i="2"/>
  <c r="F43" i="2"/>
  <c r="D44" i="2"/>
  <c r="H46" i="2"/>
  <c r="F47" i="2"/>
  <c r="L44" i="2"/>
  <c r="J45" i="2"/>
  <c r="D48" i="2"/>
  <c r="H50" i="2"/>
  <c r="F51" i="2"/>
  <c r="J49" i="2"/>
  <c r="L48" i="2"/>
  <c r="D52" i="2"/>
  <c r="L52" i="2"/>
  <c r="D56" i="2"/>
  <c r="F55" i="2"/>
  <c r="J53" i="2"/>
  <c r="H54" i="2"/>
  <c r="L56" i="2"/>
  <c r="J57" i="2"/>
  <c r="H58" i="2"/>
  <c r="F59" i="2"/>
  <c r="L60" i="2"/>
  <c r="D60" i="2"/>
  <c r="J61" i="2"/>
  <c r="H62" i="2"/>
  <c r="D64" i="2"/>
  <c r="J65" i="2"/>
  <c r="L64" i="2"/>
  <c r="H66" i="2"/>
  <c r="F63" i="2"/>
  <c r="D68" i="2"/>
  <c r="J69" i="2"/>
  <c r="F67" i="2"/>
  <c r="L68" i="2"/>
  <c r="H70" i="2"/>
  <c r="F71" i="2"/>
  <c r="H74" i="2"/>
  <c r="D72" i="2"/>
  <c r="J73" i="2"/>
  <c r="L72" i="2"/>
  <c r="F83" i="2"/>
  <c r="D76" i="2"/>
  <c r="J77" i="2"/>
  <c r="F75" i="2"/>
  <c r="H78" i="2"/>
  <c r="L76" i="2"/>
  <c r="J81" i="2"/>
  <c r="D80" i="2"/>
  <c r="F79" i="2"/>
  <c r="L80" i="2"/>
  <c r="H82" i="2"/>
  <c r="H89" i="2"/>
  <c r="D87" i="2"/>
  <c r="J88" i="2"/>
  <c r="L87" i="2"/>
  <c r="F90" i="2"/>
  <c r="D91" i="2"/>
  <c r="L91" i="2"/>
  <c r="J92" i="2"/>
  <c r="F94" i="2"/>
  <c r="H93" i="2"/>
  <c r="D95" i="2"/>
  <c r="F98" i="2"/>
  <c r="L99" i="2"/>
  <c r="H97" i="2"/>
  <c r="L95" i="2"/>
  <c r="D99" i="2"/>
  <c r="J96" i="2"/>
</calcChain>
</file>

<file path=xl/sharedStrings.xml><?xml version="1.0" encoding="utf-8"?>
<sst xmlns="http://schemas.openxmlformats.org/spreadsheetml/2006/main" count="216" uniqueCount="202">
  <si>
    <t>Reference Items</t>
  </si>
  <si>
    <t>Right click to show data transparency (not supported for all values)</t>
  </si>
  <si>
    <t>Microchip Technology Inc (MCHP US) - Standardized</t>
  </si>
  <si>
    <t>In Millions of USD except Per Share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</si>
  <si>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</si>
  <si>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</si>
  <si>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</si>
  <si>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</si>
  <si>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</si>
  <si>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</si>
  <si>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</si>
  <si>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</si>
  <si>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</si>
  <si>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</si>
  <si>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12 Months Ending</t>
  </si>
  <si>
    <t>03/31/2011</t>
  </si>
  <si>
    <t>03/31/2012</t>
  </si>
  <si>
    <t>03/31/2013</t>
  </si>
  <si>
    <t>03/31/2014</t>
  </si>
  <si>
    <t>03/31/2015</t>
  </si>
  <si>
    <t>03/31/2016</t>
  </si>
  <si>
    <t>03/31/2017</t>
  </si>
  <si>
    <t>03/31/2018</t>
  </si>
  <si>
    <t>03/31/2019</t>
  </si>
  <si>
    <t>03/31/2020</t>
  </si>
  <si>
    <t>Total Assets</t>
  </si>
  <si>
    <t xml:space="preserve">  + Cash, Cash Equivalents &amp; STI</t>
  </si>
  <si>
    <t>C&amp;CE_AND_STI_DETAILED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</si>
  <si>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</si>
  <si>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</si>
  <si>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</si>
  <si>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</si>
  <si>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</si>
  <si>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</si>
  <si>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</si>
  <si>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</si>
  <si>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</si>
  <si>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</si>
  <si>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</si>
  <si>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</si>
  <si>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</si>
  <si>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</si>
  <si>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</si>
  <si>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</si>
  <si>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</si>
  <si>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</si>
  <si>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</si>
  <si>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</si>
  <si>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</si>
  <si>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</si>
  <si>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</si>
  <si>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</si>
  <si>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</si>
  <si>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BS_DERIV_&amp;_HEDGING_ASSETS_ST</t>
  </si>
  <si>
    <t xml:space="preserve">    + Assets Held-for-Sale</t>
  </si>
  <si>
    <t>BS_ASSETS_HELD_FOR_SALE_ST</t>
  </si>
  <si>
    <t xml:space="preserve">    + Deferred Tax Assets</t>
  </si>
  <si>
    <t>BS_DEFERRED_TAX_ASSETS_ST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</si>
  <si>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</si>
  <si>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</si>
  <si>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</si>
  <si>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</si>
  <si>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</si>
  <si>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</si>
  <si>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</si>
  <si>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</si>
  <si>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</si>
  <si>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</si>
  <si>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</si>
  <si>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</si>
  <si>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</si>
  <si>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</si>
  <si>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</si>
  <si>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</si>
  <si>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</si>
  <si>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</si>
  <si>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</si>
  <si>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</si>
  <si>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</si>
  <si>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</si>
  <si>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>BS_DEFERRED_TAX_ASSETS_LT</t>
  </si>
  <si>
    <t>BS_DERIV_&amp;_HEDGING_ASSETS_LT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</si>
  <si>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</si>
  <si>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</si>
  <si>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</si>
  <si>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</si>
  <si>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</si>
  <si>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</si>
  <si>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</si>
  <si>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ACCT_PAYABLE_&amp;_ACCRUALS_DETAILED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</si>
  <si>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</si>
  <si>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</si>
  <si>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</si>
  <si>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</si>
  <si>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</si>
  <si>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BS_INTEREST_&amp;_DIVIDENDS_PAYABLE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</si>
  <si>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</si>
  <si>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</si>
  <si>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</si>
  <si>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</si>
  <si>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</si>
  <si>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</si>
  <si>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</si>
  <si>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</si>
  <si>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</si>
  <si>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</si>
  <si>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  + ST Operating Leases</t>
  </si>
  <si>
    <t>BS_ST_OPERATING_LEASE_LIABS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</si>
  <si>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</si>
  <si>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</si>
  <si>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</si>
  <si>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</si>
  <si>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</si>
  <si>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</si>
  <si>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</si>
  <si>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BS_DERIVATIVE_&amp;_HEDGING_LIABS_ST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</si>
  <si>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</si>
  <si>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</si>
  <si>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</si>
  <si>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</si>
  <si>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</si>
  <si>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</si>
  <si>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</si>
  <si>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</si>
  <si>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</si>
  <si>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</si>
  <si>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+ LT Finance Leases</t>
  </si>
  <si>
    <t>LT_CAPITAL_LEASE_OBLIGATIONS</t>
  </si>
  <si>
    <t xml:space="preserve">    + LT Operating Leases</t>
  </si>
  <si>
    <t>BS_LT_OPERATING_LEASE_LIABS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</si>
  <si>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</si>
  <si>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</si>
  <si>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</si>
  <si>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</si>
  <si>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</si>
  <si>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</si>
  <si>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</si>
  <si>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</si>
  <si>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</si>
  <si>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</si>
  <si>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</si>
  <si>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 xml:space="preserve">    + Deferred Tax Liabilities</t>
  </si>
  <si>
    <t>BS_DEFERRED_TAX_LIABILITIES_LT</t>
  </si>
  <si>
    <t>BS_DERIVATIVE_&amp;_HEDGING_LIABS_LT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</si>
  <si>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</si>
  <si>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</si>
  <si>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</si>
  <si>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</si>
  <si>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</si>
  <si>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</si>
  <si>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</si>
  <si>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BS_PFD_EQTY_&amp;_HYBRID_CPTL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</si>
  <si>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</si>
  <si>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</si>
  <si>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</si>
  <si>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</si>
  <si>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</si>
  <si>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</si>
  <si>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</si>
  <si>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</si>
  <si>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</si>
  <si>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</si>
  <si>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</si>
  <si>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</si>
  <si>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</si>
  <si>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</si>
  <si>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</si>
  <si>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</si>
  <si>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</si>
  <si>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</si>
  <si>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</si>
  <si>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</si>
  <si>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Accounting Standard</t>
  </si>
  <si>
    <t>ACCOUNTING_STANDARD</t>
  </si>
  <si>
    <t>US GAAP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</si>
  <si>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</si>
  <si>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</si>
  <si>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</si>
  <si>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</si>
  <si>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</si>
  <si>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</si>
  <si>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</si>
  <si>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</si>
  <si>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</si>
  <si>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</si>
  <si>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</si>
  <si>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</si>
  <si>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</si>
  <si>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</si>
  <si>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</si>
  <si>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</si>
  <si>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</si>
  <si>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</si>
  <si>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</si>
  <si>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</si>
  <si>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</si>
  <si>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</si>
  <si>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</si>
  <si>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</si>
  <si>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</si>
  <si>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</si>
  <si>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Source: Bloomberg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</si>
</sst>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1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171" fontId="11" fillId="34" borderId="2">
      <alignment horizontal="right"/>
    </xf>
  </cellStyleXfs>
  <cellXfs count="18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71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8" fillId="34" borderId="2" xfId="56" applyNumberFormat="1" applyFont="1" applyFill="1" applyBorder="1" applyAlignment="1" applyProtection="1">
      <alignment horizontal="right"/>
    </xf>
    <xf numFmtId="171" fontId="8" fillId="34" borderId="2" xfId="57" applyNumberFormat="1" applyFont="1" applyFill="1" applyBorder="1" applyAlignment="1" applyProtection="1">
      <alignment horizontal="right"/>
    </xf>
    <xf numFmtId="171" fontId="11" fillId="34" borderId="2" xfId="58" applyNumberFormat="1" applyFont="1" applyFill="1" applyBorder="1" applyAlignment="1" applyProtection="1">
      <alignment horizontal="right"/>
    </xf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6" xr:uid="{00000000-0005-0000-0000-000023000000}"/>
    <cellStyle name="fa_data_bold_1_grouped" xfId="57" xr:uid="{00000000-0005-0000-0000-000024000000}"/>
    <cellStyle name="fa_data_italic_1_grouped" xfId="58" xr:uid="{00000000-0005-0000-0000-000025000000}"/>
    <cellStyle name="fa_data_standard_0_grouped" xfId="53" xr:uid="{00000000-0005-0000-0000-000026000000}"/>
    <cellStyle name="fa_data_standard_1_grouped" xfId="54" xr:uid="{00000000-0005-0000-0000-000027000000}"/>
    <cellStyle name="fa_data_standard_2_grouped" xfId="55" xr:uid="{00000000-0005-0000-0000-000028000000}"/>
    <cellStyle name="fa_footer_italic" xfId="34" xr:uid="{00000000-0005-0000-0000-000029000000}"/>
    <cellStyle name="fa_row_header_bold" xfId="35" xr:uid="{00000000-0005-0000-0000-00002A000000}"/>
    <cellStyle name="fa_row_header_italic" xfId="36" xr:uid="{00000000-0005-0000-0000-00002B000000}"/>
    <cellStyle name="fa_row_header_standard" xfId="37" xr:uid="{00000000-0005-0000-0000-00002C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BDH|15605327000404599803</stp>
        <tr r="H47" s="2"/>
      </tp>
      <tp t="s">
        <v>#N/A N/A</v>
        <stp/>
        <stp>BDH|14976343266778386389</stp>
        <tr r="D41" s="2"/>
      </tp>
      <tp t="s">
        <v>#N/A N/A</v>
        <stp/>
        <stp>BDH|10921771527916909933</stp>
        <tr r="C96" s="2"/>
      </tp>
      <tp t="s">
        <v>#N/A N/A</v>
        <stp/>
        <stp>BDH|11674842072860171423</stp>
        <tr r="L8" s="2"/>
      </tp>
      <tp t="s">
        <v>#N/A N/A</v>
        <stp/>
        <stp>BDH|10525903436130598057</stp>
        <tr r="H55" s="2"/>
      </tp>
      <tp t="s">
        <v>#N/A N/A</v>
        <stp/>
        <stp>BDH|17643830665150640345</stp>
        <tr r="C25" s="2"/>
      </tp>
      <tp t="s">
        <v>#N/A N/A</v>
        <stp/>
        <stp>BDH|13597455253939591135</stp>
        <tr r="J35" s="2"/>
      </tp>
      <tp t="s">
        <v>#N/A N/A</v>
        <stp/>
        <stp>BDH|14503418581237371539</stp>
        <tr r="H35" s="2"/>
      </tp>
      <tp t="s">
        <v>#N/A N/A</v>
        <stp/>
        <stp>BDH|11812893601047627402</stp>
        <tr r="L89" s="2"/>
      </tp>
      <tp t="s">
        <v>#N/A N/A</v>
        <stp/>
        <stp>BDH|15633105077469072074</stp>
        <tr r="K62" s="2"/>
      </tp>
      <tp t="s">
        <v>#N/A N/A</v>
        <stp/>
        <stp>BDH|13717593426797394923</stp>
        <tr r="K99" s="2"/>
      </tp>
      <tp t="s">
        <v>#N/A N/A</v>
        <stp/>
        <stp>BDH|12686783512728151644</stp>
        <tr r="G68" s="2"/>
      </tp>
      <tp t="s">
        <v>#N/A N/A</v>
        <stp/>
        <stp>BDH|17975517084278240874</stp>
        <tr r="G53" s="2"/>
      </tp>
      <tp t="s">
        <v>#N/A N/A</v>
        <stp/>
        <stp>BDH|16446805228017216154</stp>
        <tr r="G58" s="2"/>
      </tp>
      <tp t="s">
        <v>#N/A N/A</v>
        <stp/>
        <stp>BDH|18397144603581821261</stp>
        <tr r="E34" s="2"/>
      </tp>
      <tp t="s">
        <v>#N/A N/A</v>
        <stp/>
        <stp>BDH|16212660589833171163</stp>
        <tr r="J17" s="2"/>
      </tp>
      <tp t="s">
        <v>#N/A N/A</v>
        <stp/>
        <stp>BDH|17565486042388104535</stp>
        <tr r="H77" s="2"/>
      </tp>
      <tp t="s">
        <v>#N/A N/A</v>
        <stp/>
        <stp>BDH|17565281286973798404</stp>
        <tr r="J92" s="2"/>
      </tp>
      <tp t="s">
        <v>#N/A N/A</v>
        <stp/>
        <stp>BDH|10995062777188062572</stp>
        <tr r="C61" s="2"/>
      </tp>
      <tp t="s">
        <v>#N/A N/A</v>
        <stp/>
        <stp>BDH|16948959786439033456</stp>
        <tr r="H29" s="2"/>
      </tp>
      <tp t="s">
        <v>#N/A N/A</v>
        <stp/>
        <stp>BDH|12224867258504254110</stp>
        <tr r="C14" s="2"/>
      </tp>
      <tp t="s">
        <v>#N/A N/A</v>
        <stp/>
        <stp>BDH|13225351786046784572</stp>
        <tr r="D66" s="2"/>
      </tp>
      <tp t="s">
        <v>#N/A N/A</v>
        <stp/>
        <stp>BDH|13513387912648971277</stp>
        <tr r="K23" s="2"/>
      </tp>
      <tp t="s">
        <v>#N/A N/A</v>
        <stp/>
        <stp>BDH|13280003996042750335</stp>
        <tr r="D91" s="2"/>
      </tp>
      <tp t="s">
        <v>#N/A N/A</v>
        <stp/>
        <stp>BDH|10634275360909843690</stp>
        <tr r="H97" s="2"/>
      </tp>
      <tp t="s">
        <v>#N/A N/A</v>
        <stp/>
        <stp>BDH|10176375474847089812</stp>
        <tr r="D82" s="2"/>
      </tp>
      <tp t="s">
        <v>#N/A N/A</v>
        <stp/>
        <stp>BDH|13964811528956679434</stp>
        <tr r="F34" s="2"/>
      </tp>
      <tp t="s">
        <v>#N/A N/A</v>
        <stp/>
        <stp>BDH|12448153061078424634</stp>
        <tr r="H24" s="2"/>
      </tp>
      <tp t="s">
        <v>#N/A N/A</v>
        <stp/>
        <stp>BDH|13421948177844328235</stp>
        <tr r="F15" s="2"/>
      </tp>
      <tp t="s">
        <v>#N/A N/A</v>
        <stp/>
        <stp>BDH|18190948191991429261</stp>
        <tr r="C42" s="2"/>
      </tp>
      <tp t="s">
        <v>#N/A N/A</v>
        <stp/>
        <stp>BDH|13658654822019171567</stp>
        <tr r="J73" s="2"/>
      </tp>
      <tp t="s">
        <v>#N/A N/A</v>
        <stp/>
        <stp>BDH|10564748299132403768</stp>
        <tr r="J47" s="2"/>
      </tp>
      <tp t="s">
        <v>#N/A N/A</v>
        <stp/>
        <stp>BDH|11838628390836047301</stp>
        <tr r="H78" s="2"/>
      </tp>
      <tp t="s">
        <v>#N/A N/A</v>
        <stp/>
        <stp>BDH|13904025015281370803</stp>
        <tr r="J79" s="2"/>
      </tp>
      <tp t="s">
        <v>#N/A N/A</v>
        <stp/>
        <stp>BDH|12054650719098987694</stp>
        <tr r="H69" s="2"/>
      </tp>
      <tp t="s">
        <v>#N/A N/A</v>
        <stp/>
        <stp>BDH|17003806630484554390</stp>
        <tr r="J19" s="2"/>
      </tp>
      <tp t="s">
        <v>#N/A N/A</v>
        <stp/>
        <stp>BDH|15536222762549451016</stp>
        <tr r="L91" s="2"/>
      </tp>
      <tp t="s">
        <v>#N/A N/A</v>
        <stp/>
        <stp>BDH|10086635904899709730</stp>
        <tr r="G75" s="2"/>
      </tp>
      <tp t="s">
        <v>#N/A N/A</v>
        <stp/>
        <stp>BDH|18088301297982336864</stp>
        <tr r="H83" s="2"/>
      </tp>
      <tp t="s">
        <v>#N/A N/A</v>
        <stp/>
        <stp>BDH|16415055968969555197</stp>
        <tr r="D21" s="2"/>
      </tp>
      <tp t="s">
        <v>#N/A N/A</v>
        <stp/>
        <stp>BDH|17790906417380675727</stp>
        <tr r="D92" s="2"/>
      </tp>
      <tp t="s">
        <v>#N/A N/A</v>
        <stp/>
        <stp>BDH|14914879012690851509</stp>
        <tr r="H62" s="2"/>
      </tp>
      <tp t="s">
        <v>#N/A N/A</v>
        <stp/>
        <stp>BDH|15689322111208709768</stp>
        <tr r="F41" s="2"/>
      </tp>
      <tp t="s">
        <v>#N/A N/A</v>
        <stp/>
        <stp>BDH|15399026828398864764</stp>
        <tr r="D30" s="2"/>
      </tp>
      <tp t="s">
        <v>#N/A N/A</v>
        <stp/>
        <stp>BDH|14278738830500429832</stp>
        <tr r="K82" s="2"/>
      </tp>
      <tp t="s">
        <v>#N/A N/A</v>
        <stp/>
        <stp>BDH|16170592649779086670</stp>
        <tr r="J95" s="2"/>
      </tp>
      <tp t="s">
        <v>#N/A N/A</v>
        <stp/>
        <stp>BDH|11884801008222320356</stp>
        <tr r="E58" s="2"/>
      </tp>
      <tp t="s">
        <v>#N/A N/A</v>
        <stp/>
        <stp>BDH|17158169732254245916</stp>
        <tr r="H43" s="2"/>
      </tp>
      <tp t="s">
        <v>#N/A N/A</v>
        <stp/>
        <stp>BDH|10272676697442846527</stp>
        <tr r="K74" s="2"/>
      </tp>
      <tp t="s">
        <v>#N/A N/A</v>
        <stp/>
        <stp>BDH|15564939966780964221</stp>
        <tr r="J23" s="2"/>
      </tp>
      <tp t="s">
        <v>#N/A N/A</v>
        <stp/>
        <stp>BDH|18125511049342463369</stp>
        <tr r="F88" s="2"/>
      </tp>
      <tp t="s">
        <v>#N/A N/A</v>
        <stp/>
        <stp>BDH|13788098882934634714</stp>
        <tr r="K11" s="2"/>
      </tp>
      <tp t="s">
        <v>#N/A N/A</v>
        <stp/>
        <stp>BDH|11956360684237844582</stp>
        <tr r="L21" s="2"/>
      </tp>
      <tp t="s">
        <v>#N/A N/A</v>
        <stp/>
        <stp>BDH|13535677168548856394</stp>
        <tr r="F43" s="2"/>
      </tp>
      <tp t="s">
        <v>#N/A N/A</v>
        <stp/>
        <stp>BDH|16743785443455627808</stp>
        <tr r="I10" s="2"/>
      </tp>
      <tp t="s">
        <v>#N/A N/A</v>
        <stp/>
        <stp>BDH|17793079761788831134</stp>
        <tr r="C36" s="2"/>
      </tp>
      <tp t="s">
        <v>#N/A N/A</v>
        <stp/>
        <stp>BDH|14775156379352310826</stp>
        <tr r="C11" s="2"/>
      </tp>
      <tp t="s">
        <v>#N/A N/A</v>
        <stp/>
        <stp>BDH|10989471647290024843</stp>
        <tr r="E88" s="2"/>
      </tp>
      <tp t="s">
        <v>#N/A N/A</v>
        <stp/>
        <stp>BDH|10516198644398057559</stp>
        <tr r="C44" s="2"/>
      </tp>
      <tp t="s">
        <v>#N/A N/A</v>
        <stp/>
        <stp>BDH|10207553642019849019</stp>
        <tr r="H59" s="2"/>
      </tp>
      <tp t="s">
        <v>#N/A N/A</v>
        <stp/>
        <stp>BDH|14973039395836305308</stp>
        <tr r="E53" s="2"/>
      </tp>
      <tp t="s">
        <v>#N/A N/A</v>
        <stp/>
        <stp>BDH|11201560196415434098</stp>
        <tr r="L92" s="2"/>
      </tp>
      <tp t="s">
        <v>#N/A N/A</v>
        <stp/>
        <stp>BDH|11566825223853784120</stp>
        <tr r="G23" s="2"/>
      </tp>
      <tp t="s">
        <v>#N/A N/A</v>
        <stp/>
        <stp>BDH|17293158676730356812</stp>
        <tr r="E13" s="2"/>
      </tp>
      <tp t="s">
        <v>#N/A N/A</v>
        <stp/>
        <stp>BDH|11715152173808101620</stp>
        <tr r="E48" s="2"/>
      </tp>
      <tp t="s">
        <v>#N/A N/A</v>
        <stp/>
        <stp>BDH|12376938670480526575</stp>
        <tr r="D96" s="2"/>
      </tp>
      <tp t="s">
        <v>#N/A N/A</v>
        <stp/>
        <stp>BDH|16531149197474451374</stp>
        <tr r="L24" s="2"/>
      </tp>
      <tp t="s">
        <v>#N/A N/A</v>
        <stp/>
        <stp>BDH|15971974751211901131</stp>
        <tr r="D49" s="2"/>
      </tp>
      <tp t="s">
        <v>#N/A N/A</v>
        <stp/>
        <stp>BDH|15781777456869996798</stp>
        <tr r="D93" s="2"/>
      </tp>
      <tp t="s">
        <v>#N/A N/A</v>
        <stp/>
        <stp>BDH|17384591479009392597</stp>
        <tr r="H23" s="2"/>
      </tp>
      <tp t="s">
        <v>#N/A N/A</v>
        <stp/>
        <stp>BDH|17430048041359932306</stp>
        <tr r="C66" s="2"/>
      </tp>
      <tp t="s">
        <v>#N/A N/A</v>
        <stp/>
        <stp>BDH|17059799840968746567</stp>
        <tr r="K94" s="2"/>
      </tp>
      <tp t="s">
        <v>#N/A N/A</v>
        <stp/>
        <stp>BDH|16136123748358797272</stp>
        <tr r="L75" s="2"/>
      </tp>
      <tp t="s">
        <v>#N/A N/A</v>
        <stp/>
        <stp>BDH|14992339189991164793</stp>
        <tr r="F83" s="2"/>
      </tp>
      <tp t="s">
        <v>#N/A N/A</v>
        <stp/>
        <stp>BDH|12679756760958095291</stp>
        <tr r="C70" s="2"/>
      </tp>
      <tp t="s">
        <v>#N/A N/A</v>
        <stp/>
        <stp>BDH|14039834918662912686</stp>
        <tr r="D26" s="2"/>
      </tp>
      <tp t="s">
        <v>#N/A N/A</v>
        <stp/>
        <stp>BDH|13023570503016886905</stp>
        <tr r="E60" s="2"/>
      </tp>
      <tp t="s">
        <v>#N/A N/A</v>
        <stp/>
        <stp>BDH|16880516491427035445</stp>
        <tr r="K15" s="2"/>
      </tp>
      <tp t="s">
        <v>#N/A N/A</v>
        <stp/>
        <stp>BDH|16317365401054116896</stp>
        <tr r="K54" s="2"/>
      </tp>
      <tp t="s">
        <v>#N/A N/A</v>
        <stp/>
        <stp>BDH|18269082044003667644</stp>
        <tr r="J12" s="2"/>
      </tp>
      <tp t="s">
        <v>#N/A N/A</v>
        <stp/>
        <stp>BDH|11184753795782977474</stp>
        <tr r="J75" s="2"/>
      </tp>
      <tp t="s">
        <v>#N/A N/A</v>
        <stp/>
        <stp>BDH|17222353325037995853</stp>
        <tr r="L34" s="2"/>
      </tp>
      <tp t="s">
        <v>#N/A N/A</v>
        <stp/>
        <stp>BDH|10642710775417009938</stp>
        <tr r="H74" s="2"/>
      </tp>
      <tp t="s">
        <v>#N/A N/A</v>
        <stp/>
        <stp>BDH|15065766684194356006</stp>
        <tr r="K77" s="2"/>
      </tp>
      <tp t="s">
        <v>#N/A N/A</v>
        <stp/>
        <stp>BDH|17596583408649309565</stp>
        <tr r="I32" s="2"/>
      </tp>
      <tp t="s">
        <v>#N/A N/A</v>
        <stp/>
        <stp>BDH|17276321381692895096</stp>
        <tr r="C83" s="2"/>
      </tp>
      <tp t="s">
        <v>#N/A N/A</v>
        <stp/>
        <stp>BDH|12693969943236541756</stp>
        <tr r="F94" s="2"/>
      </tp>
      <tp t="s">
        <v>#N/A N/A</v>
        <stp/>
        <stp>BDH|16735531681076694316</stp>
        <tr r="K55" s="2"/>
      </tp>
      <tp t="s">
        <v>#N/A N/A</v>
        <stp/>
        <stp>BDH|10757005081153451501</stp>
        <tr r="C99" s="2"/>
      </tp>
      <tp t="s">
        <v>#N/A N/A</v>
        <stp/>
        <stp>BDH|17998613265520818905</stp>
        <tr r="L42" s="2"/>
      </tp>
      <tp t="s">
        <v>#N/A N/A</v>
        <stp/>
        <stp>BDH|18238861582506646042</stp>
        <tr r="J55" s="2"/>
      </tp>
      <tp t="s">
        <v>#N/A N/A</v>
        <stp/>
        <stp>BDH|18034215750916228740</stp>
        <tr r="H90" s="2"/>
      </tp>
      <tp t="s">
        <v>#N/A N/A</v>
        <stp/>
        <stp>BDH|17771469271823536920</stp>
        <tr r="L14" s="2"/>
      </tp>
      <tp t="s">
        <v>#N/A N/A</v>
        <stp/>
        <stp>BDH|16365514900998512511</stp>
        <tr r="K52" s="2"/>
      </tp>
      <tp t="s">
        <v>#N/A N/A</v>
        <stp/>
        <stp>BDH|15847890961350019595</stp>
        <tr r="F24" s="2"/>
      </tp>
      <tp t="s">
        <v>#N/A N/A</v>
        <stp/>
        <stp>BDH|16649251141708290684</stp>
        <tr r="C32" s="2"/>
      </tp>
      <tp t="s">
        <v>#N/A N/A</v>
        <stp/>
        <stp>BDH|11766927343723973170</stp>
        <tr r="J25" s="2"/>
      </tp>
      <tp t="s">
        <v>#N/A N/A</v>
        <stp/>
        <stp>BDH|13109697698154383684</stp>
        <tr r="K9" s="2"/>
      </tp>
      <tp t="s">
        <v>#N/A N/A</v>
        <stp/>
        <stp>BDH|15433589456448443355</stp>
        <tr r="L37" s="2"/>
      </tp>
      <tp t="s">
        <v>#N/A N/A</v>
        <stp/>
        <stp>BDH|16428085498264889571</stp>
        <tr r="E20" s="2"/>
      </tp>
      <tp t="s">
        <v>#N/A N/A</v>
        <stp/>
        <stp>BDH|11762839107581094691</stp>
        <tr r="L7" s="2"/>
      </tp>
      <tp t="s">
        <v>#N/A N/A</v>
        <stp/>
        <stp>BDH|10922065710018107741</stp>
        <tr r="E95" s="2"/>
      </tp>
      <tp t="s">
        <v>#N/A N/A</v>
        <stp/>
        <stp>BDH|13147313636424937920</stp>
        <tr r="C75" s="2"/>
      </tp>
      <tp t="s">
        <v>#N/A N/A</v>
        <stp/>
        <stp>BDH|11220955717687587093</stp>
        <tr r="L36" s="2"/>
      </tp>
      <tp t="s">
        <v>#N/A N/A</v>
        <stp/>
        <stp>BDH|10002709126578878315</stp>
        <tr r="J78" s="2"/>
      </tp>
      <tp t="s">
        <v>#N/A N/A</v>
        <stp/>
        <stp>BDH|17918914887508326024</stp>
        <tr r="E42" s="2"/>
      </tp>
      <tp t="s">
        <v>#N/A N/A</v>
        <stp/>
        <stp>BDH|15292851248611760799</stp>
        <tr r="J50" s="2"/>
      </tp>
      <tp t="s">
        <v>#N/A N/A</v>
        <stp/>
        <stp>BDH|15656622884136167211</stp>
        <tr r="D80" s="2"/>
      </tp>
      <tp t="s">
        <v>#N/A N/A</v>
        <stp/>
        <stp>BDH|16267331530110227935</stp>
        <tr r="C60" s="2"/>
      </tp>
      <tp t="s">
        <v>#N/A N/A</v>
        <stp/>
        <stp>BDH|11243672273309258645</stp>
        <tr r="C63" s="2"/>
      </tp>
      <tp t="s">
        <v>#N/A N/A</v>
        <stp/>
        <stp>BDH|16501422727669431672</stp>
        <tr r="G7" s="2"/>
      </tp>
      <tp t="s">
        <v>#N/A N/A</v>
        <stp/>
        <stp>BDH|16027678094613101502</stp>
        <tr r="F64" s="2"/>
      </tp>
      <tp t="s">
        <v>#N/A N/A</v>
        <stp/>
        <stp>BDH|16690774325229935587</stp>
        <tr r="E68" s="2"/>
      </tp>
      <tp t="s">
        <v>#N/A N/A</v>
        <stp/>
        <stp>BDH|12556582882195396598</stp>
        <tr r="I87" s="2"/>
      </tp>
      <tp t="s">
        <v>#N/A N/A</v>
        <stp/>
        <stp>BDH|11585829594556634915</stp>
        <tr r="G16" s="2"/>
      </tp>
      <tp t="s">
        <v>#N/A N/A</v>
        <stp/>
        <stp>BDH|14270613833986579830</stp>
        <tr r="F89" s="2"/>
      </tp>
      <tp t="s">
        <v>#N/A N/A</v>
        <stp/>
        <stp>BDH|15085319831133370956</stp>
        <tr r="I54" s="2"/>
      </tp>
      <tp t="s">
        <v>#N/A N/A</v>
        <stp/>
        <stp>BDH|14731611499537811316</stp>
        <tr r="J87" s="2"/>
      </tp>
      <tp t="s">
        <v>#N/A N/A</v>
        <stp/>
        <stp>BDH|14955095909292605994</stp>
        <tr r="I21" s="2"/>
      </tp>
      <tp t="s">
        <v>#N/A N/A</v>
        <stp/>
        <stp>BDH|17376046025148930233</stp>
        <tr r="I37" s="2"/>
      </tp>
      <tp t="s">
        <v>#N/A N/A</v>
        <stp/>
        <stp>BDH|14826383728058024238</stp>
        <tr r="G80" s="2"/>
      </tp>
      <tp t="s">
        <v>#N/A N/A</v>
        <stp/>
        <stp>BDH|17994421897110385546</stp>
        <tr r="H61" s="2"/>
      </tp>
      <tp t="s">
        <v>#N/A N/A</v>
        <stp/>
        <stp>BDH|15818543196732515459</stp>
        <tr r="K75" s="2"/>
      </tp>
      <tp t="s">
        <v>#N/A N/A</v>
        <stp/>
        <stp>BDH|14849849554813634543</stp>
        <tr r="H12" s="2"/>
      </tp>
      <tp t="s">
        <v>#N/A N/A</v>
        <stp/>
        <stp>BDH|11065094185107158109</stp>
        <tr r="G51" s="2"/>
      </tp>
      <tp t="s">
        <v>#N/A N/A</v>
        <stp/>
        <stp>BDH|12471284002317087836</stp>
        <tr r="C33" s="2"/>
      </tp>
      <tp t="s">
        <v>#N/A N/A</v>
        <stp/>
        <stp>BDH|12873815674975306720</stp>
        <tr r="D67" s="2"/>
      </tp>
      <tp t="s">
        <v>#N/A N/A</v>
        <stp/>
        <stp>BDH|15512308386944900564</stp>
        <tr r="J44" s="2"/>
      </tp>
      <tp t="s">
        <v>#N/A N/A</v>
        <stp/>
        <stp>BDH|11634321608069461477</stp>
        <tr r="H27" s="2"/>
      </tp>
      <tp t="s">
        <v>#N/A N/A</v>
        <stp/>
        <stp>BDH|13100673043519398787</stp>
        <tr r="D10" s="2"/>
      </tp>
      <tp t="s">
        <v>#N/A N/A</v>
        <stp/>
        <stp>BDH|15827018797453709073</stp>
        <tr r="I66" s="2"/>
      </tp>
      <tp t="s">
        <v>#N/A N/A</v>
        <stp/>
        <stp>BDH|17627968159884270059</stp>
        <tr r="K8" s="2"/>
      </tp>
      <tp t="s">
        <v>#N/A N/A</v>
        <stp/>
        <stp>BDH|14299466393026116376</stp>
        <tr r="G90" s="2"/>
      </tp>
      <tp t="s">
        <v>#N/A N/A</v>
        <stp/>
        <stp>BDH|17721965943403515562</stp>
        <tr r="C41" s="2"/>
      </tp>
      <tp t="s">
        <v>#N/A N/A</v>
        <stp/>
        <stp>BDH|17354079122551648818</stp>
        <tr r="I30" s="2"/>
      </tp>
      <tp t="s">
        <v>#N/A N/A</v>
        <stp/>
        <stp>BDH|17044650554739456166</stp>
        <tr r="E35" s="2"/>
      </tp>
      <tp t="s">
        <v>#N/A N/A</v>
        <stp/>
        <stp>BDH|13517621847604147925</stp>
        <tr r="L97" s="2"/>
      </tp>
      <tp t="s">
        <v>#N/A N/A</v>
        <stp/>
        <stp>BDH|16544734820477385808</stp>
        <tr r="F95" s="2"/>
      </tp>
      <tp t="s">
        <v>#N/A N/A</v>
        <stp/>
        <stp>BDH|16973093665489748567</stp>
        <tr r="C24" s="2"/>
      </tp>
      <tp t="s">
        <v>#N/A N/A</v>
        <stp/>
        <stp>BDH|11233764937208536124</stp>
        <tr r="I62" s="2"/>
      </tp>
      <tp t="s">
        <v>#N/A N/A</v>
        <stp/>
        <stp>BDH|13774515582350137213</stp>
        <tr r="F27" s="2"/>
      </tp>
      <tp t="s">
        <v>#N/A N/A</v>
        <stp/>
        <stp>BDH|11476739723329634154</stp>
        <tr r="C18" s="2"/>
      </tp>
      <tp t="s">
        <v>#N/A N/A</v>
        <stp/>
        <stp>BDH|10907653228878538079</stp>
        <tr r="J38" s="2"/>
      </tp>
      <tp t="s">
        <v>#N/A N/A</v>
        <stp/>
        <stp>BDH|15605908661902733496</stp>
        <tr r="H58" s="2"/>
      </tp>
      <tp t="s">
        <v>#N/A N/A</v>
        <stp/>
        <stp>BDH|15764431589796580335</stp>
        <tr r="D46" s="2"/>
      </tp>
      <tp t="s">
        <v>#N/A N/A</v>
        <stp/>
        <stp>BDH|18404497526796784460</stp>
        <tr r="J33" s="2"/>
      </tp>
      <tp t="s">
        <v>#N/A N/A</v>
        <stp/>
        <stp>BDH|14963357125611403872</stp>
        <tr r="E8" s="2"/>
      </tp>
      <tp t="s">
        <v>#N/A N/A</v>
        <stp/>
        <stp>BDH|14667861006509876936</stp>
        <tr r="G74" s="2"/>
      </tp>
      <tp t="s">
        <v>#N/A N/A</v>
        <stp/>
        <stp>BDH|12897433983544014675</stp>
        <tr r="I9" s="2"/>
      </tp>
      <tp t="s">
        <v>#N/A N/A</v>
        <stp/>
        <stp>BDH|12521842350066908579</stp>
        <tr r="D7" s="2"/>
      </tp>
      <tp t="s">
        <v>#N/A N/A</v>
        <stp/>
        <stp>BDH|15085564240600972800</stp>
        <tr r="E38" s="2"/>
      </tp>
      <tp t="s">
        <v>#N/A N/A</v>
        <stp/>
        <stp>BDH|17530097264594156979</stp>
        <tr r="C67" s="2"/>
      </tp>
      <tp t="s">
        <v>#N/A N/A</v>
        <stp/>
        <stp>BDH|13602780883305562564</stp>
        <tr r="K28" s="2"/>
      </tp>
      <tp t="s">
        <v>#N/A N/A</v>
        <stp/>
        <stp>BDH|17374316164628102745</stp>
        <tr r="F28" s="2"/>
      </tp>
      <tp t="s">
        <v>#N/A N/A</v>
        <stp/>
        <stp>BDH|17374713127548111718</stp>
        <tr r="L74" s="2"/>
      </tp>
      <tp t="s">
        <v>#N/A N/A</v>
        <stp/>
        <stp>BDH|16543663187973578653</stp>
        <tr r="C51" s="2"/>
      </tp>
      <tp t="s">
        <v>#N/A N/A</v>
        <stp/>
        <stp>BDH|11539426217509729031</stp>
        <tr r="D62" s="2"/>
      </tp>
      <tp t="s">
        <v>#N/A N/A</v>
        <stp/>
        <stp>BDH|10496422350375858997</stp>
        <tr r="L59" s="2"/>
      </tp>
      <tp t="s">
        <v>#N/A N/A</v>
        <stp/>
        <stp>BDH|11162997483818975547</stp>
        <tr r="G71" s="2"/>
      </tp>
      <tp t="s">
        <v>#N/A N/A</v>
        <stp/>
        <stp>BDH|12381153624244291863</stp>
        <tr r="D42" s="2"/>
      </tp>
      <tp t="s">
        <v>#N/A N/A</v>
        <stp/>
        <stp>BDH|11680867427007199103</stp>
        <tr r="F67" s="2"/>
      </tp>
      <tp t="s">
        <v>#N/A N/A</v>
        <stp/>
        <stp>BDH|17194474683653491577</stp>
        <tr r="J82" s="2"/>
      </tp>
      <tp t="s">
        <v>#N/A N/A</v>
        <stp/>
        <stp>BDH|16633353488073436379</stp>
        <tr r="F48" s="2"/>
      </tp>
      <tp t="s">
        <v>#N/A N/A</v>
        <stp/>
        <stp>BDH|15720422244830975833</stp>
        <tr r="D19" s="2"/>
      </tp>
      <tp t="s">
        <v>#N/A N/A</v>
        <stp/>
        <stp>BDH|13504991728344997167</stp>
        <tr r="I76" s="2"/>
      </tp>
      <tp t="s">
        <v>#N/A N/A</v>
        <stp/>
        <stp>BDH|17885073824498839097</stp>
        <tr r="F90" s="2"/>
      </tp>
      <tp t="s">
        <v>#N/A N/A</v>
        <stp/>
        <stp>BDH|14692766565241818905</stp>
        <tr r="E15" s="2"/>
      </tp>
      <tp t="s">
        <v>#N/A N/A</v>
        <stp/>
        <stp>BDH|13599795183231405066</stp>
        <tr r="I68" s="2"/>
      </tp>
      <tp t="s">
        <v>#N/A N/A</v>
        <stp/>
        <stp>BDH|11059647089137154507</stp>
        <tr r="G69" s="2"/>
      </tp>
      <tp t="s">
        <v>#N/A N/A</v>
        <stp/>
        <stp>BDH|10835428293474738419</stp>
        <tr r="H25" s="2"/>
      </tp>
      <tp t="s">
        <v>#N/A N/A</v>
        <stp/>
        <stp>BDH|12463914290207868834</stp>
        <tr r="E92" s="2"/>
      </tp>
      <tp t="s">
        <v>#N/A N/A</v>
        <stp/>
        <stp>BDH|13528286032068573744</stp>
        <tr r="J74" s="2"/>
      </tp>
      <tp t="s">
        <v>#N/A N/A</v>
        <stp/>
        <stp>BDH|14874811545432465893</stp>
        <tr r="K46" s="2"/>
      </tp>
      <tp t="s">
        <v>#N/A N/A</v>
        <stp/>
        <stp>BDH|10333466427994297008</stp>
        <tr r="L70" s="2"/>
      </tp>
      <tp t="s">
        <v>#N/A N/A</v>
        <stp/>
        <stp>BDH|13207521233497439070</stp>
        <tr r="E78" s="2"/>
      </tp>
      <tp t="s">
        <v>#N/A N/A</v>
        <stp/>
        <stp>BDH|13702887408028537118</stp>
        <tr r="I41" s="2"/>
      </tp>
      <tp t="s">
        <v>#N/A N/A</v>
        <stp/>
        <stp>BDH|14953400815225670692</stp>
        <tr r="L55" s="2"/>
      </tp>
      <tp t="s">
        <v>#N/A N/A</v>
        <stp/>
        <stp>BDH|11684657871444739676</stp>
        <tr r="G82" s="2"/>
      </tp>
      <tp t="s">
        <v>#N/A N/A</v>
        <stp/>
        <stp>BDH|17044856384175764047</stp>
        <tr r="H32" s="2"/>
      </tp>
      <tp t="s">
        <v>#N/A N/A</v>
        <stp/>
        <stp>BDH|11124615181775332805</stp>
        <tr r="H95" s="2"/>
      </tp>
      <tp t="s">
        <v>#N/A N/A</v>
        <stp/>
        <stp>BDH|12408226491223093824</stp>
        <tr r="K64" s="2"/>
      </tp>
      <tp t="s">
        <v>#N/A N/A</v>
        <stp/>
        <stp>BDH|14050728951364451033</stp>
        <tr r="E25" s="2"/>
      </tp>
      <tp t="s">
        <v>#N/A N/A</v>
        <stp/>
        <stp>BDH|14534520085323797818</stp>
        <tr r="I63" s="2"/>
      </tp>
      <tp t="s">
        <v>#N/A N/A</v>
        <stp/>
        <stp>BDH|12046601373058295966</stp>
        <tr r="G46" s="2"/>
      </tp>
      <tp t="s">
        <v>#N/A N/A</v>
        <stp/>
        <stp>BDH|10714069930993089264</stp>
        <tr r="H45" s="2"/>
      </tp>
      <tp t="s">
        <v>#N/A N/A</v>
        <stp/>
        <stp>BDH|10646104555477325174</stp>
        <tr r="D55" s="2"/>
      </tp>
      <tp t="s">
        <v>#N/A N/A</v>
        <stp/>
        <stp>BDH|17361409161255293274</stp>
        <tr r="C78" s="2"/>
      </tp>
      <tp t="s">
        <v>#N/A N/A</v>
        <stp/>
        <stp>BDH|16047892472683890853</stp>
        <tr r="F13" s="2"/>
      </tp>
      <tp t="s">
        <v>#N/A N/A</v>
        <stp/>
        <stp>BDH|17622693805810416380</stp>
        <tr r="F52" s="2"/>
      </tp>
      <tp t="s">
        <v>#N/A N/A</v>
        <stp/>
        <stp>BDH|16744221317767272065</stp>
        <tr r="I20" s="2"/>
      </tp>
      <tp t="s">
        <v>#N/A N/A</v>
        <stp/>
        <stp>BDH|11013906504399453399</stp>
        <tr r="F76" s="2"/>
      </tp>
      <tp t="s">
        <v>#N/A N/A</v>
        <stp/>
        <stp>BDH|12770721542024756797</stp>
        <tr r="I42" s="2"/>
      </tp>
      <tp t="s">
        <v>#N/A N/A</v>
        <stp/>
        <stp>BDH|17517688645872102510</stp>
        <tr r="I19" s="2"/>
      </tp>
      <tp t="s">
        <v>#N/A N/A</v>
        <stp/>
        <stp>BDH|17255345838684037150</stp>
        <tr r="J58" s="2"/>
      </tp>
      <tp t="s">
        <v>#N/A N/A</v>
        <stp/>
        <stp>BDH|13963333299993078894</stp>
        <tr r="L49" s="2"/>
      </tp>
      <tp t="s">
        <v>#N/A N/A</v>
        <stp/>
        <stp>BDH|11864327377685057208</stp>
        <tr r="G96" s="2"/>
      </tp>
      <tp t="s">
        <v>#N/A N/A</v>
        <stp/>
        <stp>BDH|13423294112990191239</stp>
        <tr r="L95" s="2"/>
      </tp>
      <tp t="s">
        <v>#N/A N/A</v>
        <stp/>
        <stp>BDH|15495473612411900358</stp>
        <tr r="H64" s="2"/>
      </tp>
      <tp t="s">
        <v>#N/A N/A</v>
        <stp/>
        <stp>BDH|16335408769767330155</stp>
        <tr r="H79" s="2"/>
      </tp>
      <tp t="s">
        <v>#N/A N/A</v>
        <stp/>
        <stp>BDH|13891976895467126670</stp>
        <tr r="G61" s="2"/>
      </tp>
      <tp t="s">
        <v>#N/A N/A</v>
        <stp/>
        <stp>BDH|10259297347046512250</stp>
        <tr r="J88" s="2"/>
      </tp>
      <tp t="s">
        <v>#N/A N/A</v>
        <stp/>
        <stp>BDH|13254593050140336146</stp>
        <tr r="I48" s="2"/>
      </tp>
      <tp t="s">
        <v>#N/A N/A</v>
        <stp/>
        <stp>BDH|14759394015193609720</stp>
        <tr r="J29" s="2"/>
      </tp>
      <tp t="s">
        <v>#N/A N/A</v>
        <stp/>
        <stp>BDH|12299869939488303310</stp>
        <tr r="L79" s="2"/>
      </tp>
      <tp t="s">
        <v>#N/A N/A</v>
        <stp/>
        <stp>BDH|17782356345067106584</stp>
        <tr r="C23" s="2"/>
      </tp>
      <tp t="s">
        <v>#N/A N/A</v>
        <stp/>
        <stp>BDH|15229608537390257295</stp>
        <tr r="L82" s="2"/>
      </tp>
      <tp t="s">
        <v>#N/A N/A</v>
        <stp/>
        <stp>BDH|13163957736333928858</stp>
        <tr r="D99" s="2"/>
      </tp>
      <tp t="s">
        <v>#N/A N/A</v>
        <stp/>
        <stp>BDH|16676816038008428756</stp>
        <tr r="E56" s="2"/>
      </tp>
      <tp t="s">
        <v>#N/A N/A</v>
        <stp/>
        <stp>BDH|17137826190402097728</stp>
        <tr r="E22" s="2"/>
      </tp>
      <tp t="s">
        <v>#N/A N/A</v>
        <stp/>
        <stp>BDH|11088201806230014064</stp>
        <tr r="G83" s="2"/>
      </tp>
      <tp t="s">
        <v>#N/A N/A</v>
        <stp/>
        <stp>BDH|11274546800526009168</stp>
        <tr r="H7" s="2"/>
      </tp>
      <tp t="s">
        <v>#N/A N/A</v>
        <stp/>
        <stp>BDH|10963124864981740583</stp>
        <tr r="G99" s="2"/>
      </tp>
      <tp t="s">
        <v>#N/A N/A</v>
        <stp/>
        <stp>BDH|12926383772231035400</stp>
        <tr r="J89" s="2"/>
      </tp>
      <tp t="s">
        <v>#N/A N/A</v>
        <stp/>
        <stp>BDH|12754714265923867393</stp>
        <tr r="H28" s="2"/>
      </tp>
      <tp t="s">
        <v>#N/A N/A</v>
        <stp/>
        <stp>BDH|11520466043606309410</stp>
        <tr r="G13" s="2"/>
      </tp>
      <tp t="s">
        <v>#N/A N/A</v>
        <stp/>
        <stp>BDH|15454446837674195531</stp>
        <tr r="E91" s="2"/>
      </tp>
      <tp t="s">
        <v>#N/A N/A</v>
        <stp/>
        <stp>BDH|11148308237366758449</stp>
        <tr r="J90" s="2"/>
      </tp>
      <tp t="s">
        <v>#N/A N/A</v>
        <stp/>
        <stp>BDH|16266573726434295656</stp>
        <tr r="K16" s="2"/>
      </tp>
      <tp t="s">
        <v>#N/A N/A</v>
        <stp/>
        <stp>BDH|12066869526458039349</stp>
        <tr r="L46" s="2"/>
      </tp>
      <tp t="s">
        <v>#N/A N/A</v>
        <stp/>
        <stp>BDH|15098764974504595230</stp>
        <tr r="D81" s="2"/>
      </tp>
      <tp t="s">
        <v>#N/A N/A</v>
        <stp/>
        <stp>BDH|12167036135752054005</stp>
        <tr r="K92" s="2"/>
      </tp>
      <tp t="s">
        <v>#N/A N/A</v>
        <stp/>
        <stp>BDH|18442860084929303228</stp>
        <tr r="J49" s="2"/>
      </tp>
      <tp t="s">
        <v>#N/A N/A</v>
        <stp/>
        <stp>BDH|13965447157541472089</stp>
        <tr r="J13" s="2"/>
      </tp>
      <tp t="s">
        <v>#N/A N/A</v>
        <stp/>
        <stp>BDH|17457355906430779798</stp>
        <tr r="L25" s="2"/>
      </tp>
      <tp t="s">
        <v>#N/A N/A</v>
        <stp/>
        <stp>BDH|17868612141413591540</stp>
        <tr r="I92" s="2"/>
      </tp>
      <tp t="s">
        <v>#N/A N/A</v>
        <stp/>
        <stp>BDH|10273702342160895011</stp>
        <tr r="J83" s="2"/>
      </tp>
      <tp t="s">
        <v>#N/A N/A</v>
        <stp/>
        <stp>BDH|16631827131056951854</stp>
        <tr r="D37" s="2"/>
      </tp>
      <tp t="s">
        <v>#N/A N/A</v>
        <stp/>
        <stp>BDH|13659625664881823107</stp>
        <tr r="D33" s="2"/>
      </tp>
      <tp t="s">
        <v>#N/A N/A</v>
        <stp/>
        <stp>BDH|12209701765041731183</stp>
        <tr r="E54" s="2"/>
      </tp>
      <tp t="s">
        <v>#N/A N/A</v>
        <stp/>
        <stp>BDH|14720380231277513001</stp>
        <tr r="F55" s="2"/>
      </tp>
      <tp t="s">
        <v>#N/A N/A</v>
        <stp/>
        <stp>BDH|16977270340267715423</stp>
        <tr r="K37" s="2"/>
      </tp>
      <tp t="s">
        <v>#N/A N/A</v>
        <stp/>
        <stp>BDH|17786941659820506847</stp>
        <tr r="G70" s="2"/>
      </tp>
      <tp t="s">
        <v>#N/A N/A</v>
        <stp/>
        <stp>BDH|17722882325277424955</stp>
        <tr r="G33" s="2"/>
      </tp>
      <tp t="s">
        <v>#N/A N/A</v>
        <stp/>
        <stp>BDH|10567080787172477948</stp>
        <tr r="D24" s="2"/>
      </tp>
      <tp t="s">
        <v>#N/A N/A</v>
        <stp/>
        <stp>BDH|17636714935633069388</stp>
        <tr r="L99" s="2"/>
      </tp>
      <tp t="s">
        <v>#N/A N/A</v>
        <stp/>
        <stp>BDH|13976623035257646221</stp>
        <tr r="F73" s="2"/>
      </tp>
      <tp t="s">
        <v>#N/A N/A</v>
        <stp/>
        <stp>BDH|17149490321753670155</stp>
        <tr r="C68" s="2"/>
      </tp>
      <tp t="s">
        <v>#N/A N/A</v>
        <stp/>
        <stp>BDH|15070056675582815322</stp>
        <tr r="G45" s="2"/>
      </tp>
      <tp t="s">
        <v>#N/A N/A</v>
        <stp/>
        <stp>BDH|10362784458959639886</stp>
        <tr r="G54" s="2"/>
      </tp>
      <tp t="s">
        <v>#N/A N/A</v>
        <stp/>
        <stp>BDH|14165610238054467617</stp>
        <tr r="D97" s="2"/>
      </tp>
      <tp t="s">
        <v>#N/A N/A</v>
        <stp/>
        <stp>BDH|17162247218562981586</stp>
        <tr r="E80" s="2"/>
      </tp>
      <tp t="s">
        <v>#N/A N/A</v>
        <stp/>
        <stp>BDH|12327370818244538756</stp>
        <tr r="E62" s="2"/>
      </tp>
      <tp t="s">
        <v>#N/A N/A</v>
        <stp/>
        <stp>BDH|12436493849945984415</stp>
        <tr r="J48" s="2"/>
      </tp>
      <tp t="s">
        <v>#N/A N/A</v>
        <stp/>
        <stp>BDH|13292340232648948825</stp>
        <tr r="L94" s="2"/>
      </tp>
      <tp t="s">
        <v>#N/A N/A</v>
        <stp/>
        <stp>BDH|13580375842595892276</stp>
        <tr r="K72" s="2"/>
      </tp>
      <tp t="s">
        <v>#N/A N/A</v>
        <stp/>
        <stp>BDH|14900730663110208647</stp>
        <tr r="D51" s="2"/>
      </tp>
      <tp t="s">
        <v>#N/A N/A</v>
        <stp/>
        <stp>BDH|10092288059161928569</stp>
        <tr r="K42" s="2"/>
      </tp>
      <tp t="s">
        <v>#N/A N/A</v>
        <stp/>
        <stp>BDH|11402050050344802378</stp>
        <tr r="C62" s="2"/>
      </tp>
      <tp t="s">
        <v>#N/A N/A</v>
        <stp/>
        <stp>BDH|17524411114114667583</stp>
        <tr r="E72" s="2"/>
      </tp>
      <tp t="s">
        <v>#N/A N/A</v>
        <stp/>
        <stp>BDH|15241303434310044571</stp>
        <tr r="E10" s="2"/>
      </tp>
      <tp t="s">
        <v>#N/A N/A</v>
        <stp/>
        <stp>BDH|14662070500711455541</stp>
        <tr r="I24" s="2"/>
      </tp>
      <tp t="s">
        <v>#N/A N/A</v>
        <stp/>
        <stp>BDH|12852494331570244528</stp>
        <tr r="G65" s="2"/>
      </tp>
      <tp t="s">
        <v>#N/A N/A</v>
        <stp/>
        <stp>BDH|10728132172367587134</stp>
        <tr r="L47" s="2"/>
      </tp>
      <tp t="s">
        <v>#N/A N/A</v>
        <stp/>
        <stp>BDH|15775986536278828717</stp>
        <tr r="C13" s="2"/>
      </tp>
      <tp t="s">
        <v>#N/A N/A</v>
        <stp/>
        <stp>BDH|13895683445552249346</stp>
        <tr r="E70" s="2"/>
      </tp>
      <tp t="s">
        <v>#N/A N/A</v>
        <stp/>
        <stp>BDH|14439499559993315641</stp>
        <tr r="D95" s="2"/>
      </tp>
      <tp t="s">
        <v>#N/A N/A</v>
        <stp/>
        <stp>BDH|12533089856587844012</stp>
        <tr r="L72" s="2"/>
      </tp>
      <tp t="s">
        <v>#N/A N/A</v>
        <stp/>
        <stp>BDH|17862174079894275560</stp>
        <tr r="J31" s="2"/>
      </tp>
      <tp t="s">
        <v>#N/A N/A</v>
        <stp/>
        <stp>BDH|11609741665193618330</stp>
        <tr r="H89" s="2"/>
      </tp>
      <tp t="s">
        <v>#N/A N/A</v>
        <stp/>
        <stp>BDH|18160892886309952109</stp>
        <tr r="D77" s="2"/>
      </tp>
      <tp t="s">
        <v>#N/A N/A</v>
        <stp/>
        <stp>BDH|11590285547486901145</stp>
        <tr r="H71" s="2"/>
      </tp>
      <tp t="s">
        <v>#N/A N/A</v>
        <stp/>
        <stp>BDH|10117441493408357522</stp>
        <tr r="K14" s="2"/>
      </tp>
      <tp t="s">
        <v>#N/A N/A</v>
        <stp/>
        <stp>BDH|13887645357515548599</stp>
        <tr r="E49" s="2"/>
      </tp>
      <tp t="s">
        <v>#N/A N/A</v>
        <stp/>
        <stp>BDH|18169905227923370033</stp>
        <tr r="K67" s="2"/>
      </tp>
      <tp t="s">
        <v>#N/A N/A</v>
        <stp/>
        <stp>BDH|12772163429211896062</stp>
        <tr r="I53" s="2"/>
      </tp>
      <tp t="s">
        <v>#N/A N/A</v>
        <stp/>
        <stp>BDH|15292373522146823275</stp>
        <tr r="F44" s="2"/>
      </tp>
      <tp t="s">
        <v>#N/A N/A</v>
        <stp/>
        <stp>BDH|10122591234632589419</stp>
        <tr r="L90" s="2"/>
      </tp>
      <tp t="s">
        <v>#N/A N/A</v>
        <stp/>
        <stp>BDH|11950320546583104563</stp>
        <tr r="E71" s="2"/>
      </tp>
      <tp t="s">
        <v>#N/A N/A</v>
        <stp/>
        <stp>BDH|15738917534806987915</stp>
        <tr r="I8" s="2"/>
      </tp>
      <tp t="s">
        <v>#N/A N/A</v>
        <stp/>
        <stp>BDH|11110631599746347827</stp>
        <tr r="H92" s="2"/>
      </tp>
      <tp t="s">
        <v>#N/A N/A</v>
        <stp/>
        <stp>BDH|16766736568976326120</stp>
        <tr r="C48" s="2"/>
      </tp>
      <tp t="s">
        <v>#N/A N/A</v>
        <stp/>
        <stp>BDH|10282713509222212551</stp>
        <tr r="L73" s="2"/>
      </tp>
      <tp t="s">
        <v>#N/A N/A</v>
        <stp/>
        <stp>BDH|10361538436154328282</stp>
        <tr r="J51" s="2"/>
      </tp>
      <tp t="s">
        <v>#N/A N/A</v>
        <stp/>
        <stp>BDH|13229028408692337170</stp>
        <tr r="L10" s="2"/>
      </tp>
      <tp t="s">
        <v>#N/A N/A</v>
        <stp/>
        <stp>BDH|14675097172817273405</stp>
        <tr r="L13" s="2"/>
      </tp>
      <tp t="s">
        <v>#N/A N/A</v>
        <stp/>
        <stp>BDH|17832150150684613757</stp>
        <tr r="K22" s="2"/>
      </tp>
      <tp t="s">
        <v>#N/A N/A</v>
        <stp/>
        <stp>BDH|17887685830893933175</stp>
        <tr r="H81" s="2"/>
      </tp>
      <tp t="s">
        <v>#N/A N/A</v>
        <stp/>
        <stp>BDH|13345824941576833899</stp>
        <tr r="K83" s="2"/>
      </tp>
      <tp t="s">
        <v>#N/A N/A</v>
        <stp/>
        <stp>BDH|18311305483096191401</stp>
        <tr r="C81" s="2"/>
      </tp>
      <tp t="s">
        <v>#N/A N/A</v>
        <stp/>
        <stp>BDH|16005812677491694900</stp>
        <tr r="K30" s="2"/>
      </tp>
      <tp t="s">
        <v>#N/A N/A</v>
        <stp/>
        <stp>BDH|10545642695447064948</stp>
        <tr r="E45" s="2"/>
      </tp>
      <tp t="s">
        <v>#N/A N/A</v>
        <stp/>
        <stp>BDH|15490633014671786241</stp>
        <tr r="C95" s="2"/>
      </tp>
      <tp t="s">
        <v>#N/A N/A</v>
        <stp/>
        <stp>BDH|11939717779981253100</stp>
        <tr r="K81" s="2"/>
      </tp>
      <tp t="s">
        <v>#N/A N/A</v>
        <stp/>
        <stp>BDH|15787406841901359508</stp>
        <tr r="E51" s="2"/>
      </tp>
      <tp t="s">
        <v>#N/A N/A</v>
        <stp/>
        <stp>BDH|10442042441194053142</stp>
        <tr r="K44" s="2"/>
      </tp>
      <tp t="s">
        <v>#N/A N/A</v>
        <stp/>
        <stp>BDH|12146844891277250528</stp>
        <tr r="E43" s="2"/>
      </tp>
      <tp t="s">
        <v>#N/A N/A</v>
        <stp/>
        <stp>BDH|15695168813644674013</stp>
        <tr r="C91" s="2"/>
      </tp>
      <tp t="s">
        <v>#N/A N/A</v>
        <stp/>
        <stp>BDH|11826132338966358474</stp>
        <tr r="K88" s="2"/>
      </tp>
      <tp t="s">
        <v>#N/A N/A</v>
        <stp/>
        <stp>BDH|14806125261464928645</stp>
        <tr r="F18" s="2"/>
      </tp>
      <tp t="s">
        <v>#N/A N/A</v>
        <stp/>
        <stp>BDH|17993811283154112236</stp>
        <tr r="G57" s="2"/>
      </tp>
      <tp t="s">
        <v>#N/A N/A</v>
        <stp/>
        <stp>BDH|15385758880708918367</stp>
        <tr r="D57" s="2"/>
      </tp>
      <tp t="s">
        <v>#N/A N/A</v>
        <stp/>
        <stp>BDH|17577112114380143682</stp>
        <tr r="H52" s="2"/>
      </tp>
      <tp t="s">
        <v>#N/A N/A</v>
        <stp/>
        <stp>BDH|11917481988514603865</stp>
        <tr r="I90" s="2"/>
      </tp>
      <tp t="s">
        <v>#N/A N/A</v>
        <stp/>
        <stp>BDH|17879013370458254936</stp>
        <tr r="E28" s="2"/>
      </tp>
      <tp t="s">
        <v>#N/A N/A</v>
        <stp/>
        <stp>BDH|16115140149306939497</stp>
        <tr r="C97" s="2"/>
      </tp>
      <tp t="s">
        <v>#N/A N/A</v>
        <stp/>
        <stp>BDH|12410011131232983223</stp>
        <tr r="K51" s="2"/>
      </tp>
      <tp t="s">
        <v>#N/A N/A</v>
        <stp/>
        <stp>BDH|13529503279630580061</stp>
        <tr r="D35" s="2"/>
      </tp>
      <tp t="s">
        <v>#N/A N/A</v>
        <stp/>
        <stp>BDH|16971105727043573744</stp>
        <tr r="J18" s="2"/>
      </tp>
      <tp t="s">
        <v>#N/A N/A</v>
        <stp/>
        <stp>BDH|14131221467071824037</stp>
        <tr r="F32" s="2"/>
      </tp>
      <tp t="s">
        <v>#N/A N/A</v>
        <stp/>
        <stp>BDH|16029593641166515036</stp>
        <tr r="K79" s="2"/>
      </tp>
      <tp t="s">
        <v>#N/A N/A</v>
        <stp/>
        <stp>BDH|14754307224574560087</stp>
        <tr r="D75" s="2"/>
      </tp>
      <tp t="s">
        <v>#N/A N/A</v>
        <stp/>
        <stp>BDH|11698985862879826148</stp>
        <tr r="H19" s="2"/>
      </tp>
      <tp t="s">
        <v>#N/A N/A</v>
        <stp/>
        <stp>BDH|14038156142452100561</stp>
        <tr r="I11" s="2"/>
      </tp>
      <tp t="s">
        <v>#N/A N/A</v>
        <stp/>
        <stp>BDH|14682441156736722507</stp>
        <tr r="K49" s="2"/>
      </tp>
      <tp t="s">
        <v>#N/A N/A</v>
        <stp/>
        <stp>BDH|15775795250823943242</stp>
        <tr r="G44" s="2"/>
      </tp>
      <tp t="s">
        <v>#N/A N/A</v>
        <stp/>
        <stp>BDH|17253745482226329846</stp>
        <tr r="F54" s="2"/>
      </tp>
      <tp t="s">
        <v>#N/A N/A</v>
        <stp/>
        <stp>BDH|10497672914978483913</stp>
        <tr r="D38" s="2"/>
      </tp>
      <tp t="s">
        <v>#N/A N/A</v>
        <stp/>
        <stp>BDH|14589573527114247156</stp>
        <tr r="C64" s="2"/>
      </tp>
      <tp t="s">
        <v>#N/A N/A</v>
        <stp/>
        <stp>BDH|13947768015436137595</stp>
        <tr r="H11" s="2"/>
      </tp>
      <tp t="s">
        <v>#N/A N/A</v>
        <stp/>
        <stp>BDH|12179940632487197949</stp>
        <tr r="D83" s="2"/>
      </tp>
      <tp t="s">
        <v>#N/A N/A</v>
        <stp/>
        <stp>BDH|14109896708023529971</stp>
        <tr r="G62" s="2"/>
      </tp>
      <tp t="s">
        <v>#N/A N/A</v>
        <stp/>
        <stp>BDH|12493060317715066003</stp>
        <tr r="J22" s="2"/>
      </tp>
      <tp t="s">
        <v>#N/A N/A</v>
        <stp/>
        <stp>BDH|14033357904598138945</stp>
        <tr r="J62" s="2"/>
      </tp>
      <tp t="s">
        <v>#N/A N/A</v>
        <stp/>
        <stp>BDH|12426114870401553375</stp>
        <tr r="L31" s="2"/>
      </tp>
      <tp t="s">
        <v>#N/A N/A</v>
        <stp/>
        <stp>BDH|10685609503171175132</stp>
        <tr r="E87" s="2"/>
      </tp>
      <tp t="s">
        <v>#N/A N/A</v>
        <stp/>
        <stp>BDH|14292687178091614227</stp>
        <tr r="G8" s="2"/>
      </tp>
      <tp t="s">
        <v>#N/A N/A</v>
        <stp/>
        <stp>BDH|18321450818692081983</stp>
        <tr r="C50" s="2"/>
      </tp>
      <tp t="s">
        <v>#N/A N/A</v>
        <stp/>
        <stp>BDH|11502004566417483615</stp>
        <tr r="K78" s="2"/>
      </tp>
      <tp t="s">
        <v>#N/A N/A</v>
        <stp/>
        <stp>BDH|10300587514053707111</stp>
        <tr r="K21" s="2"/>
      </tp>
      <tp t="s">
        <v>#N/A N/A</v>
        <stp/>
        <stp>BDH|15967089551056835007</stp>
        <tr r="H60" s="2"/>
      </tp>
      <tp t="s">
        <v>#N/A N/A</v>
        <stp/>
        <stp>BDH|14274434993639881629</stp>
        <tr r="H36" s="2"/>
      </tp>
      <tp t="s">
        <v>#N/A N/A</v>
        <stp/>
        <stp>BDH|13791676868070436577</stp>
        <tr r="H87" s="2"/>
      </tp>
      <tp t="s">
        <v>#N/A N/A</v>
        <stp/>
        <stp>BDH|10428402872016988340</stp>
        <tr r="J14" s="2"/>
      </tp>
      <tp t="s">
        <v>#N/A N/A</v>
        <stp/>
        <stp>BDH|12383581135764441614</stp>
        <tr r="J91" s="2"/>
      </tp>
      <tp t="s">
        <v>#N/A N/A</v>
        <stp/>
        <stp>BDH|14487723749375296467</stp>
        <tr r="G47" s="2"/>
      </tp>
      <tp t="s">
        <v>#N/A N/A</v>
        <stp/>
        <stp>BDH|18038294430899249668</stp>
        <tr r="H68" s="2"/>
      </tp>
      <tp t="s">
        <v>#N/A N/A</v>
        <stp/>
        <stp>BDH|17598280159557128190</stp>
        <tr r="C90" s="2"/>
      </tp>
      <tp t="s">
        <v>#N/A N/A</v>
        <stp/>
        <stp>BDH|13968947165418642226</stp>
        <tr r="D72" s="2"/>
      </tp>
      <tp t="s">
        <v>#N/A N/A</v>
        <stp/>
        <stp>BDH|12910322237716376237</stp>
        <tr r="L71" s="2"/>
      </tp>
      <tp t="s">
        <v>#N/A N/A</v>
        <stp/>
        <stp>BDH|10324215329874663221</stp>
        <tr r="C37" s="2"/>
      </tp>
      <tp t="s">
        <v>#N/A N/A</v>
        <stp/>
        <stp>BDH|12598654406722130084</stp>
        <tr r="J21" s="2"/>
      </tp>
      <tp t="s">
        <v>#N/A N/A</v>
        <stp/>
        <stp>BDH|16899634619236909142</stp>
        <tr r="E69" s="2"/>
      </tp>
      <tp t="s">
        <v>#N/A N/A</v>
        <stp/>
        <stp>BDH|11509185035923357645</stp>
        <tr r="I28" s="2"/>
      </tp>
      <tp t="s">
        <v>#N/A N/A</v>
        <stp/>
        <stp>BDH|16280185956567586367</stp>
        <tr r="L66" s="2"/>
      </tp>
      <tp t="s">
        <v>#N/A N/A</v>
        <stp/>
        <stp>BDH|10940507730598052865</stp>
        <tr r="H13" s="2"/>
      </tp>
      <tp t="s">
        <v>#N/A N/A</v>
        <stp/>
        <stp>BDH|13417692461044115138</stp>
        <tr r="I49" s="2"/>
      </tp>
      <tp t="s">
        <v>#N/A N/A</v>
        <stp/>
        <stp>BDH|15881712751012484320</stp>
        <tr r="C65" s="2"/>
      </tp>
      <tp t="s">
        <v>#N/A N/A</v>
        <stp/>
        <stp>BDH|12238771562331697503</stp>
        <tr r="J45" s="2"/>
      </tp>
      <tp t="s">
        <v>#N/A N/A</v>
        <stp/>
        <stp>BDH|11339312270421082333</stp>
        <tr r="C45" s="2"/>
      </tp>
      <tp t="s">
        <v>#N/A N/A</v>
        <stp/>
        <stp>BDH|17549922428179744297</stp>
        <tr r="E44" s="2"/>
      </tp>
      <tp t="s">
        <v>#N/A N/A</v>
        <stp/>
        <stp>BDH|11661541824162179378</stp>
        <tr r="F82" s="2"/>
      </tp>
      <tp t="s">
        <v>#N/A N/A</v>
        <stp/>
        <stp>BDH|17287761212395206342</stp>
        <tr r="J7" s="2"/>
      </tp>
      <tp t="s">
        <v>#N/A N/A</v>
        <stp/>
        <stp>BDH|11287508182072630960</stp>
        <tr r="K48" s="2"/>
      </tp>
      <tp t="s">
        <v>#N/A N/A</v>
        <stp/>
        <stp>BDH|16719780375607995605</stp>
        <tr r="D64" s="2"/>
      </tp>
      <tp t="s">
        <v>#N/A N/A</v>
        <stp/>
        <stp>BDH|15789433031431716414</stp>
        <tr r="H20" s="2"/>
      </tp>
      <tp t="s">
        <v>#N/A N/A</v>
        <stp/>
        <stp>BDH|13088339415713381566</stp>
        <tr r="E32" s="2"/>
      </tp>
      <tp t="s">
        <v>#N/A N/A</v>
        <stp/>
        <stp>BDH|12742402746854553173</stp>
        <tr r="K91" s="2"/>
      </tp>
      <tp t="s">
        <v>#N/A N/A</v>
        <stp/>
        <stp>BDH|15441346096281651925</stp>
        <tr r="F19" s="2"/>
      </tp>
      <tp t="s">
        <v>#N/A N/A</v>
        <stp/>
        <stp>BDH|13452352553384691616</stp>
        <tr r="I58" s="2"/>
      </tp>
      <tp t="s">
        <v>#N/A N/A</v>
        <stp/>
        <stp>BDH|13441359344070235325</stp>
        <tr r="D70" s="2"/>
      </tp>
      <tp t="s">
        <v>#N/A N/A</v>
        <stp/>
        <stp>BDH|16853588865016504454</stp>
        <tr r="H31" s="2"/>
      </tp>
      <tp t="s">
        <v>#N/A N/A</v>
        <stp/>
        <stp>BDH|12104315777739026829</stp>
        <tr r="C56" s="2"/>
      </tp>
      <tp t="s">
        <v>#N/A N/A</v>
        <stp/>
        <stp>BDH|17656574384085781860</stp>
        <tr r="D8" s="2"/>
      </tp>
      <tp t="s">
        <v>#N/A N/A</v>
        <stp/>
        <stp>BDH|10135607561715499229</stp>
        <tr r="J24" s="2"/>
      </tp>
      <tp t="s">
        <v>#N/A N/A</v>
        <stp/>
        <stp>BDH|16345718678845873445</stp>
        <tr r="G20" s="2"/>
      </tp>
      <tp t="s">
        <v>#N/A N/A</v>
        <stp/>
        <stp>BDH|11618193909652673598</stp>
        <tr r="K63" s="2"/>
      </tp>
      <tp t="s">
        <v>#N/A N/A</v>
        <stp/>
        <stp>BDH|17392132410076331690</stp>
        <tr r="H56" s="2"/>
      </tp>
      <tp t="s">
        <v>#N/A N/A</v>
        <stp/>
        <stp>BDH|17369598908171074484</stp>
        <tr r="E77" s="2"/>
      </tp>
      <tp t="s">
        <v>#N/A N/A</v>
        <stp/>
        <stp>BDH|11752960652069864310</stp>
        <tr r="C27" s="2"/>
      </tp>
      <tp t="s">
        <v>#N/A N/A</v>
        <stp/>
        <stp>BDH|12905326977664569533</stp>
        <tr r="I12" s="2"/>
      </tp>
      <tp t="s">
        <v>#N/A N/A</v>
        <stp/>
        <stp>BDH|12198781112567131470</stp>
        <tr r="E7" s="2"/>
      </tp>
      <tp t="s">
        <v>#N/A N/A</v>
        <stp/>
        <stp>BDH|12177985536098366716</stp>
        <tr r="C22" s="2"/>
      </tp>
      <tp t="s">
        <v>#N/A N/A</v>
        <stp/>
        <stp>BDH|17090759806373951476</stp>
        <tr r="E67" s="2"/>
      </tp>
      <tp t="s">
        <v>#N/A N/A</v>
        <stp/>
        <stp>BDH|15841311313470048070</stp>
        <tr r="F38" s="2"/>
      </tp>
      <tp t="s">
        <v>#N/A N/A</v>
        <stp/>
        <stp>BDH|14880168156443743439</stp>
        <tr r="K61" s="2"/>
      </tp>
      <tp t="s">
        <v>#N/A N/A</v>
        <stp/>
        <stp>BDH|13533462685600807826</stp>
        <tr r="H51" s="2"/>
      </tp>
      <tp t="s">
        <v>#N/A N/A</v>
        <stp/>
        <stp>BDH|12997908993445409022</stp>
        <tr r="J72" s="2"/>
      </tp>
      <tp t="s">
        <v>#N/A N/A</v>
        <stp/>
        <stp>BDH|17052219015454246790</stp>
        <tr r="J63" s="2"/>
      </tp>
      <tp t="s">
        <v>#N/A N/A</v>
        <stp/>
        <stp>BDH|12371493951667340377</stp>
        <tr r="L48" s="2"/>
      </tp>
      <tp t="s">
        <v>#N/A N/A</v>
        <stp/>
        <stp>BDH|12775599627177351543</stp>
        <tr r="J70" s="2"/>
      </tp>
      <tp t="s">
        <v>#N/A N/A</v>
        <stp/>
        <stp>BDH|18057105815165540918</stp>
        <tr r="G22" s="2"/>
      </tp>
      <tp t="s">
        <v>#N/A N/A</v>
        <stp/>
        <stp>BDH|12856559540084951354</stp>
        <tr r="L50" s="2"/>
      </tp>
      <tp t="s">
        <v>#N/A N/A</v>
        <stp/>
        <stp>BDH|12595320769491987273</stp>
        <tr r="I56" s="2"/>
      </tp>
      <tp t="s">
        <v>#N/A N/A</v>
        <stp/>
        <stp>BDH|14873405939037853091</stp>
        <tr r="E9" s="2"/>
      </tp>
      <tp t="s">
        <v>#N/A N/A</v>
        <stp/>
        <stp>BDH|17186999087273804148</stp>
        <tr r="E36" s="2"/>
      </tp>
      <tp t="s">
        <v>#N/A N/A</v>
        <stp/>
        <stp>BDH|13204151034604718168</stp>
        <tr r="K57" s="2"/>
      </tp>
      <tp t="s">
        <v>#N/A N/A</v>
        <stp/>
        <stp>BDH|12915922275718484081</stp>
        <tr r="G97" s="2"/>
      </tp>
      <tp t="s">
        <v>#N/A N/A</v>
        <stp/>
        <stp>BDH|12495703413901772122</stp>
        <tr r="H26" s="2"/>
      </tp>
      <tp t="s">
        <v>#N/A N/A</v>
        <stp/>
        <stp>BDH|10661488369771050727</stp>
        <tr r="K18" s="2"/>
      </tp>
      <tp t="s">
        <v>#N/A N/A</v>
        <stp/>
        <stp>BDH|13020519109762942042</stp>
        <tr r="L56" s="2"/>
      </tp>
      <tp t="s">
        <v>#N/A N/A</v>
        <stp/>
        <stp>BDH|14327959312791099917</stp>
        <tr r="D28" s="2"/>
      </tp>
      <tp t="s">
        <v>#N/A N/A</v>
        <stp/>
        <stp>BDH|16023627047761314135</stp>
        <tr r="E19" s="2"/>
      </tp>
      <tp t="s">
        <v>#N/A N/A</v>
        <stp/>
        <stp>BDH|11319647326502001350</stp>
        <tr r="I95" s="2"/>
      </tp>
      <tp t="s">
        <v>#N/A N/A</v>
        <stp/>
        <stp>BDH|12190862531789190433</stp>
        <tr r="G67" s="2"/>
      </tp>
      <tp t="s">
        <v>#N/A N/A</v>
        <stp/>
        <stp>BDH|14706713051204446641</stp>
        <tr r="C9" s="2"/>
      </tp>
      <tp t="s">
        <v>#N/A N/A</v>
        <stp/>
        <stp>BDH|10218670142551659772</stp>
        <tr r="L78" s="2"/>
      </tp>
      <tp t="s">
        <v>#N/A N/A</v>
        <stp/>
        <stp>BDH|16109582581516921970</stp>
        <tr r="I17" s="2"/>
      </tp>
      <tp t="s">
        <v>#N/A N/A</v>
        <stp/>
        <stp>BDH|16085799307776025349</stp>
        <tr r="J46" s="2"/>
      </tp>
      <tp t="s">
        <v>#N/A N/A</v>
        <stp/>
        <stp>BDH|11787250338584222023</stp>
        <tr r="J65" s="2"/>
      </tp>
      <tp t="s">
        <v>#N/A N/A</v>
        <stp/>
        <stp>BDH|14522179979074305253</stp>
        <tr r="K69" s="2"/>
      </tp>
      <tp t="s">
        <v>#N/A N/A</v>
        <stp/>
        <stp>BDH|13168250278141614370</stp>
        <tr r="K43" s="2"/>
      </tp>
      <tp t="s">
        <v>#N/A N/A</v>
        <stp/>
        <stp>BDH|11221179589294073800</stp>
        <tr r="C20" s="2"/>
      </tp>
      <tp t="s">
        <v>#N/A N/A</v>
        <stp/>
        <stp>BDH|15704399920950187003</stp>
        <tr r="C82" s="2"/>
      </tp>
      <tp t="s">
        <v>#N/A N/A</v>
        <stp/>
        <stp>BDH|14234495631816432117</stp>
        <tr r="G56" s="2"/>
      </tp>
      <tp t="s">
        <v>#N/A N/A</v>
        <stp/>
        <stp>BDH|14939599971040952278</stp>
        <tr r="F37" s="2"/>
      </tp>
      <tp t="s">
        <v>#N/A N/A</v>
        <stp/>
        <stp>BDH|17465192256307529013</stp>
        <tr r="H10" s="2"/>
      </tp>
      <tp t="s">
        <v>#N/A N/A</v>
        <stp/>
        <stp>BDH|16288187320765535417</stp>
        <tr r="I31" s="2"/>
      </tp>
      <tp t="s">
        <v>#N/A N/A</v>
        <stp/>
        <stp>BDH|10647399447703386053</stp>
        <tr r="L20" s="2"/>
      </tp>
      <tp t="s">
        <v>#N/A N/A</v>
        <stp/>
        <stp>BDH|13436119624177859286</stp>
        <tr r="C38" s="2"/>
      </tp>
      <tp t="s">
        <v>#N/A N/A</v>
        <stp/>
        <stp>BDH|11653348593856988895</stp>
        <tr r="G29" s="2"/>
      </tp>
      <tp t="s">
        <v>#N/A N/A</v>
        <stp/>
        <stp>BDH|14089237130874241404</stp>
        <tr r="C94" s="2"/>
      </tp>
      <tp t="s">
        <v>#N/A N/A</v>
        <stp/>
        <stp>BDH|17645656316146471303</stp>
        <tr r="F8" s="2"/>
      </tp>
      <tp t="s">
        <v>#N/A N/A</v>
        <stp/>
        <stp>BDH|10077740779855993049</stp>
        <tr r="I74" s="2"/>
      </tp>
      <tp t="s">
        <v>#N/A N/A</v>
        <stp/>
        <stp>BDH|11086265442552252060</stp>
        <tr r="E41" s="2"/>
      </tp>
      <tp t="s">
        <v>#N/A N/A</v>
        <stp/>
        <stp>BDH|10654560830822192111</stp>
        <tr r="C16" s="2"/>
      </tp>
      <tp t="s">
        <v>#N/A N/A</v>
        <stp/>
        <stp>BDH|17553201455675272017</stp>
        <tr r="G98" s="2"/>
      </tp>
      <tp t="s">
        <v>#N/A N/A</v>
        <stp/>
        <stp>BDH|14794225266201356451</stp>
        <tr r="C30" s="2"/>
      </tp>
      <tp t="s">
        <v>#N/A N/A</v>
        <stp/>
        <stp>BDH|12138656423004749753</stp>
        <tr r="G66" s="2"/>
      </tp>
      <tp t="s">
        <v>#N/A N/A</v>
        <stp/>
        <stp>BDH|11777689738899343812</stp>
        <tr r="I16" s="2"/>
      </tp>
      <tp t="s">
        <v>#N/A N/A</v>
        <stp/>
        <stp>BDH|11331954989263256692</stp>
        <tr r="H54" s="2"/>
      </tp>
      <tp t="s">
        <v>#N/A N/A</v>
        <stp/>
        <stp>BDH|10989288888839814663</stp>
        <tr r="F23" s="2"/>
      </tp>
      <tp t="s">
        <v>#N/A N/A</v>
        <stp/>
        <stp>BDH|12634640575430374631</stp>
        <tr r="F74" s="2"/>
      </tp>
      <tp t="s">
        <v>#N/A N/A</v>
        <stp/>
        <stp>BDH|16995790927820551650</stp>
        <tr r="K59" s="2"/>
      </tp>
      <tp t="s">
        <v>#N/A N/A</v>
        <stp/>
        <stp>BDH|16347200101948909929</stp>
        <tr r="F77" s="2"/>
      </tp>
      <tp t="s">
        <v>#N/A N/A</v>
        <stp/>
        <stp>BDH|13912617020676330427</stp>
        <tr r="G15" s="2"/>
      </tp>
      <tp t="s">
        <v>#N/A N/A</v>
        <stp/>
        <stp>BDH|10833053228344421394</stp>
        <tr r="L19" s="2"/>
      </tp>
      <tp t="s">
        <v>#N/A N/A</v>
        <stp/>
        <stp>BDH|16267563452181927250</stp>
        <tr r="F61" s="2"/>
      </tp>
      <tp t="s">
        <v>#N/A N/A</v>
        <stp/>
        <stp>BDH|18022618458017251919</stp>
        <tr r="J81" s="2"/>
      </tp>
      <tp t="s">
        <v>#N/A N/A</v>
        <stp/>
        <stp>BDH|16588124926507533792</stp>
        <tr r="K70" s="2"/>
      </tp>
      <tp t="s">
        <v>#N/A N/A</v>
        <stp/>
        <stp>BDH|10079324034164334182</stp>
        <tr r="K26" s="2"/>
      </tp>
      <tp t="s">
        <v>#N/A N/A</v>
        <stp/>
        <stp>BDH|15360134428454256770</stp>
        <tr r="K53" s="2"/>
      </tp>
      <tp t="s">
        <v>#N/A N/A</v>
        <stp/>
        <stp>BDH|13792655539463661018</stp>
        <tr r="L98" s="2"/>
      </tp>
      <tp t="s">
        <v>#N/A N/A</v>
        <stp/>
        <stp>BDH|16639657376897234587</stp>
        <tr r="G72" s="2"/>
      </tp>
      <tp t="s">
        <v>#N/A N/A</v>
        <stp/>
        <stp>BDH|12848355951767149620</stp>
        <tr r="J97" s="2"/>
      </tp>
      <tp t="s">
        <v>#N/A N/A</v>
        <stp/>
        <stp>BDH|12943617102321375061</stp>
        <tr r="I98" s="2"/>
      </tp>
      <tp t="s">
        <v>#N/A N/A</v>
        <stp/>
        <stp>BDH|14116335619855539608</stp>
        <tr r="K13" s="2"/>
      </tp>
      <tp t="s">
        <v>#N/A N/A</v>
        <stp/>
        <stp>BDH|10739248176161947128</stp>
        <tr r="G88" s="2"/>
      </tp>
    </main>
    <main first="bofaddin.rtdserver">
      <tp t="s">
        <v>#N/A N/A</v>
        <stp/>
        <stp>BDH|2936252095810514569</stp>
        <tr r="C57" s="2"/>
      </tp>
      <tp t="s">
        <v>#N/A N/A</v>
        <stp/>
        <stp>BDH|6083398884665063477</stp>
        <tr r="F69" s="2"/>
      </tp>
      <tp t="s">
        <v>#N/A N/A</v>
        <stp/>
        <stp>BDH|7478326489352444206</stp>
        <tr r="K38" s="2"/>
      </tp>
      <tp t="s">
        <v>#N/A N/A</v>
        <stp/>
        <stp>BDH|8049359998316096864</stp>
        <tr r="G42" s="2"/>
      </tp>
      <tp t="s">
        <v>#N/A N/A</v>
        <stp/>
        <stp>BDH|8562264634556570394</stp>
        <tr r="H14" s="2"/>
      </tp>
      <tp t="s">
        <v>#N/A N/A</v>
        <stp/>
        <stp>BDH|4855078397496991783</stp>
        <tr r="F56" s="2"/>
      </tp>
      <tp t="s">
        <v>#N/A N/A</v>
        <stp/>
        <stp>BDH|4950132570249465771</stp>
        <tr r="C92" s="2"/>
      </tp>
      <tp t="s">
        <v>#N/A N/A</v>
        <stp/>
        <stp>BDH|6811814561464705069</stp>
        <tr r="G55" s="2"/>
      </tp>
      <tp t="s">
        <v>#N/A N/A</v>
        <stp/>
        <stp>BDH|5987599695857969255</stp>
        <tr r="C55" s="2"/>
      </tp>
      <tp t="s">
        <v>#N/A N/A</v>
        <stp/>
        <stp>BDH|8018625169242615649</stp>
        <tr r="G63" s="2"/>
      </tp>
      <tp t="s">
        <v>#N/A N/A</v>
        <stp/>
        <stp>BDH|7967196024059805121</stp>
        <tr r="E98" s="2"/>
      </tp>
      <tp t="s">
        <v>#N/A N/A</v>
        <stp/>
        <stp>BDH|1805869650810560050</stp>
        <tr r="K47" s="2"/>
      </tp>
      <tp t="s">
        <v>#N/A N/A</v>
        <stp/>
        <stp>BDH|1404437119880680847</stp>
        <tr r="K71" s="2"/>
      </tp>
      <tp t="s">
        <v>#N/A N/A</v>
        <stp/>
        <stp>BDH|4807665115497277853</stp>
        <tr r="I96" s="2"/>
      </tp>
      <tp t="s">
        <v>#N/A N/A</v>
        <stp/>
        <stp>BDH|9794050421000884761</stp>
        <tr r="I67" s="2"/>
      </tp>
      <tp t="s">
        <v>#N/A N/A</v>
        <stp/>
        <stp>BDH|2921636861398667602</stp>
        <tr r="J52" s="2"/>
      </tp>
      <tp t="s">
        <v>#N/A N/A</v>
        <stp/>
        <stp>BDH|8893349359532362042</stp>
        <tr r="E21" s="2"/>
      </tp>
      <tp t="s">
        <v>#N/A N/A</v>
        <stp/>
        <stp>BDH|3934060738929592500</stp>
        <tr r="D87" s="2"/>
      </tp>
      <tp t="s">
        <v>#N/A N/A</v>
        <stp/>
        <stp>BDH|8100047871281384248</stp>
        <tr r="L43" s="2"/>
      </tp>
      <tp t="s">
        <v>#N/A N/A</v>
        <stp/>
        <stp>BDH|4615507868009944266</stp>
        <tr r="J94" s="2"/>
      </tp>
      <tp t="s">
        <v>#N/A N/A</v>
        <stp/>
        <stp>BDH|8115274055476742558</stp>
        <tr r="L60" s="2"/>
      </tp>
      <tp t="s">
        <v>#N/A N/A</v>
        <stp/>
        <stp>BDH|6378972015072400049</stp>
        <tr r="F46" s="2"/>
      </tp>
      <tp t="s">
        <v>#N/A N/A</v>
        <stp/>
        <stp>BDH|2164294927078888610</stp>
        <tr r="L27" s="2"/>
      </tp>
      <tp t="s">
        <v>#N/A N/A</v>
        <stp/>
        <stp>BDH|2730069815176152933</stp>
        <tr r="I57" s="2"/>
      </tp>
      <tp t="s">
        <v>#N/A N/A</v>
        <stp/>
        <stp>BDH|9428178575856683578</stp>
        <tr r="K35" s="2"/>
      </tp>
      <tp t="s">
        <v>#N/A N/A</v>
        <stp/>
        <stp>BDH|3432916430045121014</stp>
        <tr r="D74" s="2"/>
      </tp>
      <tp t="s">
        <v>#N/A N/A</v>
        <stp/>
        <stp>BDH|3945375888764438073</stp>
        <tr r="J41" s="2"/>
      </tp>
      <tp t="s">
        <v>#N/A N/A</v>
        <stp/>
        <stp>BDH|71178144560037497</stp>
        <tr r="H94" s="2"/>
      </tp>
      <tp t="s">
        <v>#N/A N/A</v>
        <stp/>
        <stp>BDH|55605009760175705</stp>
        <tr r="E33" s="2"/>
      </tp>
      <tp t="s">
        <v>#N/A N/A</v>
        <stp/>
        <stp>BDH|4407380594672485161</stp>
        <tr r="F63" s="2"/>
      </tp>
      <tp t="s">
        <v>#N/A N/A</v>
        <stp/>
        <stp>BDH|1941515458769203598</stp>
        <tr r="L69" s="2"/>
      </tp>
      <tp t="s">
        <v>#N/A N/A</v>
        <stp/>
        <stp>BDH|2558945379568285926</stp>
        <tr r="J80" s="2"/>
      </tp>
      <tp t="s">
        <v>#N/A N/A</v>
        <stp/>
        <stp>BDH|8398992413984685975</stp>
        <tr r="D16" s="2"/>
      </tp>
      <tp t="s">
        <v>#N/A N/A</v>
        <stp/>
        <stp>BDH|3694994533991692539</stp>
        <tr r="F11" s="2"/>
      </tp>
      <tp t="s">
        <v>#N/A N/A</v>
        <stp/>
        <stp>BDH|8803135711880224571</stp>
        <tr r="H98" s="2"/>
      </tp>
      <tp t="s">
        <v>#N/A N/A</v>
        <stp/>
        <stp>BDH|9173745424251519084</stp>
        <tr r="I50" s="2"/>
      </tp>
      <tp t="s">
        <v>#N/A N/A</v>
        <stp/>
        <stp>BDH|3094603750454419980</stp>
        <tr r="H15" s="2"/>
      </tp>
      <tp t="s">
        <v>#N/A N/A</v>
        <stp/>
        <stp>BDH|8525954728487315968</stp>
        <tr r="F22" s="2"/>
      </tp>
      <tp t="s">
        <v>#N/A N/A</v>
        <stp/>
        <stp>BDH|7492865906355381750</stp>
        <tr r="E97" s="2"/>
      </tp>
      <tp t="s">
        <v>#N/A N/A</v>
        <stp/>
        <stp>BDH|3725052946479494337</stp>
        <tr r="D25" s="2"/>
      </tp>
      <tp t="s">
        <v>#N/A N/A</v>
        <stp/>
        <stp>BDH|4003817230470721269</stp>
        <tr r="D68" s="2"/>
      </tp>
      <tp t="s">
        <v>#N/A N/A</v>
        <stp/>
        <stp>BDH|3382152407447262832</stp>
        <tr r="D79" s="2"/>
      </tp>
      <tp t="s">
        <v>#N/A N/A</v>
        <stp/>
        <stp>BDH|3535504845299543649</stp>
        <tr r="K58" s="2"/>
      </tp>
      <tp t="s">
        <v>#N/A N/A</v>
        <stp/>
        <stp>BDH|2271812025982626716</stp>
        <tr r="L30" s="2"/>
      </tp>
      <tp t="s">
        <v>#N/A N/A</v>
        <stp/>
        <stp>BDH|1363937320500884791</stp>
        <tr r="C28" s="2"/>
      </tp>
      <tp t="s">
        <v>#N/A N/A</v>
        <stp/>
        <stp>BDH|3272161473498468059</stp>
        <tr r="I72" s="2"/>
      </tp>
      <tp t="s">
        <v>#N/A N/A</v>
        <stp/>
        <stp>BDH|7516121686432529137</stp>
        <tr r="H21" s="2"/>
      </tp>
      <tp t="s">
        <v>#N/A N/A</v>
        <stp/>
        <stp>BDH|8877788955805318211</stp>
        <tr r="J32" s="2"/>
      </tp>
      <tp t="s">
        <v>#N/A N/A</v>
        <stp/>
        <stp>BDH|6378880098468067276</stp>
        <tr r="L93" s="2"/>
      </tp>
      <tp t="s">
        <v>#N/A N/A</v>
        <stp/>
        <stp>BDH|8810552467101627786</stp>
        <tr r="J43" s="2"/>
      </tp>
      <tp t="s">
        <v>#N/A N/A</v>
        <stp/>
        <stp>BDH|4112164300810191829</stp>
        <tr r="F93" s="2"/>
      </tp>
      <tp t="s">
        <v>#N/A N/A</v>
        <stp/>
        <stp>BDH|1442595748028491554</stp>
        <tr r="E63" s="2"/>
      </tp>
      <tp t="s">
        <v>#N/A N/A</v>
        <stp/>
        <stp>BDH|4914813778495212373</stp>
        <tr r="I55" s="2"/>
      </tp>
      <tp t="s">
        <v>#N/A N/A</v>
        <stp/>
        <stp>BDH|9583543193559052172</stp>
        <tr r="I64" s="2"/>
      </tp>
      <tp t="s">
        <v>#N/A N/A</v>
        <stp/>
        <stp>BDH|5055112812348484023</stp>
        <tr r="J66" s="2"/>
      </tp>
      <tp t="s">
        <v>#N/A N/A</v>
        <stp/>
        <stp>BDH|6737957968256529154</stp>
        <tr r="E74" s="2"/>
      </tp>
      <tp t="s">
        <v>#N/A N/A</v>
        <stp/>
        <stp>BDH|3189439988386655764</stp>
        <tr r="L96" s="2"/>
      </tp>
      <tp t="s">
        <v>#N/A N/A</v>
        <stp/>
        <stp>BDH|7400104183181940143</stp>
        <tr r="I77" s="2"/>
      </tp>
      <tp t="s">
        <v>#N/A N/A</v>
        <stp/>
        <stp>BDH|5112263892247798784</stp>
        <tr r="C26" s="2"/>
      </tp>
      <tp t="s">
        <v>#N/A N/A</v>
        <stp/>
        <stp>BDH|9613481791522401805</stp>
        <tr r="F51" s="2"/>
      </tp>
      <tp t="s">
        <v>#N/A N/A</v>
        <stp/>
        <stp>BDH|9186412028801317006</stp>
        <tr r="L54" s="2"/>
      </tp>
      <tp t="s">
        <v>#N/A N/A</v>
        <stp/>
        <stp>BDH|6432771998900321633</stp>
        <tr r="G87" s="2"/>
      </tp>
      <tp t="s">
        <v>#N/A N/A</v>
        <stp/>
        <stp>BDH|3100089217709433513</stp>
        <tr r="J61" s="2"/>
      </tp>
      <tp t="s">
        <v>#N/A N/A</v>
        <stp/>
        <stp>BDH|1500040592566980025</stp>
        <tr r="I14" s="2"/>
      </tp>
      <tp t="s">
        <v>#N/A N/A</v>
        <stp/>
        <stp>BDH|2746212527109092585</stp>
        <tr r="H67" s="2"/>
      </tp>
      <tp t="s">
        <v>#N/A N/A</v>
        <stp/>
        <stp>BDH|8283426022892579297</stp>
        <tr r="K29" s="2"/>
      </tp>
      <tp t="s">
        <v>#N/A N/A</v>
        <stp/>
        <stp>BDH|7789174054619254487</stp>
        <tr r="E26" s="2"/>
      </tp>
      <tp t="s">
        <v>#N/A N/A</v>
        <stp/>
        <stp>BDH|5135423939458440413</stp>
        <tr r="C43" s="2"/>
      </tp>
      <tp t="s">
        <v>#N/A N/A</v>
        <stp/>
        <stp>BDH|7438668788905280278</stp>
        <tr r="J30" s="2"/>
      </tp>
      <tp t="s">
        <v>#N/A N/A</v>
        <stp/>
        <stp>BDH|2539337798205634372</stp>
        <tr r="E55" s="2"/>
      </tp>
      <tp t="s">
        <v>#N/A N/A</v>
        <stp/>
        <stp>BDH|7824724772659368049</stp>
        <tr r="H18" s="2"/>
      </tp>
      <tp t="s">
        <v>#N/A N/A</v>
        <stp/>
        <stp>BDH|1683910908785012338</stp>
        <tr r="L87" s="2"/>
      </tp>
      <tp t="s">
        <v>#N/A N/A</v>
        <stp/>
        <stp>BDH|7677671838224825835</stp>
        <tr r="J20" s="2"/>
      </tp>
      <tp t="s">
        <v>#N/A N/A</v>
        <stp/>
        <stp>BDH|6362994807312624394</stp>
        <tr r="G34" s="2"/>
      </tp>
      <tp t="s">
        <v>#N/A N/A</v>
        <stp/>
        <stp>BDH|7938219691376875434</stp>
        <tr r="E61" s="2"/>
      </tp>
      <tp t="s">
        <v>#N/A N/A</v>
        <stp/>
        <stp>BDH|7450962266063295558</stp>
        <tr r="D50" s="2"/>
      </tp>
      <tp t="s">
        <v>#N/A N/A</v>
        <stp/>
        <stp>BDH|2782489603910814875</stp>
        <tr r="D44" s="2"/>
      </tp>
      <tp t="s">
        <v>#N/A N/A</v>
        <stp/>
        <stp>BDH|2081220687900044650</stp>
        <tr r="I88" s="2"/>
      </tp>
      <tp t="s">
        <v>#N/A N/A</v>
        <stp/>
        <stp>BDH|3655578770619288637</stp>
        <tr r="F65" s="2"/>
      </tp>
      <tp t="s">
        <v>#N/A N/A</v>
        <stp/>
        <stp>BDH|4744415427754653874</stp>
        <tr r="F98" s="2"/>
      </tp>
      <tp t="s">
        <v>#N/A N/A</v>
        <stp/>
        <stp>BDH|9532644620243308022</stp>
        <tr r="K87" s="2"/>
      </tp>
      <tp t="s">
        <v>#N/A N/A</v>
        <stp/>
        <stp>BDH|8770100377865103516</stp>
        <tr r="G18" s="2"/>
      </tp>
      <tp t="s">
        <v>#N/A N/A</v>
        <stp/>
        <stp>BDH|1382854305237102024</stp>
        <tr r="K68" s="2"/>
      </tp>
      <tp t="s">
        <v>#N/A N/A</v>
        <stp/>
        <stp>BDH|9184072301315315251</stp>
        <tr r="J96" s="2"/>
      </tp>
      <tp t="s">
        <v>#N/A N/A</v>
        <stp/>
        <stp>BDH|4454478735084184969</stp>
        <tr r="I43" s="2"/>
      </tp>
      <tp t="s">
        <v>#N/A N/A</v>
        <stp/>
        <stp>BDH|9774614350413414740</stp>
        <tr r="G37" s="2"/>
      </tp>
      <tp t="s">
        <v>#N/A N/A</v>
        <stp/>
        <stp>BDH|6767244719158514398</stp>
        <tr r="G91" s="2"/>
      </tp>
      <tp t="s">
        <v>#N/A N/A</v>
        <stp/>
        <stp>BDH|1852924741821914358</stp>
        <tr r="C80" s="2"/>
      </tp>
      <tp t="s">
        <v>#N/A N/A</v>
        <stp/>
        <stp>BDH|1358926773408729920</stp>
        <tr r="I52" s="2"/>
      </tp>
      <tp t="s">
        <v>#N/A N/A</v>
        <stp/>
        <stp>BDH|4459708693054634067</stp>
        <tr r="F16" s="2"/>
      </tp>
      <tp t="s">
        <v>#N/A N/A</v>
        <stp/>
        <stp>BDH|9307950808676887815</stp>
        <tr r="E14" s="2"/>
      </tp>
      <tp t="s">
        <v>#N/A N/A</v>
        <stp/>
        <stp>BDH|6522812160296007008</stp>
        <tr r="G89" s="2"/>
      </tp>
      <tp t="s">
        <v>#N/A N/A</v>
        <stp/>
        <stp>BDH|3670396996535165326</stp>
        <tr r="C98" s="2"/>
      </tp>
      <tp t="s">
        <v>#N/A N/A</v>
        <stp/>
        <stp>BDH|7197952019397467729</stp>
        <tr r="J67" s="2"/>
      </tp>
      <tp t="s">
        <v>#N/A N/A</v>
        <stp/>
        <stp>BDH|9347247938762306579</stp>
        <tr r="K17" s="2"/>
      </tp>
      <tp t="s">
        <v>#N/A N/A</v>
        <stp/>
        <stp>BDH|6878811444477718221</stp>
        <tr r="F66" s="2"/>
      </tp>
      <tp t="s">
        <v>#N/A N/A</v>
        <stp/>
        <stp>BDH|7816721592563598555</stp>
        <tr r="G52" s="2"/>
      </tp>
      <tp t="s">
        <v>#N/A N/A</v>
        <stp/>
        <stp>BDH|5993336506558663127</stp>
        <tr r="H8" s="2"/>
      </tp>
      <tp t="s">
        <v>#N/A N/A</v>
        <stp/>
        <stp>BDH|2238161201105590985</stp>
        <tr r="F9" s="2"/>
      </tp>
      <tp t="s">
        <v>#N/A N/A</v>
        <stp/>
        <stp>BDH|4098912478373762674</stp>
        <tr r="C58" s="2"/>
      </tp>
      <tp t="s">
        <v>#N/A N/A</v>
        <stp/>
        <stp>BDH|3878605156987059806</stp>
        <tr r="C12" s="2"/>
      </tp>
      <tp t="s">
        <v>#N/A N/A</v>
        <stp/>
        <stp>BDH|6786547879458534331</stp>
        <tr r="K41" s="2"/>
      </tp>
      <tp t="s">
        <v>#N/A N/A</v>
        <stp/>
        <stp>BDH|4562911326974877483</stp>
        <tr r="K10" s="2"/>
      </tp>
      <tp t="s">
        <v>#N/A N/A</v>
        <stp/>
        <stp>BDH|9781693455345189090</stp>
        <tr r="E11" s="2"/>
      </tp>
      <tp t="s">
        <v>#N/A N/A</v>
        <stp/>
        <stp>BDH|3772508702990587933</stp>
        <tr r="F57" s="2"/>
      </tp>
      <tp t="s">
        <v>#N/A N/A</v>
        <stp/>
        <stp>BDH|5977691236568322758</stp>
        <tr r="D43" s="2"/>
      </tp>
      <tp t="s">
        <v>#N/A N/A</v>
        <stp/>
        <stp>BDH|1597937955705532763</stp>
        <tr r="J26" s="2"/>
      </tp>
      <tp t="s">
        <v>#N/A N/A</v>
        <stp/>
        <stp>BDH|4248666884804985180</stp>
        <tr r="G10" s="2"/>
      </tp>
      <tp t="s">
        <v>#N/A N/A</v>
        <stp/>
        <stp>BDH|8280736012901392068</stp>
        <tr r="H82" s="2"/>
      </tp>
      <tp t="s">
        <v>#N/A N/A</v>
        <stp/>
        <stp>BDH|3976860062071915333</stp>
        <tr r="F53" s="2"/>
      </tp>
      <tp t="s">
        <v>#N/A N/A</v>
        <stp/>
        <stp>BDH|6858264949518683768</stp>
        <tr r="D54" s="2"/>
      </tp>
      <tp t="s">
        <v>#N/A N/A</v>
        <stp/>
        <stp>BDH|5814569498352516479</stp>
        <tr r="K33" s="2"/>
      </tp>
      <tp t="s">
        <v>#N/A N/A</v>
        <stp/>
        <stp>BDH|8172661350702273601</stp>
        <tr r="D89" s="2"/>
      </tp>
      <tp t="s">
        <v>#N/A N/A</v>
        <stp/>
        <stp>BDH|4861864160832823732</stp>
        <tr r="H16" s="2"/>
      </tp>
      <tp t="s">
        <v>#N/A N/A</v>
        <stp/>
        <stp>BDH|1744000058609532510</stp>
        <tr r="I51" s="2"/>
      </tp>
      <tp t="s">
        <v>#N/A N/A</v>
        <stp/>
        <stp>BDH|4896952358299976977</stp>
        <tr r="L45" s="2"/>
      </tp>
      <tp t="s">
        <v>#N/A N/A</v>
        <stp/>
        <stp>BDH|1784502627349369780</stp>
        <tr r="L28" s="2"/>
      </tp>
      <tp t="s">
        <v>#N/A N/A</v>
        <stp/>
        <stp>BDH|7045011791083836507</stp>
        <tr r="D47" s="2"/>
      </tp>
      <tp t="s">
        <v>#N/A N/A</v>
        <stp/>
        <stp>BDH|8170687499918092790</stp>
        <tr r="L11" s="2"/>
      </tp>
      <tp t="s">
        <v>#N/A N/A</v>
        <stp/>
        <stp>BDH|2251953569354014173</stp>
        <tr r="G94" s="2"/>
      </tp>
      <tp t="s">
        <v>#N/A N/A</v>
        <stp/>
        <stp>BDH|4611194410764022814</stp>
        <tr r="I91" s="2"/>
      </tp>
      <tp t="s">
        <v>#N/A N/A</v>
        <stp/>
        <stp>BDH|8009982692856573605</stp>
        <tr r="L68" s="2"/>
      </tp>
      <tp t="s">
        <v>#N/A N/A</v>
        <stp/>
        <stp>BDH|6817092719026645923</stp>
        <tr r="I79" s="2"/>
      </tp>
      <tp t="s">
        <v>#N/A N/A</v>
        <stp/>
        <stp>BDH|4793891940471506167</stp>
        <tr r="K89" s="2"/>
      </tp>
      <tp t="s">
        <v>#N/A N/A</v>
        <stp/>
        <stp>BDH|6846471098673275075</stp>
        <tr r="D48" s="2"/>
      </tp>
      <tp t="s">
        <v>#N/A N/A</v>
        <stp/>
        <stp>BDH|9709711003127366141</stp>
        <tr r="E96" s="2"/>
      </tp>
      <tp t="s">
        <v>#N/A N/A</v>
        <stp/>
        <stp>BDH|6662630136348026318</stp>
        <tr r="D14" s="2"/>
      </tp>
      <tp t="s">
        <v>#N/A N/A</v>
        <stp/>
        <stp>BDH|5587111294374669159</stp>
        <tr r="F21" s="2"/>
      </tp>
      <tp t="s">
        <v>#N/A N/A</v>
        <stp/>
        <stp>BDH|9368026467790449715</stp>
        <tr r="L81" s="2"/>
      </tp>
      <tp t="s">
        <v>#N/A N/A</v>
        <stp/>
        <stp>BDH|5802386642469559363</stp>
        <tr r="I71" s="2"/>
      </tp>
      <tp t="s">
        <v>#N/A N/A</v>
        <stp/>
        <stp>BDH|7279779443395249957</stp>
        <tr r="D32" s="2"/>
      </tp>
      <tp t="s">
        <v>#N/A N/A</v>
        <stp/>
        <stp>BDH|8567921126208016371</stp>
        <tr r="J11" s="2"/>
      </tp>
      <tp t="s">
        <v>#N/A N/A</v>
        <stp/>
        <stp>BDH|3244743332989797640</stp>
        <tr r="G21" s="2"/>
      </tp>
      <tp t="s">
        <v>#N/A N/A</v>
        <stp/>
        <stp>BDH|2099629361383143963</stp>
        <tr r="C52" s="2"/>
      </tp>
      <tp t="s">
        <v>#N/A N/A</v>
        <stp/>
        <stp>BDH|7222707937472459946</stp>
        <tr r="G19" s="2"/>
      </tp>
      <tp t="s">
        <v>#N/A N/A</v>
        <stp/>
        <stp>BDH|1151785658148147352</stp>
        <tr r="D71" s="2"/>
      </tp>
      <tp t="s">
        <v>#N/A N/A</v>
        <stp/>
        <stp>BDH|9769486734117793194</stp>
        <tr r="D22" s="2"/>
      </tp>
      <tp t="s">
        <v>#N/A N/A</v>
        <stp/>
        <stp>BDH|4553483341435603817</stp>
        <tr r="D73" s="2"/>
      </tp>
      <tp t="s">
        <v>#N/A N/A</v>
        <stp/>
        <stp>BDH|9820230260190909495</stp>
        <tr r="I69" s="2"/>
      </tp>
      <tp t="s">
        <v>#N/A N/A</v>
        <stp/>
        <stp>BDH|3801063384110434258</stp>
        <tr r="L41" s="2"/>
      </tp>
      <tp t="s">
        <v>#N/A N/A</v>
        <stp/>
        <stp>BDH|8398747196516231984</stp>
        <tr r="E57" s="2"/>
      </tp>
      <tp t="s">
        <v>#N/A N/A</v>
        <stp/>
        <stp>BDH|7074818941191909320</stp>
        <tr r="J60" s="2"/>
      </tp>
      <tp t="s">
        <v>#N/A N/A</v>
        <stp/>
        <stp>BDH|8188764172206460789</stp>
        <tr r="J64" s="2"/>
      </tp>
      <tp t="s">
        <v>#N/A N/A</v>
        <stp/>
        <stp>BDH|1528469381244299095</stp>
        <tr r="F92" s="2"/>
      </tp>
      <tp t="s">
        <v>#N/A N/A</v>
        <stp/>
        <stp>BDH|9169224206504343682</stp>
        <tr r="J15" s="2"/>
      </tp>
      <tp t="s">
        <v>#N/A N/A</v>
        <stp/>
        <stp>BDH|4207970432916877118</stp>
        <tr r="D94" s="2"/>
      </tp>
      <tp t="s">
        <v>#N/A N/A</v>
        <stp/>
        <stp>BDH|5458865659511077071</stp>
        <tr r="H44" s="2"/>
      </tp>
      <tp t="s">
        <v>#N/A N/A</v>
        <stp/>
        <stp>BDH|1820577196573493717</stp>
        <tr r="D45" s="2"/>
      </tp>
      <tp t="s">
        <v>#N/A N/A</v>
        <stp/>
        <stp>BDH|3337657528628493674</stp>
        <tr r="I60" s="2"/>
      </tp>
      <tp t="s">
        <v>#N/A N/A</v>
        <stp/>
        <stp>BDH|4244345096057660049</stp>
        <tr r="F42" s="2"/>
      </tp>
      <tp t="s">
        <v>#N/A N/A</v>
        <stp/>
        <stp>BDH|1597826731290757336</stp>
        <tr r="F10" s="2"/>
      </tp>
      <tp t="s">
        <v>#N/A N/A</v>
        <stp/>
        <stp>BDH|9522960806230486925</stp>
        <tr r="H65" s="2"/>
      </tp>
      <tp t="s">
        <v>#N/A N/A</v>
        <stp/>
        <stp>BDH|3820324490836981636</stp>
        <tr r="L26" s="2"/>
      </tp>
      <tp t="s">
        <v>#N/A N/A</v>
        <stp/>
        <stp>BDH|8576050704048313978</stp>
        <tr r="L44" s="2"/>
      </tp>
      <tp t="s">
        <v>#N/A N/A</v>
        <stp/>
        <stp>BDH|1460522859790100888</stp>
        <tr r="J42" s="2"/>
      </tp>
      <tp t="s">
        <v>#N/A N/A</v>
        <stp/>
        <stp>BDH|9420118837503098150</stp>
        <tr r="C87" s="2"/>
      </tp>
      <tp t="s">
        <v>#N/A N/A</v>
        <stp/>
        <stp>BDH|6473833665410041160</stp>
        <tr r="E64" s="2"/>
      </tp>
      <tp t="s">
        <v>#N/A N/A</v>
        <stp/>
        <stp>BDH|8947729337994224250</stp>
        <tr r="G50" s="2"/>
      </tp>
      <tp t="s">
        <v>#N/A N/A</v>
        <stp/>
        <stp>BDH|8506078614503573086</stp>
        <tr r="E46" s="2"/>
      </tp>
      <tp t="s">
        <v>#N/A N/A</v>
        <stp/>
        <stp>BDH|9770030578267400315</stp>
        <tr r="D59" s="2"/>
      </tp>
      <tp t="s">
        <v>#N/A N/A</v>
        <stp/>
        <stp>BDH|4145877201181022795</stp>
        <tr r="F96" s="2"/>
      </tp>
      <tp t="s">
        <v>#N/A N/A</v>
        <stp/>
        <stp>BDH|8861045262044752067</stp>
        <tr r="F59" s="2"/>
      </tp>
      <tp t="s">
        <v>#N/A N/A</v>
        <stp/>
        <stp>BDH|4502575288654504738</stp>
        <tr r="C29" s="2"/>
      </tp>
      <tp t="s">
        <v>#N/A N/A</v>
        <stp/>
        <stp>BDH|4473470194046854521</stp>
        <tr r="F12" s="2"/>
      </tp>
      <tp t="s">
        <v>#N/A N/A</v>
        <stp/>
        <stp>BDH|2540927217083593375</stp>
        <tr r="H9" s="2"/>
      </tp>
      <tp t="s">
        <v>#N/A N/A</v>
        <stp/>
        <stp>BDH|9419535341664537600</stp>
        <tr r="J56" s="2"/>
      </tp>
      <tp t="s">
        <v>#N/A N/A</v>
        <stp/>
        <stp>BDH|9074111401904120622</stp>
        <tr r="D60" s="2"/>
      </tp>
      <tp t="s">
        <v>#N/A N/A</v>
        <stp/>
        <stp>BDH|8863797011812165616</stp>
        <tr r="E29" s="2"/>
      </tp>
      <tp t="s">
        <v>#N/A N/A</v>
        <stp/>
        <stp>BDH|3721602302608739738</stp>
        <tr r="D52" s="2"/>
      </tp>
      <tp t="s">
        <v>#N/A N/A</v>
        <stp/>
        <stp>BDH|3003462482017136237</stp>
        <tr r="D11" s="2"/>
      </tp>
      <tp t="s">
        <v>#N/A N/A</v>
        <stp/>
        <stp>BDH|3318503124948562641</stp>
        <tr r="K20" s="2"/>
      </tp>
      <tp t="s">
        <v>#N/A N/A</v>
        <stp/>
        <stp>BDH|3497049381254573536</stp>
        <tr r="D23" s="2"/>
      </tp>
      <tp t="s">
        <v>#N/A N/A</v>
        <stp/>
        <stp>BDH|9755281726167481576</stp>
        <tr r="J98" s="2"/>
      </tp>
      <tp t="s">
        <v>#N/A N/A</v>
        <stp/>
        <stp>BDH|3398415995194924168</stp>
        <tr r="H99" s="2"/>
      </tp>
      <tp t="s">
        <v>#N/A N/A</v>
        <stp/>
        <stp>BDH|9093274463426876043</stp>
        <tr r="C79" s="2"/>
      </tp>
      <tp t="s">
        <v>#N/A N/A</v>
        <stp/>
        <stp>BDH|6845619782715429675</stp>
        <tr r="F62" s="2"/>
      </tp>
      <tp t="s">
        <v>#N/A N/A</v>
        <stp/>
        <stp>BDH|1105945336604898435</stp>
        <tr r="E30" s="2"/>
      </tp>
      <tp t="s">
        <v>#N/A N/A</v>
        <stp/>
        <stp>BDH|7096002046168022099</stp>
        <tr r="L32" s="2"/>
      </tp>
      <tp t="s">
        <v>#N/A N/A</v>
        <stp/>
        <stp>BDH|4747449578968795431</stp>
        <tr r="F80" s="2"/>
      </tp>
      <tp t="s">
        <v>#N/A N/A</v>
        <stp/>
        <stp>BDH|7787449851674762992</stp>
        <tr r="C15" s="2"/>
      </tp>
      <tp t="s">
        <v>#N/A N/A</v>
        <stp/>
        <stp>BDH|4453095709386114961</stp>
        <tr r="F71" s="2"/>
      </tp>
      <tp t="s">
        <v>#N/A N/A</v>
        <stp/>
        <stp>BDH|5711272879109892222</stp>
        <tr r="I18" s="2"/>
      </tp>
      <tp t="s">
        <v>#N/A N/A</v>
        <stp/>
        <stp>BDH|3462131295777492765</stp>
        <tr r="L63" s="2"/>
      </tp>
      <tp t="s">
        <v>#N/A N/A</v>
        <stp/>
        <stp>BDH|6518819014090463458</stp>
        <tr r="C7" s="2"/>
      </tp>
      <tp t="s">
        <v>#N/A N/A</v>
        <stp/>
        <stp>BDH|9181148562131885490</stp>
        <tr r="G41" s="2"/>
      </tp>
      <tp t="s">
        <v>#N/A N/A</v>
        <stp/>
        <stp>BDH|8545381420517112584</stp>
        <tr r="E16" s="2"/>
      </tp>
      <tp t="s">
        <v>#N/A N/A</v>
        <stp/>
        <stp>BDH|8247854623108473154</stp>
        <tr r="H76" s="2"/>
      </tp>
      <tp t="s">
        <v>#N/A N/A</v>
        <stp/>
        <stp>BDH|4538315184977699333</stp>
        <tr r="E59" s="2"/>
      </tp>
      <tp t="s">
        <v>#N/A N/A</v>
        <stp/>
        <stp>BDH|9888373808942317316</stp>
        <tr r="E94" s="2"/>
      </tp>
      <tp t="s">
        <v>#N/A N/A</v>
        <stp/>
        <stp>BDH|8400060061342053891</stp>
        <tr r="E93" s="2"/>
      </tp>
      <tp t="s">
        <v>#N/A N/A</v>
        <stp/>
        <stp>BDH|6212143761924599189</stp>
        <tr r="F81" s="2"/>
      </tp>
      <tp t="s">
        <v>#N/A N/A</v>
        <stp/>
        <stp>BDH|4255025657880569582</stp>
        <tr r="H53" s="2"/>
      </tp>
      <tp t="s">
        <v>#N/A N/A</v>
        <stp/>
        <stp>BDH|5457142861867264181</stp>
        <tr r="G32" s="2"/>
      </tp>
      <tp t="s">
        <v>#N/A N/A</v>
        <stp/>
        <stp>BDH|7071736429867537146</stp>
        <tr r="D53" s="2"/>
      </tp>
      <tp t="s">
        <v>#N/A N/A</v>
        <stp/>
        <stp>BDH|4516438909942557620</stp>
        <tr r="G36" s="2"/>
      </tp>
      <tp t="s">
        <v>#N/A N/A</v>
        <stp/>
        <stp>BDH|5340773642326936479</stp>
        <tr r="H70" s="2"/>
      </tp>
      <tp t="s">
        <v>#N/A N/A</v>
        <stp/>
        <stp>BDH|7432127928181631112</stp>
        <tr r="K25" s="2"/>
      </tp>
      <tp t="s">
        <v>#N/A N/A</v>
        <stp/>
        <stp>BDH|9645697802092121956</stp>
        <tr r="G93" s="2"/>
      </tp>
      <tp t="s">
        <v>#N/A N/A</v>
        <stp/>
        <stp>BDH|6003499803726615059</stp>
        <tr r="D15" s="2"/>
      </tp>
      <tp t="s">
        <v>#N/A N/A</v>
        <stp/>
        <stp>BDH|3868386729000087601</stp>
        <tr r="H66" s="2"/>
      </tp>
      <tp t="s">
        <v>#N/A N/A</v>
        <stp/>
        <stp>BDH|7573017875586086283</stp>
        <tr r="E75" s="2"/>
      </tp>
      <tp t="s">
        <v>#N/A N/A</v>
        <stp/>
        <stp>BDH|3301868184174895371</stp>
        <tr r="H91" s="2"/>
      </tp>
      <tp t="s">
        <v>#N/A N/A</v>
        <stp/>
        <stp>BDH|4728403902473273795</stp>
        <tr r="G48" s="2"/>
      </tp>
      <tp t="s">
        <v>#N/A N/A</v>
        <stp/>
        <stp>BDH|2355578170160950433</stp>
        <tr r="G78" s="2"/>
      </tp>
      <tp t="s">
        <v>#N/A N/A</v>
        <stp/>
        <stp>BDH|9762669328889329050</stp>
        <tr r="L88" s="2"/>
      </tp>
      <tp t="s">
        <v>#N/A N/A</v>
        <stp/>
        <stp>BDH|4801703867801597062</stp>
        <tr r="L62" s="2"/>
      </tp>
      <tp t="s">
        <v>#N/A N/A</v>
        <stp/>
        <stp>BDH|8430801657561890074</stp>
        <tr r="G27" s="2"/>
      </tp>
      <tp t="s">
        <v>#N/A N/A</v>
        <stp/>
        <stp>BDH|1890987791750855552</stp>
        <tr r="C73" s="2"/>
      </tp>
      <tp t="s">
        <v>#N/A N/A</v>
        <stp/>
        <stp>BDH|7851696012355969176</stp>
        <tr r="J93" s="2"/>
      </tp>
      <tp t="s">
        <v>#N/A N/A</v>
        <stp/>
        <stp>BDH|9745557249574455825</stp>
        <tr r="K56" s="2"/>
      </tp>
      <tp t="s">
        <v>#N/A N/A</v>
        <stp/>
        <stp>BDH|2088464106476913445</stp>
        <tr r="J53" s="2"/>
      </tp>
      <tp t="s">
        <v>#N/A N/A</v>
        <stp/>
        <stp>BDH|8904428070297092892</stp>
        <tr r="I81" s="2"/>
      </tp>
      <tp t="s">
        <v>#N/A N/A</v>
        <stp/>
        <stp>BDH|5750534910505250047</stp>
        <tr r="G25" s="2"/>
      </tp>
      <tp t="s">
        <v>#N/A N/A</v>
        <stp/>
        <stp>BDH|6825010151096891121</stp>
        <tr r="E79" s="2"/>
      </tp>
      <tp t="s">
        <v>#N/A N/A</v>
        <stp/>
        <stp>BDH|7897344237041890218</stp>
        <tr r="K32" s="2"/>
      </tp>
      <tp t="s">
        <v>#N/A N/A</v>
        <stp/>
        <stp>BDH|6512576664149531805</stp>
        <tr r="F97" s="2"/>
      </tp>
      <tp t="s">
        <v>#N/A N/A</v>
        <stp/>
        <stp>BDH|1721182758833768235</stp>
        <tr r="I7" s="2"/>
      </tp>
      <tp t="s">
        <v>#N/A N/A</v>
        <stp/>
        <stp>BDH|9359614058248913631</stp>
        <tr r="G11" s="2"/>
      </tp>
      <tp t="s">
        <v>#N/A N/A</v>
        <stp/>
        <stp>BDH|8852882155379044859</stp>
        <tr r="L80" s="2"/>
      </tp>
      <tp t="s">
        <v>#N/A N/A</v>
        <stp/>
        <stp>BDH|8239521051684099815</stp>
        <tr r="F47" s="2"/>
      </tp>
      <tp t="s">
        <v>#N/A N/A</v>
        <stp/>
        <stp>BDH|7738403196248257620</stp>
        <tr r="K95" s="2"/>
      </tp>
      <tp t="s">
        <v>#N/A N/A</v>
        <stp/>
        <stp>BDH|5432557378014112793</stp>
        <tr r="G35" s="2"/>
      </tp>
      <tp t="s">
        <v>#N/A N/A</v>
        <stp/>
        <stp>BDH|5985622838135119131</stp>
        <tr r="L83" s="2"/>
      </tp>
      <tp t="s">
        <v>#N/A N/A</v>
        <stp/>
        <stp>BDH|1427713819614275782</stp>
        <tr r="E23" s="2"/>
      </tp>
      <tp t="s">
        <v>#N/A N/A</v>
        <stp/>
        <stp>BDH|3183822624885903887</stp>
        <tr r="G60" s="2"/>
      </tp>
      <tp t="s">
        <v>#N/A N/A</v>
        <stp/>
        <stp>BDH|9250903924826025008</stp>
        <tr r="K19" s="2"/>
      </tp>
      <tp t="s">
        <v>#N/A N/A</v>
        <stp/>
        <stp>BDH|2555673366923660544</stp>
        <tr r="C17" s="2"/>
      </tp>
      <tp t="s">
        <v>#N/A N/A</v>
        <stp/>
        <stp>BDH|3053824409227867847</stp>
        <tr r="K90" s="2"/>
      </tp>
      <tp t="s">
        <v>#N/A N/A</v>
        <stp/>
        <stp>BDH|8048680942628407696</stp>
        <tr r="H38" s="2"/>
      </tp>
      <tp t="s">
        <v>#N/A N/A</v>
        <stp/>
        <stp>BDH|7211225366376606173</stp>
        <tr r="G64" s="2"/>
      </tp>
      <tp t="s">
        <v>#N/A N/A</v>
        <stp/>
        <stp>BDH|1992327279921149186</stp>
        <tr r="E73" s="2"/>
      </tp>
      <tp t="s">
        <v>#N/A N/A</v>
        <stp/>
        <stp>BDH|9331849448986715610</stp>
        <tr r="I29" s="2"/>
      </tp>
      <tp t="s">
        <v>#N/A N/A</v>
        <stp/>
        <stp>BDH|4670351728281777154</stp>
        <tr r="F99" s="2"/>
      </tp>
      <tp t="s">
        <v>#N/A N/A</v>
        <stp/>
        <stp>BDH|7480080020243747326</stp>
        <tr r="J77" s="2"/>
      </tp>
      <tp t="s">
        <v>#N/A N/A</v>
        <stp/>
        <stp>BDH|7065890088884844601</stp>
        <tr r="F20" s="2"/>
      </tp>
      <tp t="s">
        <v>#N/A N/A</v>
        <stp/>
        <stp>BDH|3389230434441877651</stp>
        <tr r="H88" s="2"/>
      </tp>
      <tp t="s">
        <v>#N/A N/A</v>
        <stp/>
        <stp>BDH|1634922289886216362</stp>
        <tr r="C89" s="2"/>
      </tp>
      <tp t="s">
        <v>#N/A N/A</v>
        <stp/>
        <stp>BDH|5524913980500803125</stp>
        <tr r="G77" s="2"/>
      </tp>
      <tp t="s">
        <v>#N/A N/A</v>
        <stp/>
        <stp>BDH|2699688614633302377</stp>
        <tr r="C59" s="2"/>
      </tp>
      <tp t="s">
        <v>#N/A N/A</v>
        <stp/>
        <stp>BDH|8225067525087703882</stp>
        <tr r="K12" s="2"/>
      </tp>
      <tp t="s">
        <v>#N/A N/A</v>
        <stp/>
        <stp>BDH|1106063271342979107</stp>
        <tr r="D29" s="2"/>
      </tp>
      <tp t="s">
        <v>#N/A N/A</v>
        <stp/>
        <stp>BDH|3722800988901169714</stp>
        <tr r="I26" s="2"/>
      </tp>
      <tp t="s">
        <v>#N/A N/A</v>
        <stp/>
        <stp>BDH|6854811927919103003</stp>
        <tr r="J76" s="2"/>
      </tp>
      <tp t="s">
        <v>#N/A N/A</v>
        <stp/>
        <stp>BDH|6773610805761532442</stp>
        <tr r="K50" s="2"/>
      </tp>
      <tp t="s">
        <v>#N/A N/A</v>
        <stp/>
        <stp>BDH|2092186137533920648</stp>
        <tr r="F91" s="2"/>
      </tp>
      <tp t="s">
        <v>#N/A N/A</v>
        <stp/>
        <stp>BDH|5815667726895297183</stp>
        <tr r="F79" s="2"/>
      </tp>
      <tp t="s">
        <v>#N/A N/A</v>
        <stp/>
        <stp>BDH|6915392137315441606</stp>
        <tr r="L12" s="2"/>
      </tp>
      <tp t="s">
        <v>#N/A N/A</v>
        <stp/>
        <stp>BDH|8510476597508722814</stp>
        <tr r="D78" s="2"/>
      </tp>
      <tp t="s">
        <v>#N/A N/A</v>
        <stp/>
        <stp>BDH|4698859459408067498</stp>
        <tr r="E83" s="2"/>
      </tp>
      <tp t="s">
        <v>#N/A N/A</v>
        <stp/>
        <stp>BDH|5334859186396720679</stp>
        <tr r="F36" s="2"/>
      </tp>
      <tp t="s">
        <v>#N/A N/A</v>
        <stp/>
        <stp>BDH|8851864928661472629</stp>
        <tr r="C71" s="2"/>
      </tp>
      <tp t="s">
        <v>#N/A N/A</v>
        <stp/>
        <stp>BDH|8033534067979295769</stp>
        <tr r="J54" s="2"/>
      </tp>
      <tp t="s">
        <v>#N/A N/A</v>
        <stp/>
        <stp>BDH|4704423358617922750</stp>
        <tr r="L35" s="2"/>
      </tp>
      <tp t="s">
        <v>#N/A N/A</v>
        <stp/>
        <stp>BDH|9359027590110570553</stp>
        <tr r="G49" s="2"/>
      </tp>
      <tp t="s">
        <v>#N/A N/A</v>
        <stp/>
        <stp>BDH|7472204690169088053</stp>
        <tr r="H48" s="2"/>
      </tp>
      <tp t="s">
        <v>#N/A N/A</v>
        <stp/>
        <stp>BDH|8809195280952725604</stp>
        <tr r="G43" s="2"/>
      </tp>
      <tp t="s">
        <v>#N/A N/A</v>
        <stp/>
        <stp>BDH|6247058145944450314</stp>
        <tr r="C74" s="2"/>
      </tp>
      <tp t="s">
        <v>#N/A N/A</v>
        <stp/>
        <stp>BDH|3316903111157202947</stp>
        <tr r="F50" s="2"/>
      </tp>
      <tp t="s">
        <v>#N/A N/A</v>
        <stp/>
        <stp>BDH|8200809735367442178</stp>
        <tr r="I23" s="2"/>
      </tp>
      <tp t="s">
        <v>#N/A N/A</v>
        <stp/>
        <stp>BDH|3631642830580598332</stp>
        <tr r="F29" s="2"/>
      </tp>
      <tp t="s">
        <v>#N/A N/A</v>
        <stp/>
        <stp>BDH|2433800591963591558</stp>
        <tr r="G26" s="2"/>
      </tp>
      <tp t="s">
        <v>#N/A N/A</v>
        <stp/>
        <stp>BDH|6059750381824994888</stp>
        <tr r="D88" s="2"/>
      </tp>
      <tp t="s">
        <v>#N/A N/A</v>
        <stp/>
        <stp>BDH|9057092150613222915</stp>
        <tr r="G14" s="2"/>
      </tp>
      <tp t="s">
        <v>#N/A N/A</v>
        <stp/>
        <stp>BDH|7970856976547371938</stp>
        <tr r="E50" s="2"/>
      </tp>
      <tp t="s">
        <v>#N/A N/A</v>
        <stp/>
        <stp>BDH|5445261837426941447</stp>
        <tr r="E82" s="2"/>
      </tp>
      <tp t="s">
        <v>#N/A N/A</v>
        <stp/>
        <stp>BDH|2776664406027720588</stp>
        <tr r="L16" s="2"/>
      </tp>
      <tp t="s">
        <v>#N/A N/A</v>
        <stp/>
        <stp>BDH|2248598979326845036</stp>
        <tr r="K93" s="2"/>
      </tp>
      <tp t="s">
        <v>#N/A N/A</v>
        <stp/>
        <stp>BDH|7188414528802706569</stp>
        <tr r="C10" s="2"/>
      </tp>
      <tp t="s">
        <v>#N/A N/A</v>
        <stp/>
        <stp>BDH|6286061760605821330</stp>
        <tr r="I13" s="2"/>
      </tp>
      <tp t="s">
        <v>#N/A N/A</v>
        <stp/>
        <stp>BDH|8979682608830377856</stp>
        <tr r="L29" s="2"/>
      </tp>
      <tp t="s">
        <v>#N/A N/A</v>
        <stp/>
        <stp>BDH|6960246045157400108</stp>
        <tr r="K80" s="2"/>
      </tp>
      <tp t="s">
        <v>#N/A N/A</v>
        <stp/>
        <stp>BDH|4078551079725274536</stp>
        <tr r="L22" s="2"/>
      </tp>
      <tp t="s">
        <v>#N/A N/A</v>
        <stp/>
        <stp>BDH|8631107680634606330</stp>
        <tr r="L17" s="2"/>
      </tp>
      <tp t="s">
        <v>#N/A N/A</v>
        <stp/>
        <stp>BDH|4188504262151702078</stp>
        <tr r="C19" s="2"/>
      </tp>
      <tp t="s">
        <v>#N/A N/A</v>
        <stp/>
        <stp>BDH|1969107479680600153</stp>
        <tr r="D98" s="2"/>
      </tp>
      <tp t="s">
        <v>#N/A N/A</v>
        <stp/>
        <stp>BDH|7198915051194305916</stp>
        <tr r="L33" s="2"/>
      </tp>
      <tp t="s">
        <v>#N/A N/A</v>
        <stp/>
        <stp>BDH|4485107523561476036</stp>
        <tr r="L52" s="2"/>
      </tp>
      <tp t="s">
        <v>#N/A N/A</v>
        <stp/>
        <stp>BDH|7800047709085015447</stp>
        <tr r="F58" s="2"/>
      </tp>
      <tp t="s">
        <v>#N/A N/A</v>
        <stp/>
        <stp>BDH|9068590959326837995</stp>
        <tr r="I99" s="2"/>
      </tp>
      <tp t="s">
        <v>#N/A N/A</v>
        <stp/>
        <stp>BDH|2934522587121595880</stp>
        <tr r="F26" s="2"/>
      </tp>
      <tp t="s">
        <v>#N/A N/A</v>
        <stp/>
        <stp>BDH|5475526310650435740</stp>
        <tr r="F30" s="2"/>
      </tp>
      <tp t="s">
        <v>#N/A N/A</v>
        <stp/>
        <stp>BDH|4642268071795448224</stp>
        <tr r="G28" s="2"/>
      </tp>
      <tp t="s">
        <v>#N/A N/A</v>
        <stp/>
        <stp>BDH|8390983343414528794</stp>
        <tr r="J9" s="2"/>
      </tp>
      <tp t="s">
        <v>#N/A N/A</v>
        <stp/>
        <stp>BDH|2493374354181681359</stp>
        <tr r="C54" s="2"/>
      </tp>
      <tp t="s">
        <v>#N/A N/A</v>
        <stp/>
        <stp>BDH|3051932427256855895</stp>
        <tr r="J69" s="2"/>
      </tp>
      <tp t="s">
        <v>#N/A N/A</v>
        <stp/>
        <stp>BDH|6568162376340982691</stp>
        <tr r="C69" s="2"/>
      </tp>
      <tp t="s">
        <v>#N/A N/A</v>
        <stp/>
        <stp>BDH|5542246806954809459</stp>
        <tr r="H57" s="2"/>
      </tp>
      <tp t="s">
        <v>#N/A N/A</v>
        <stp/>
        <stp>BDH|9987718929683950825</stp>
        <tr r="L67" s="2"/>
      </tp>
      <tp t="s">
        <v>#N/A N/A</v>
        <stp/>
        <stp>BDH|2347432004903969277</stp>
        <tr r="G73" s="2"/>
      </tp>
      <tp t="s">
        <v>#N/A N/A</v>
        <stp/>
        <stp>BDH|1641031218564511338</stp>
        <tr r="K34" s="2"/>
      </tp>
      <tp t="s">
        <v>#N/A N/A</v>
        <stp/>
        <stp>BDH|2964728437545663444</stp>
        <tr r="J27" s="2"/>
      </tp>
      <tp t="s">
        <v>#N/A N/A</v>
        <stp/>
        <stp>BDH|9763014998801371637</stp>
        <tr r="E99" s="2"/>
      </tp>
      <tp t="s">
        <v>#N/A N/A</v>
        <stp/>
        <stp>BDH|2324830336787954905</stp>
        <tr r="I34" s="2"/>
      </tp>
      <tp t="s">
        <v>#N/A N/A</v>
        <stp/>
        <stp>BDH|8395409835221808919</stp>
        <tr r="G9" s="2"/>
      </tp>
      <tp t="s">
        <v>#N/A N/A</v>
        <stp/>
        <stp>BDH|7410780235536423228</stp>
        <tr r="H42" s="2"/>
      </tp>
      <tp t="s">
        <v>#N/A N/A</v>
        <stp/>
        <stp>BDH|3367452363771019795</stp>
        <tr r="I46" s="2"/>
      </tp>
      <tp t="s">
        <v>#N/A N/A</v>
        <stp/>
        <stp>BDH|7207516177080086283</stp>
        <tr r="L77" s="2"/>
      </tp>
      <tp t="s">
        <v>#N/A N/A</v>
        <stp/>
        <stp>BDH|2111572219798313908</stp>
        <tr r="F45" s="2"/>
      </tp>
      <tp t="s">
        <v>#N/A N/A</v>
        <stp/>
        <stp>BDH|7461578148955530438</stp>
        <tr r="I73" s="2"/>
      </tp>
      <tp t="s">
        <v>#N/A N/A</v>
        <stp/>
        <stp>BDH|6531537875011507263</stp>
        <tr r="L58" s="2"/>
      </tp>
      <tp t="s">
        <v>#N/A N/A</v>
        <stp/>
        <stp>BDH|6306212853775053316</stp>
        <tr r="J34" s="2"/>
      </tp>
      <tp t="s">
        <v>#N/A N/A</v>
        <stp/>
        <stp>BDH|7006138285491480829</stp>
        <tr r="J68" s="2"/>
      </tp>
      <tp t="s">
        <v>#N/A N/A</v>
        <stp/>
        <stp>BDH|8012479356098552640</stp>
        <tr r="J10" s="2"/>
      </tp>
      <tp t="s">
        <v>#N/A N/A</v>
        <stp/>
        <stp>BDH|5541646438310033780</stp>
        <tr r="D20" s="2"/>
      </tp>
      <tp t="s">
        <v>#N/A N/A</v>
        <stp/>
        <stp>BDH|2918084196159774515</stp>
        <tr r="H22" s="2"/>
      </tp>
      <tp t="s">
        <v>#N/A N/A</v>
        <stp/>
        <stp>BDH|7056458043830816094</stp>
        <tr r="F25" s="2"/>
      </tp>
      <tp t="s">
        <v>#N/A N/A</v>
        <stp/>
        <stp>BDH|4553872903549278246</stp>
        <tr r="F17" s="2"/>
      </tp>
      <tp t="s">
        <v>#N/A N/A</v>
        <stp/>
        <stp>BDH|1045803565028500044</stp>
        <tr r="E31" s="2"/>
      </tp>
      <tp t="s">
        <v>#N/A N/A</v>
        <stp/>
        <stp>BDH|5661434727994288045</stp>
        <tr r="C8" s="2"/>
      </tp>
      <tp t="s">
        <v>#N/A N/A</v>
        <stp/>
        <stp>BDH|3897545409930583143</stp>
        <tr r="D58" s="2"/>
      </tp>
      <tp t="s">
        <v>#N/A N/A</v>
        <stp/>
        <stp>BDH|6078395357752290582</stp>
        <tr r="E52" s="2"/>
      </tp>
      <tp t="s">
        <v>#N/A N/A</v>
        <stp/>
        <stp>BDH|3752418075572284549</stp>
        <tr r="F60" s="2"/>
      </tp>
      <tp t="s">
        <v>#N/A N/A</v>
        <stp/>
        <stp>BDH|4608309910344019531</stp>
        <tr r="H49" s="2"/>
      </tp>
      <tp t="s">
        <v>#N/A N/A</v>
        <stp/>
        <stp>BDH|5557862006425997872</stp>
        <tr r="I83" s="2"/>
      </tp>
      <tp t="s">
        <v>#N/A N/A</v>
        <stp/>
        <stp>BDH|2268197416011343371</stp>
        <tr r="G79" s="2"/>
      </tp>
      <tp t="s">
        <v>#N/A N/A</v>
        <stp/>
        <stp>BDH|8903620187366383061</stp>
        <tr r="D12" s="2"/>
      </tp>
      <tp t="s">
        <v>#N/A N/A</v>
        <stp/>
        <stp>BDH|7347888748292413998</stp>
        <tr r="I36" s="2"/>
      </tp>
      <tp t="s">
        <v>#N/A N/A</v>
        <stp/>
        <stp>BDH|4693064057123025285</stp>
        <tr r="J99" s="2"/>
      </tp>
      <tp t="s">
        <v>#N/A N/A</v>
        <stp/>
        <stp>BDH|9915561084734011076</stp>
        <tr r="D9" s="2"/>
      </tp>
      <tp t="s">
        <v>#N/A N/A</v>
        <stp/>
        <stp>BDH|1813234627646477743</stp>
        <tr r="E66" s="2"/>
      </tp>
      <tp t="s">
        <v>#N/A N/A</v>
        <stp/>
        <stp>BDH|4734935854850411882</stp>
        <tr r="E12" s="2"/>
      </tp>
      <tp t="s">
        <v>#N/A N/A</v>
        <stp/>
        <stp>BDH|3573866389756415530</stp>
        <tr r="G24" s="2"/>
      </tp>
      <tp t="s">
        <v>#N/A N/A</v>
        <stp/>
        <stp>BDH|3721895379344348897</stp>
        <tr r="H73" s="2"/>
      </tp>
      <tp t="s">
        <v>#N/A N/A</v>
        <stp/>
        <stp>BDH|3385491391709730714</stp>
        <tr r="G31" s="2"/>
      </tp>
      <tp t="s">
        <v>#N/A N/A</v>
        <stp/>
        <stp>BDH|6652515680803284874</stp>
        <tr r="E27" s="2"/>
      </tp>
      <tp t="s">
        <v>#N/A N/A</v>
        <stp/>
        <stp>BDH|8571532196405092122</stp>
        <tr r="C77" s="2"/>
      </tp>
      <tp t="s">
        <v>#N/A N/A</v>
        <stp/>
        <stp>BDH|4410454621770260218</stp>
        <tr r="F70" s="2"/>
      </tp>
      <tp t="s">
        <v>#N/A N/A</v>
        <stp/>
        <stp>BDH|9216713886983640527</stp>
        <tr r="D69" s="2"/>
      </tp>
      <tp t="s">
        <v>#N/A N/A</v>
        <stp/>
        <stp>BDH|3411835561369058407</stp>
        <tr r="K27" s="2"/>
      </tp>
      <tp t="s">
        <v>#N/A N/A</v>
        <stp/>
        <stp>BDH|4458555400543506236</stp>
        <tr r="C35" s="2"/>
      </tp>
      <tp t="s">
        <v>#N/A N/A</v>
        <stp/>
        <stp>BDH|9076572694690583518</stp>
        <tr r="K97" s="2"/>
      </tp>
      <tp t="s">
        <v>#N/A N/A</v>
        <stp/>
        <stp>BDH|4610381064425713490</stp>
        <tr r="D90" s="2"/>
      </tp>
      <tp t="s">
        <v>#N/A N/A</v>
        <stp/>
        <stp>BDH|4518277831535351048</stp>
        <tr r="D56" s="2"/>
      </tp>
      <tp t="s">
        <v>#N/A N/A</v>
        <stp/>
        <stp>BDH|1165283528783448203</stp>
        <tr r="E47" s="2"/>
      </tp>
      <tp t="s">
        <v>#N/A N/A</v>
        <stp/>
        <stp>BDH|6594125947241611232</stp>
        <tr r="F31" s="2"/>
      </tp>
      <tp t="s">
        <v>#N/A N/A</v>
        <stp/>
        <stp>BDH|5878508418818108948</stp>
        <tr r="I33" s="2"/>
      </tp>
      <tp t="s">
        <v>#N/A N/A</v>
        <stp/>
        <stp>BDH|5390901995541984550</stp>
        <tr r="F35" s="2"/>
      </tp>
      <tp t="s">
        <v>#N/A N/A</v>
        <stp/>
        <stp>BDH|8893558639196987974</stp>
        <tr r="D61" s="2"/>
      </tp>
      <tp t="s">
        <v>#N/A N/A</v>
        <stp/>
        <stp>BDH|7625198374056026601</stp>
        <tr r="I82" s="2"/>
      </tp>
      <tp t="s">
        <v>#N/A N/A</v>
        <stp/>
        <stp>BDH|3235338608702426362</stp>
        <tr r="J71" s="2"/>
      </tp>
      <tp t="s">
        <v>#N/A N/A</v>
        <stp/>
        <stp>BDH|1738694837642846785</stp>
        <tr r="I61" s="2"/>
      </tp>
      <tp t="s">
        <v>#N/A N/A</v>
        <stp/>
        <stp>BDH|8233641798334285257</stp>
        <tr r="L57" s="2"/>
      </tp>
      <tp t="s">
        <v>#N/A N/A</v>
        <stp/>
        <stp>BDH|6826726951096217371</stp>
        <tr r="E37" s="2"/>
      </tp>
      <tp t="s">
        <v>#N/A N/A</v>
        <stp/>
        <stp>BDH|5579913380507240297</stp>
        <tr r="L23" s="2"/>
      </tp>
      <tp t="s">
        <v>#N/A N/A</v>
        <stp/>
        <stp>BDH|3652213545243893756</stp>
        <tr r="L65" s="2"/>
      </tp>
      <tp t="s">
        <v>#N/A N/A</v>
        <stp/>
        <stp>BDH|7458951129829441436</stp>
        <tr r="H93" s="2"/>
      </tp>
      <tp t="s">
        <v>#N/A N/A</v>
        <stp/>
        <stp>BDH|4384893491113063774</stp>
        <tr r="H96" s="2"/>
      </tp>
      <tp t="s">
        <v>#N/A N/A</v>
        <stp/>
        <stp>BDH|1783510973251009382</stp>
        <tr r="F33" s="2"/>
      </tp>
      <tp t="s">
        <v>#N/A N/A</v>
        <stp/>
        <stp>BDH|1726892552515515848</stp>
        <tr r="C93" s="2"/>
      </tp>
      <tp t="s">
        <v>#N/A N/A</v>
        <stp/>
        <stp>BDH|4984142782815437998</stp>
        <tr r="K66" s="2"/>
      </tp>
      <tp t="s">
        <v>#N/A N/A</v>
        <stp/>
        <stp>BDH|4611613045771980692</stp>
        <tr r="D34" s="2"/>
      </tp>
      <tp t="s">
        <v>#N/A N/A</v>
        <stp/>
        <stp>BDH|4723609650973271561</stp>
        <tr r="H17" s="2"/>
      </tp>
      <tp t="s">
        <v>#N/A N/A</v>
        <stp/>
        <stp>BDH|8613579953639542079</stp>
        <tr r="K45" s="2"/>
      </tp>
      <tp t="s">
        <v>#N/A N/A</v>
        <stp/>
        <stp>BDH|3817705542411800026</stp>
        <tr r="I70" s="2"/>
      </tp>
      <tp t="s">
        <v>#N/A N/A</v>
        <stp/>
        <stp>BDH|2346319785829492133</stp>
        <tr r="C21" s="2"/>
      </tp>
      <tp t="s">
        <v>#N/A N/A</v>
        <stp/>
        <stp>BDH|4528179046043098351</stp>
        <tr r="H33" s="2"/>
      </tp>
      <tp t="s">
        <v>#N/A N/A</v>
        <stp/>
        <stp>BDH|9814745387215479291</stp>
        <tr r="K98" s="2"/>
      </tp>
      <tp t="s">
        <v>#N/A N/A</v>
        <stp/>
        <stp>BDH|6942787311863543238</stp>
        <tr r="I44" s="2"/>
      </tp>
      <tp t="s">
        <v>#N/A N/A</v>
        <stp/>
        <stp>BDH|7618943802949085668</stp>
        <tr r="I80" s="2"/>
      </tp>
      <tp t="s">
        <v>#N/A N/A</v>
        <stp/>
        <stp>BDH|7489231260056334430</stp>
        <tr r="F49" s="2"/>
      </tp>
      <tp t="s">
        <v>#N/A N/A</v>
        <stp/>
        <stp>BDH|9234282475039946423</stp>
        <tr r="C46" s="2"/>
      </tp>
      <tp t="s">
        <v>#N/A N/A</v>
        <stp/>
        <stp>BDH|1432991001539826003</stp>
        <tr r="C53" s="2"/>
      </tp>
      <tp t="s">
        <v>#N/A N/A</v>
        <stp/>
        <stp>BDH|9296868401101965192</stp>
        <tr r="H75" s="2"/>
      </tp>
      <tp t="s">
        <v>#N/A N/A</v>
        <stp/>
        <stp>BDH|8361311784757538567</stp>
        <tr r="I89" s="2"/>
      </tp>
      <tp t="s">
        <v>#N/A N/A</v>
        <stp/>
        <stp>BDH|4776672763951647400</stp>
        <tr r="I38" s="2"/>
      </tp>
      <tp t="s">
        <v>#N/A N/A</v>
        <stp/>
        <stp>BDH|6436669881301015860</stp>
        <tr r="D13" s="2"/>
      </tp>
      <tp t="s">
        <v>#N/A N/A</v>
        <stp/>
        <stp>BDH|2772864255826962881</stp>
        <tr r="L15" s="2"/>
      </tp>
      <tp t="s">
        <v>#N/A N/A</v>
        <stp/>
        <stp>BDH|5379079626200107662</stp>
        <tr r="K76" s="2"/>
      </tp>
      <tp t="s">
        <v>#N/A N/A</v>
        <stp/>
        <stp>BDH|3686687250216713432</stp>
        <tr r="I78" s="2"/>
      </tp>
      <tp t="s">
        <v>#N/A N/A</v>
        <stp/>
        <stp>BDH|8626446445258879240</stp>
        <tr r="J59" s="2"/>
      </tp>
      <tp t="s">
        <v>#N/A N/A</v>
        <stp/>
        <stp>BDH|8507547518359399712</stp>
        <tr r="H37" s="2"/>
      </tp>
      <tp t="s">
        <v>#N/A N/A</v>
        <stp/>
        <stp>BDH|6982666352576656135</stp>
        <tr r="E89" s="2"/>
      </tp>
      <tp t="s">
        <v>#N/A N/A</v>
        <stp/>
        <stp>BDH|2500687264293214325</stp>
        <tr r="G12" s="2"/>
      </tp>
      <tp t="s">
        <v>#N/A N/A</v>
        <stp/>
        <stp>BDH|4639648621637850528</stp>
        <tr r="J8" s="2"/>
      </tp>
      <tp t="s">
        <v>#N/A N/A</v>
        <stp/>
        <stp>BDH|5743540118012641132</stp>
        <tr r="I15" s="2"/>
      </tp>
      <tp t="s">
        <v>#N/A N/A</v>
        <stp/>
        <stp>BDH|5480087550752555078</stp>
        <tr r="J16" s="2"/>
      </tp>
      <tp t="s">
        <v>#N/A N/A</v>
        <stp/>
        <stp>BDH|7994109805636623261</stp>
        <tr r="I65" s="2"/>
      </tp>
      <tp t="s">
        <v>#N/A N/A</v>
        <stp/>
        <stp>BDH|5090334176322055197</stp>
        <tr r="J36" s="2"/>
      </tp>
      <tp t="s">
        <v>#N/A N/A</v>
        <stp/>
        <stp>BDH|3622902083385550525</stp>
        <tr r="H41" s="2"/>
      </tp>
      <tp t="s">
        <v>#N/A N/A</v>
        <stp/>
        <stp>BDH|1600676250994539460</stp>
        <tr r="I25" s="2"/>
      </tp>
      <tp t="s">
        <v>#N/A N/A</v>
        <stp/>
        <stp>BDH|3148026508137987605</stp>
        <tr r="G81" s="2"/>
      </tp>
      <tp t="s">
        <v>#N/A N/A</v>
        <stp/>
        <stp>BDH|8993404579418494171</stp>
        <tr r="I27" s="2"/>
      </tp>
      <tp t="s">
        <v>#N/A N/A</v>
        <stp/>
        <stp>BDH|3371115478360982709</stp>
        <tr r="K7" s="2"/>
      </tp>
      <tp t="s">
        <v>#N/A N/A</v>
        <stp/>
        <stp>BDH|8399446647278549266</stp>
        <tr r="E76" s="2"/>
      </tp>
      <tp t="s">
        <v>#N/A N/A</v>
        <stp/>
        <stp>BDH|7715161971487178415</stp>
        <tr r="L51" s="2"/>
      </tp>
      <tp t="s">
        <v>#N/A N/A</v>
        <stp/>
        <stp>BDH|7218500252451267433</stp>
        <tr r="C47" s="2"/>
      </tp>
      <tp t="s">
        <v>#N/A N/A</v>
        <stp/>
        <stp>BDH|4269357442531226060</stp>
        <tr r="H80" s="2"/>
      </tp>
      <tp t="s">
        <v>#N/A N/A</v>
        <stp/>
        <stp>BDH|9562107428610904859</stp>
        <tr r="E90" s="2"/>
      </tp>
      <tp t="s">
        <v>#N/A N/A</v>
        <stp/>
        <stp>BDH|9000058930851717950</stp>
        <tr r="E81" s="2"/>
      </tp>
      <tp t="s">
        <v>#N/A N/A</v>
        <stp/>
        <stp>BDH|6338817136789778642</stp>
        <tr r="D17" s="2"/>
      </tp>
      <tp t="s">
        <v>#N/A N/A</v>
        <stp/>
        <stp>BDH|7968158231934899326</stp>
        <tr r="I59" s="2"/>
      </tp>
      <tp t="s">
        <v>#N/A N/A</v>
        <stp/>
        <stp>BDH|1655638045887639628</stp>
        <tr r="E17" s="2"/>
      </tp>
      <tp t="s">
        <v>#N/A N/A</v>
        <stp/>
        <stp>BDH|1216645751997071726</stp>
        <tr r="D76" s="2"/>
      </tp>
      <tp t="s">
        <v>#N/A N/A</v>
        <stp/>
        <stp>BDH|6481682002004759733</stp>
        <tr r="G92" s="2"/>
      </tp>
      <tp t="s">
        <v>#N/A N/A</v>
        <stp/>
        <stp>BDH|4071233415302973673</stp>
        <tr r="I47" s="2"/>
      </tp>
      <tp t="s">
        <v>#N/A N/A</v>
        <stp/>
        <stp>BDH|4085014668011014005</stp>
        <tr r="G76" s="2"/>
      </tp>
      <tp t="s">
        <v>#N/A N/A</v>
        <stp/>
        <stp>BDH|4818746001911017145</stp>
        <tr r="G38" s="2"/>
      </tp>
      <tp t="s">
        <v>#N/A N/A</v>
        <stp/>
        <stp>BDH|3841129900391523010</stp>
        <tr r="G30" s="2"/>
      </tp>
      <tp t="s">
        <v>#N/A N/A</v>
        <stp/>
        <stp>BDH|2894327815361316220</stp>
        <tr r="G17" s="2"/>
      </tp>
      <tp t="s">
        <v>#N/A N/A</v>
        <stp/>
        <stp>BDH|5246391544402750375</stp>
        <tr r="E24" s="2"/>
      </tp>
      <tp t="s">
        <v>#N/A N/A</v>
        <stp/>
        <stp>BDH|5364971584577908063</stp>
        <tr r="H72" s="2"/>
      </tp>
      <tp t="s">
        <v>#N/A N/A</v>
        <stp/>
        <stp>BDH|5270023240302819070</stp>
        <tr r="K65" s="2"/>
      </tp>
      <tp t="s">
        <v>#N/A N/A</v>
        <stp/>
        <stp>BDH|4750400764846941354</stp>
        <tr r="C34" s="2"/>
      </tp>
      <tp t="s">
        <v>#N/A N/A</v>
        <stp/>
        <stp>BDH|3653128827782697150</stp>
        <tr r="F87" s="2"/>
      </tp>
      <tp t="s">
        <v>#N/A N/A</v>
        <stp/>
        <stp>BDH|3920089566865176374</stp>
        <tr r="I93" s="2"/>
      </tp>
      <tp t="s">
        <v>#N/A N/A</v>
        <stp/>
        <stp>BDH|4757527846640128633</stp>
        <tr r="K36" s="2"/>
      </tp>
      <tp t="s">
        <v>#N/A N/A</v>
        <stp/>
        <stp>BDH|2873944689210758039</stp>
        <tr r="C88" s="2"/>
      </tp>
      <tp t="s">
        <v>#N/A N/A</v>
        <stp/>
        <stp>BDH|6355029392459017525</stp>
        <tr r="F75" s="2"/>
      </tp>
      <tp t="s">
        <v>#N/A N/A</v>
        <stp/>
        <stp>BDH|2456431224944051352</stp>
        <tr r="K60" s="2"/>
      </tp>
      <tp t="s">
        <v>#N/A N/A</v>
        <stp/>
        <stp>BDH|4653900785157219165</stp>
        <tr r="K73" s="2"/>
      </tp>
      <tp t="s">
        <v>#N/A N/A</v>
        <stp/>
        <stp>BDH|5302852827144702816</stp>
        <tr r="C49" s="2"/>
      </tp>
      <tp t="s">
        <v>#N/A N/A</v>
        <stp/>
        <stp>BDH|2713770057611784279</stp>
        <tr r="D18" s="2"/>
      </tp>
      <tp t="s">
        <v>#N/A N/A</v>
        <stp/>
        <stp>BDH|3777111979264263282</stp>
        <tr r="L9" s="2"/>
      </tp>
      <tp t="s">
        <v>#N/A N/A</v>
        <stp/>
        <stp>BDH|767573507790497090</stp>
        <tr r="L64" s="2"/>
      </tp>
      <tp t="s">
        <v>#N/A N/A</v>
        <stp/>
        <stp>BDH|887055149304974562</stp>
        <tr r="F78" s="2"/>
      </tp>
      <tp t="s">
        <v>#N/A N/A</v>
        <stp/>
        <stp>BDH|222261333804853090</stp>
        <tr r="L38" s="2"/>
      </tp>
      <tp t="s">
        <v>#N/A N/A</v>
        <stp/>
        <stp>BDH|801769654265975231</stp>
        <tr r="J28" s="2"/>
      </tp>
      <tp t="s">
        <v>#N/A N/A</v>
        <stp/>
        <stp>BDH|990915717718747594</stp>
        <tr r="C76" s="2"/>
      </tp>
      <tp t="s">
        <v>#N/A N/A</v>
        <stp/>
        <stp>BDH|518500853711373597</stp>
        <tr r="I75" s="2"/>
      </tp>
      <tp t="s">
        <v>#N/A N/A</v>
        <stp/>
        <stp>BDH|990164427870242704</stp>
        <tr r="D65" s="2"/>
      </tp>
      <tp t="s">
        <v>#N/A N/A</v>
        <stp/>
        <stp>BDH|972042970341932199</stp>
        <tr r="F14" s="2"/>
      </tp>
      <tp t="s">
        <v>#N/A N/A</v>
        <stp/>
        <stp>BDH|312421668331228458</stp>
        <tr r="D27" s="2"/>
      </tp>
      <tp t="s">
        <v>#N/A N/A</v>
        <stp/>
        <stp>BDH|245343971310906373</stp>
        <tr r="E18" s="2"/>
      </tp>
      <tp t="s">
        <v>#N/A N/A</v>
        <stp/>
        <stp>BDH|711482283122976911</stp>
        <tr r="C72" s="2"/>
      </tp>
      <tp t="s">
        <v>#N/A N/A</v>
        <stp/>
        <stp>BDH|856645963844862303</stp>
        <tr r="K24" s="2"/>
      </tp>
      <tp t="s">
        <v>#N/A N/A</v>
        <stp/>
        <stp>BDH|727115675565476472</stp>
        <tr r="G95" s="2"/>
      </tp>
      <tp t="s">
        <v>#N/A N/A</v>
        <stp/>
        <stp>BDH|783134119671560696</stp>
        <tr r="K31" s="2"/>
      </tp>
      <tp t="s">
        <v>#N/A N/A</v>
        <stp/>
        <stp>BDH|590694056904314147</stp>
        <tr r="L61" s="2"/>
      </tp>
      <tp t="s">
        <v>#N/A N/A</v>
        <stp/>
        <stp>BDH|613845896675866299</stp>
        <tr r="I94" s="2"/>
      </tp>
      <tp t="s">
        <v>#N/A N/A</v>
        <stp/>
        <stp>BDH|274530811941697402</stp>
        <tr r="C31" s="2"/>
      </tp>
      <tp t="s">
        <v>#N/A N/A</v>
        <stp/>
        <stp>BDH|693101876085068066</stp>
        <tr r="I45" s="2"/>
      </tp>
      <tp t="s">
        <v>#N/A N/A</v>
        <stp/>
        <stp>BDH|703173535664828417</stp>
        <tr r="L76" s="2"/>
      </tp>
      <tp t="s">
        <v>#N/A N/A</v>
        <stp/>
        <stp>BDH|455083437720813199</stp>
        <tr r="K96" s="2"/>
      </tp>
      <tp t="s">
        <v>#N/A N/A</v>
        <stp/>
        <stp>BDH|559950350097573931</stp>
        <tr r="H30" s="2"/>
      </tp>
      <tp t="s">
        <v>#N/A N/A</v>
        <stp/>
        <stp>BDH|677271103332637238</stp>
        <tr r="I22" s="2"/>
      </tp>
      <tp t="s">
        <v>#N/A N/A</v>
        <stp/>
        <stp>BDH|480963370052087193</stp>
        <tr r="F7" s="2"/>
      </tp>
      <tp t="s">
        <v>#N/A N/A</v>
        <stp/>
        <stp>BDH|993017390363004664</stp>
        <tr r="L53" s="2"/>
      </tp>
      <tp t="s">
        <v>#N/A N/A</v>
        <stp/>
        <stp>BDH|715774631149653189</stp>
        <tr r="H46" s="2"/>
      </tp>
      <tp t="s">
        <v>#N/A N/A</v>
        <stp/>
        <stp>BDH|595015935827186836</stp>
        <tr r="H50" s="2"/>
      </tp>
      <tp t="s">
        <v>#N/A N/A</v>
        <stp/>
        <stp>BDH|752772489485488557</stp>
        <tr r="D36" s="2"/>
      </tp>
      <tp t="s">
        <v>#N/A N/A</v>
        <stp/>
        <stp>BDH|774966861777672728</stp>
        <tr r="F68" s="2"/>
      </tp>
      <tp t="s">
        <v>#N/A N/A</v>
        <stp/>
        <stp>BDH|118635536303295909</stp>
        <tr r="D31" s="2"/>
      </tp>
      <tp t="s">
        <v>#N/A N/A</v>
        <stp/>
        <stp>BDH|954259915648064487</stp>
        <tr r="H34" s="2"/>
      </tp>
      <tp t="s">
        <v>#N/A N/A</v>
        <stp/>
        <stp>BDH|259644690374840595</stp>
        <tr r="I97" s="2"/>
      </tp>
      <tp t="s">
        <v>#N/A N/A</v>
        <stp/>
        <stp>BDH|441159201817872884</stp>
        <tr r="J37" s="2"/>
      </tp>
      <tp t="s">
        <v>#N/A N/A</v>
        <stp/>
        <stp>BDH|684590374632574971</stp>
        <tr r="G59" s="2"/>
      </tp>
      <tp t="s">
        <v>#N/A N/A</v>
        <stp/>
        <stp>BDH|931563316709201487</stp>
        <tr r="J57" s="2"/>
      </tp>
      <tp t="s">
        <v>#N/A N/A</v>
        <stp/>
        <stp>BDH|823816453381213472</stp>
        <tr r="E65" s="2"/>
      </tp>
      <tp t="s">
        <v>#N/A N/A</v>
        <stp/>
        <stp>BDH|647555014658092405</stp>
        <tr r="D63" s="2"/>
      </tp>
      <tp t="s">
        <v>#N/A N/A</v>
        <stp/>
        <stp>BDH|745422654710445953</stp>
        <tr r="F72" s="2"/>
      </tp>
      <tp t="s">
        <v>#N/A N/A</v>
        <stp/>
        <stp>BDH|677010987231280254</stp>
        <tr r="H63" s="2"/>
      </tp>
      <tp t="s">
        <v>#N/A N/A</v>
        <stp/>
        <stp>BDH|247632857588811125</stp>
        <tr r="I35" s="2"/>
      </tp>
      <tp t="s">
        <v>#N/A N/A</v>
        <stp/>
        <stp>BDH|767728203028185</stp>
        <tr r="L1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"/>
  <sheetViews>
    <sheetView tabSelected="1" workbookViewId="0"/>
  </sheetViews>
  <sheetFormatPr defaultRowHeight="14.25" x14ac:dyDescent="0.45"/>
  <cols>
    <col min="1" max="1" width="35.19921875" customWidth="1"/>
    <col min="2" max="2" width="0" hidden="1" customWidth="1"/>
    <col min="3" max="12" width="11.796875" customWidth="1"/>
  </cols>
  <sheetData>
    <row r="1" spans="1:12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65" x14ac:dyDescent="0.45">
      <c r="A2" s="8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4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45">
      <c r="A4" s="3" t="s">
        <v>3</v>
      </c>
      <c r="B4" s="3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</row>
    <row r="5" spans="1:12" x14ac:dyDescent="0.45">
      <c r="A5" s="9" t="s">
        <v>14</v>
      </c>
      <c r="B5" s="9"/>
      <c r="C5" s="5" t="s">
        <v>15</v>
      </c>
      <c r="D5" s="5" t="s">
        <v>16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</row>
    <row r="6" spans="1:12" x14ac:dyDescent="0.45">
      <c r="A6" s="6" t="s">
        <v>25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45">
      <c r="A7" s="10" t="s">
        <v>26</v>
      </c>
      <c r="B7" s="10" t="s">
        <v>27</v>
      </c>
      <c r="C7" s="13">
        <f>_xll.BDH("MCHP US Equity","C&amp;CE_AND_STI_DETAILED","FY 2011","FY 2011","Currency=USD","Period=FY","BEST_FPERIOD_OVERRIDE=FY","FILING_STATUS=MR","SCALING_FORMAT=MLN","Sort=A","Dates=H","DateFormat=P","Fill=—","Direction=H","UseDPDF=Y")</f>
        <v>1243.4960000000001</v>
      </c>
      <c r="D7" s="13">
        <f>_xll.BDH("MCHP US Equity","C&amp;CE_AND_STI_DETAILED","FY 2012","FY 2012","Currency=USD","Period=FY","BEST_FPERIOD_OVERRIDE=FY","FILING_STATUS=MR","SCALING_FORMAT=MLN","Sort=A","Dates=H","DateFormat=P","Fill=—","Direction=H","UseDPDF=Y")</f>
        <v>1459.009</v>
      </c>
      <c r="E7" s="13">
        <f>_xll.BDH("MCHP US Equity","C&amp;CE_AND_STI_DETAILED","FY 2013","FY 2013","Currency=USD","Period=FY","BEST_FPERIOD_OVERRIDE=FY","FILING_STATUS=MR","SCALING_FORMAT=MLN","Sort=A","Dates=H","DateFormat=P","Fill=—","Direction=H","UseDPDF=Y")</f>
        <v>1578.597</v>
      </c>
      <c r="F7" s="13">
        <f>_xll.BDH("MCHP US Equity","C&amp;CE_AND_STI_DETAILED","FY 2014","FY 2014","Currency=USD","Period=FY","BEST_FPERIOD_OVERRIDE=FY","FILING_STATUS=MR","SCALING_FORMAT=MLN","Sort=A","Dates=H","DateFormat=P","Fill=—","Direction=H","UseDPDF=Y")</f>
        <v>1344.7850000000001</v>
      </c>
      <c r="G7" s="13">
        <f>_xll.BDH("MCHP US Equity","C&amp;CE_AND_STI_DETAILED","FY 2015","FY 2015","Currency=USD","Period=FY","BEST_FPERIOD_OVERRIDE=FY","FILING_STATUS=MR","SCALING_FORMAT=MLN","Sort=A","Dates=H","DateFormat=P","Fill=—","Direction=H","UseDPDF=Y")</f>
        <v>1958.8689999999999</v>
      </c>
      <c r="H7" s="13">
        <f>_xll.BDH("MCHP US Equity","C&amp;CE_AND_STI_DETAILED","FY 2016","FY 2016","Currency=USD","Period=FY","BEST_FPERIOD_OVERRIDE=FY","FILING_STATUS=MR","SCALING_FORMAT=MLN","Sort=A","Dates=H","DateFormat=P","Fill=—","Direction=H","UseDPDF=Y")</f>
        <v>2446.0349999999999</v>
      </c>
      <c r="I7" s="13">
        <f>_xll.BDH("MCHP US Equity","C&amp;CE_AND_STI_DETAILED","FY 2017","FY 2017","Currency=USD","Period=FY","BEST_FPERIOD_OVERRIDE=FY","FILING_STATUS=MR","SCALING_FORMAT=MLN","Sort=A","Dates=H","DateFormat=P","Fill=—","Direction=H","UseDPDF=Y")</f>
        <v>1302.8</v>
      </c>
      <c r="J7" s="13">
        <f>_xll.BDH("MCHP US Equity","C&amp;CE_AND_STI_DETAILED","FY 2018","FY 2018","Currency=USD","Period=FY","BEST_FPERIOD_OVERRIDE=FY","FILING_STATUS=MR","SCALING_FORMAT=MLN","Sort=A","Dates=H","DateFormat=P","Fill=—","Direction=H","UseDPDF=Y")</f>
        <v>2196.6</v>
      </c>
      <c r="K7" s="13">
        <f>_xll.BDH("MCHP US Equity","C&amp;CE_AND_STI_DETAILED","FY 2019","FY 2019","Currency=USD","Period=FY","BEST_FPERIOD_OVERRIDE=FY","FILING_STATUS=MR","SCALING_FORMAT=MLN","Sort=A","Dates=H","DateFormat=P","Fill=—","Direction=H","UseDPDF=Y")</f>
        <v>430.9</v>
      </c>
      <c r="L7" s="13">
        <f>_xll.BDH("MCHP US Equity","C&amp;CE_AND_STI_DETAILED","FY 2020","FY 2020","Currency=USD","Period=FY","BEST_FPERIOD_OVERRIDE=FY","FILING_STATUS=MR","SCALING_FORMAT=MLN","Sort=A","Dates=H","DateFormat=P","Fill=—","Direction=H","UseDPDF=Y")</f>
        <v>403</v>
      </c>
    </row>
    <row r="8" spans="1:12" x14ac:dyDescent="0.45">
      <c r="A8" s="10" t="s">
        <v>28</v>
      </c>
      <c r="B8" s="10" t="s">
        <v>29</v>
      </c>
      <c r="C8" s="13">
        <f>_xll.BDH("MCHP US Equity","BS_CASH_NEAR_CASH_ITEM","FY 2011","FY 2011","Currency=USD","Period=FY","BEST_FPERIOD_OVERRIDE=FY","FILING_STATUS=MR","SCALING_FORMAT=MLN","Sort=A","Dates=H","DateFormat=P","Fill=—","Direction=H","UseDPDF=Y")</f>
        <v>703.92399999999998</v>
      </c>
      <c r="D8" s="13">
        <f>_xll.BDH("MCHP US Equity","BS_CASH_NEAR_CASH_ITEM","FY 2012","FY 2012","Currency=USD","Period=FY","BEST_FPERIOD_OVERRIDE=FY","FILING_STATUS=MR","SCALING_FORMAT=MLN","Sort=A","Dates=H","DateFormat=P","Fill=—","Direction=H","UseDPDF=Y")</f>
        <v>635.755</v>
      </c>
      <c r="E8" s="13">
        <f>_xll.BDH("MCHP US Equity","BS_CASH_NEAR_CASH_ITEM","FY 2013","FY 2013","Currency=USD","Period=FY","BEST_FPERIOD_OVERRIDE=FY","FILING_STATUS=MR","SCALING_FORMAT=MLN","Sort=A","Dates=H","DateFormat=P","Fill=—","Direction=H","UseDPDF=Y")</f>
        <v>528.33399999999995</v>
      </c>
      <c r="F8" s="13">
        <f>_xll.BDH("MCHP US Equity","BS_CASH_NEAR_CASH_ITEM","FY 2014","FY 2014","Currency=USD","Period=FY","BEST_FPERIOD_OVERRIDE=FY","FILING_STATUS=MR","SCALING_FORMAT=MLN","Sort=A","Dates=H","DateFormat=P","Fill=—","Direction=H","UseDPDF=Y")</f>
        <v>466.60300000000001</v>
      </c>
      <c r="G8" s="13">
        <f>_xll.BDH("MCHP US Equity","BS_CASH_NEAR_CASH_ITEM","FY 2015","FY 2015","Currency=USD","Period=FY","BEST_FPERIOD_OVERRIDE=FY","FILING_STATUS=MR","SCALING_FORMAT=MLN","Sort=A","Dates=H","DateFormat=P","Fill=—","Direction=H","UseDPDF=Y")</f>
        <v>607.81500000000005</v>
      </c>
      <c r="H8" s="13">
        <f>_xll.BDH("MCHP US Equity","BS_CASH_NEAR_CASH_ITEM","FY 2016","FY 2016","Currency=USD","Period=FY","BEST_FPERIOD_OVERRIDE=FY","FILING_STATUS=MR","SCALING_FORMAT=MLN","Sort=A","Dates=H","DateFormat=P","Fill=—","Direction=H","UseDPDF=Y")</f>
        <v>2092.7510000000002</v>
      </c>
      <c r="I8" s="13">
        <f>_xll.BDH("MCHP US Equity","BS_CASH_NEAR_CASH_ITEM","FY 2017","FY 2017","Currency=USD","Period=FY","BEST_FPERIOD_OVERRIDE=FY","FILING_STATUS=MR","SCALING_FORMAT=MLN","Sort=A","Dates=H","DateFormat=P","Fill=—","Direction=H","UseDPDF=Y")</f>
        <v>908.7</v>
      </c>
      <c r="J8" s="13">
        <f>_xll.BDH("MCHP US Equity","BS_CASH_NEAR_CASH_ITEM","FY 2018","FY 2018","Currency=USD","Period=FY","BEST_FPERIOD_OVERRIDE=FY","FILING_STATUS=MR","SCALING_FORMAT=MLN","Sort=A","Dates=H","DateFormat=P","Fill=—","Direction=H","UseDPDF=Y")</f>
        <v>901.3</v>
      </c>
      <c r="K8" s="13">
        <f>_xll.BDH("MCHP US Equity","BS_CASH_NEAR_CASH_ITEM","FY 2019","FY 2019","Currency=USD","Period=FY","BEST_FPERIOD_OVERRIDE=FY","FILING_STATUS=MR","SCALING_FORMAT=MLN","Sort=A","Dates=H","DateFormat=P","Fill=—","Direction=H","UseDPDF=Y")</f>
        <v>428.6</v>
      </c>
      <c r="L8" s="13">
        <f>_xll.BDH("MCHP US Equity","BS_CASH_NEAR_CASH_ITEM","FY 2020","FY 2020","Currency=USD","Period=FY","BEST_FPERIOD_OVERRIDE=FY","FILING_STATUS=MR","SCALING_FORMAT=MLN","Sort=A","Dates=H","DateFormat=P","Fill=—","Direction=H","UseDPDF=Y")</f>
        <v>401</v>
      </c>
    </row>
    <row r="9" spans="1:12" x14ac:dyDescent="0.45">
      <c r="A9" s="10" t="s">
        <v>30</v>
      </c>
      <c r="B9" s="10" t="s">
        <v>31</v>
      </c>
      <c r="C9" s="13">
        <f>_xll.BDH("MCHP US Equity","BS_MKT_SEC_OTHER_ST_INVEST","FY 2011","FY 2011","Currency=USD","Period=FY","BEST_FPERIOD_OVERRIDE=FY","FILING_STATUS=MR","SCALING_FORMAT=MLN","Sort=A","Dates=H","DateFormat=P","Fill=—","Direction=H","UseDPDF=Y")</f>
        <v>539.572</v>
      </c>
      <c r="D9" s="13">
        <f>_xll.BDH("MCHP US Equity","BS_MKT_SEC_OTHER_ST_INVEST","FY 2012","FY 2012","Currency=USD","Period=FY","BEST_FPERIOD_OVERRIDE=FY","FILING_STATUS=MR","SCALING_FORMAT=MLN","Sort=A","Dates=H","DateFormat=P","Fill=—","Direction=H","UseDPDF=Y")</f>
        <v>823.25400000000002</v>
      </c>
      <c r="E9" s="13">
        <f>_xll.BDH("MCHP US Equity","BS_MKT_SEC_OTHER_ST_INVEST","FY 2013","FY 2013","Currency=USD","Period=FY","BEST_FPERIOD_OVERRIDE=FY","FILING_STATUS=MR","SCALING_FORMAT=MLN","Sort=A","Dates=H","DateFormat=P","Fill=—","Direction=H","UseDPDF=Y")</f>
        <v>1050.2629999999999</v>
      </c>
      <c r="F9" s="13">
        <f>_xll.BDH("MCHP US Equity","BS_MKT_SEC_OTHER_ST_INVEST","FY 2014","FY 2014","Currency=USD","Period=FY","BEST_FPERIOD_OVERRIDE=FY","FILING_STATUS=MR","SCALING_FORMAT=MLN","Sort=A","Dates=H","DateFormat=P","Fill=—","Direction=H","UseDPDF=Y")</f>
        <v>878.18200000000002</v>
      </c>
      <c r="G9" s="13">
        <f>_xll.BDH("MCHP US Equity","BS_MKT_SEC_OTHER_ST_INVEST","FY 2015","FY 2015","Currency=USD","Period=FY","BEST_FPERIOD_OVERRIDE=FY","FILING_STATUS=MR","SCALING_FORMAT=MLN","Sort=A","Dates=H","DateFormat=P","Fill=—","Direction=H","UseDPDF=Y")</f>
        <v>1351.0540000000001</v>
      </c>
      <c r="H9" s="13">
        <f>_xll.BDH("MCHP US Equity","BS_MKT_SEC_OTHER_ST_INVEST","FY 2016","FY 2016","Currency=USD","Period=FY","BEST_FPERIOD_OVERRIDE=FY","FILING_STATUS=MR","SCALING_FORMAT=MLN","Sort=A","Dates=H","DateFormat=P","Fill=—","Direction=H","UseDPDF=Y")</f>
        <v>353.28399999999999</v>
      </c>
      <c r="I9" s="13">
        <f>_xll.BDH("MCHP US Equity","BS_MKT_SEC_OTHER_ST_INVEST","FY 2017","FY 2017","Currency=USD","Period=FY","BEST_FPERIOD_OVERRIDE=FY","FILING_STATUS=MR","SCALING_FORMAT=MLN","Sort=A","Dates=H","DateFormat=P","Fill=—","Direction=H","UseDPDF=Y")</f>
        <v>394.1</v>
      </c>
      <c r="J9" s="13">
        <f>_xll.BDH("MCHP US Equity","BS_MKT_SEC_OTHER_ST_INVEST","FY 2018","FY 2018","Currency=USD","Period=FY","BEST_FPERIOD_OVERRIDE=FY","FILING_STATUS=MR","SCALING_FORMAT=MLN","Sort=A","Dates=H","DateFormat=P","Fill=—","Direction=H","UseDPDF=Y")</f>
        <v>1295.3</v>
      </c>
      <c r="K9" s="13">
        <f>_xll.BDH("MCHP US Equity","BS_MKT_SEC_OTHER_ST_INVEST","FY 2019","FY 2019","Currency=USD","Period=FY","BEST_FPERIOD_OVERRIDE=FY","FILING_STATUS=MR","SCALING_FORMAT=MLN","Sort=A","Dates=H","DateFormat=P","Fill=—","Direction=H","UseDPDF=Y")</f>
        <v>2.2999999999999998</v>
      </c>
      <c r="L9" s="13">
        <f>_xll.BDH("MCHP US Equity","BS_MKT_SEC_OTHER_ST_INVEST","FY 2020","FY 2020","Currency=USD","Period=FY","BEST_FPERIOD_OVERRIDE=FY","FILING_STATUS=MR","SCALING_FORMAT=MLN","Sort=A","Dates=H","DateFormat=P","Fill=—","Direction=H","UseDPDF=Y")</f>
        <v>2</v>
      </c>
    </row>
    <row r="10" spans="1:12" x14ac:dyDescent="0.45">
      <c r="A10" s="10" t="s">
        <v>32</v>
      </c>
      <c r="B10" s="10" t="s">
        <v>33</v>
      </c>
      <c r="C10" s="13">
        <f>_xll.BDH("MCHP US Equity","BS_ACCT_NOTE_RCV","FY 2011","FY 2011","Currency=USD","Period=FY","BEST_FPERIOD_OVERRIDE=FY","FILING_STATUS=MR","SCALING_FORMAT=MLN","Sort=A","Dates=H","DateFormat=P","Fill=—","Direction=H","UseDPDF=Y")</f>
        <v>181.202</v>
      </c>
      <c r="D10" s="13">
        <f>_xll.BDH("MCHP US Equity","BS_ACCT_NOTE_RCV","FY 2012","FY 2012","Currency=USD","Period=FY","BEST_FPERIOD_OVERRIDE=FY","FILING_STATUS=MR","SCALING_FORMAT=MLN","Sort=A","Dates=H","DateFormat=P","Fill=—","Direction=H","UseDPDF=Y")</f>
        <v>170.20099999999999</v>
      </c>
      <c r="E10" s="13">
        <f>_xll.BDH("MCHP US Equity","BS_ACCT_NOTE_RCV","FY 2013","FY 2013","Currency=USD","Period=FY","BEST_FPERIOD_OVERRIDE=FY","FILING_STATUS=MR","SCALING_FORMAT=MLN","Sort=A","Dates=H","DateFormat=P","Fill=—","Direction=H","UseDPDF=Y")</f>
        <v>229.95500000000001</v>
      </c>
      <c r="F10" s="13">
        <f>_xll.BDH("MCHP US Equity","BS_ACCT_NOTE_RCV","FY 2014","FY 2014","Currency=USD","Period=FY","BEST_FPERIOD_OVERRIDE=FY","FILING_STATUS=MR","SCALING_FORMAT=MLN","Sort=A","Dates=H","DateFormat=P","Fill=—","Direction=H","UseDPDF=Y")</f>
        <v>242.405</v>
      </c>
      <c r="G10" s="13">
        <f>_xll.BDH("MCHP US Equity","BS_ACCT_NOTE_RCV","FY 2015","FY 2015","Currency=USD","Period=FY","BEST_FPERIOD_OVERRIDE=FY","FILING_STATUS=MR","SCALING_FORMAT=MLN","Sort=A","Dates=H","DateFormat=P","Fill=—","Direction=H","UseDPDF=Y")</f>
        <v>273.93700000000001</v>
      </c>
      <c r="H10" s="13">
        <f>_xll.BDH("MCHP US Equity","BS_ACCT_NOTE_RCV","FY 2016","FY 2016","Currency=USD","Period=FY","BEST_FPERIOD_OVERRIDE=FY","FILING_STATUS=MR","SCALING_FORMAT=MLN","Sort=A","Dates=H","DateFormat=P","Fill=—","Direction=H","UseDPDF=Y")</f>
        <v>286.47300000000001</v>
      </c>
      <c r="I10" s="13">
        <f>_xll.BDH("MCHP US Equity","BS_ACCT_NOTE_RCV","FY 2017","FY 2017","Currency=USD","Period=FY","BEST_FPERIOD_OVERRIDE=FY","FILING_STATUS=MR","SCALING_FORMAT=MLN","Sort=A","Dates=H","DateFormat=P","Fill=—","Direction=H","UseDPDF=Y")</f>
        <v>471.2</v>
      </c>
      <c r="J10" s="13">
        <f>_xll.BDH("MCHP US Equity","BS_ACCT_NOTE_RCV","FY 2018","FY 2018","Currency=USD","Period=FY","BEST_FPERIOD_OVERRIDE=FY","FILING_STATUS=MR","SCALING_FORMAT=MLN","Sort=A","Dates=H","DateFormat=P","Fill=—","Direction=H","UseDPDF=Y")</f>
        <v>555.6</v>
      </c>
      <c r="K10" s="13">
        <f>_xll.BDH("MCHP US Equity","BS_ACCT_NOTE_RCV","FY 2019","FY 2019","Currency=USD","Period=FY","BEST_FPERIOD_OVERRIDE=FY","FILING_STATUS=MR","SCALING_FORMAT=MLN","Sort=A","Dates=H","DateFormat=P","Fill=—","Direction=H","UseDPDF=Y")</f>
        <v>873.8</v>
      </c>
      <c r="L10" s="13">
        <f>_xll.BDH("MCHP US Equity","BS_ACCT_NOTE_RCV","FY 2020","FY 2020","Currency=USD","Period=FY","BEST_FPERIOD_OVERRIDE=FY","FILING_STATUS=MR","SCALING_FORMAT=MLN","Sort=A","Dates=H","DateFormat=P","Fill=—","Direction=H","UseDPDF=Y")</f>
        <v>919.2</v>
      </c>
    </row>
    <row r="11" spans="1:12" x14ac:dyDescent="0.45">
      <c r="A11" s="10" t="s">
        <v>34</v>
      </c>
      <c r="B11" s="10" t="s">
        <v>35</v>
      </c>
      <c r="C11" s="13">
        <f>_xll.BDH("MCHP US Equity","BS_ACCTS_REC_EXCL_NOTES_REC","FY 2011","FY 2011","Currency=USD","Period=FY","BEST_FPERIOD_OVERRIDE=FY","FILING_STATUS=MR","SCALING_FORMAT=MLN","Sort=A","Dates=H","DateFormat=P","Fill=—","Direction=H","UseDPDF=Y")</f>
        <v>181.202</v>
      </c>
      <c r="D11" s="13">
        <f>_xll.BDH("MCHP US Equity","BS_ACCTS_REC_EXCL_NOTES_REC","FY 2012","FY 2012","Currency=USD","Period=FY","BEST_FPERIOD_OVERRIDE=FY","FILING_STATUS=MR","SCALING_FORMAT=MLN","Sort=A","Dates=H","DateFormat=P","Fill=—","Direction=H","UseDPDF=Y")</f>
        <v>170.20099999999999</v>
      </c>
      <c r="E11" s="13">
        <f>_xll.BDH("MCHP US Equity","BS_ACCTS_REC_EXCL_NOTES_REC","FY 2013","FY 2013","Currency=USD","Period=FY","BEST_FPERIOD_OVERRIDE=FY","FILING_STATUS=MR","SCALING_FORMAT=MLN","Sort=A","Dates=H","DateFormat=P","Fill=—","Direction=H","UseDPDF=Y")</f>
        <v>229.95500000000001</v>
      </c>
      <c r="F11" s="13">
        <f>_xll.BDH("MCHP US Equity","BS_ACCTS_REC_EXCL_NOTES_REC","FY 2014","FY 2014","Currency=USD","Period=FY","BEST_FPERIOD_OVERRIDE=FY","FILING_STATUS=MR","SCALING_FORMAT=MLN","Sort=A","Dates=H","DateFormat=P","Fill=—","Direction=H","UseDPDF=Y")</f>
        <v>242.405</v>
      </c>
      <c r="G11" s="13">
        <f>_xll.BDH("MCHP US Equity","BS_ACCTS_REC_EXCL_NOTES_REC","FY 2015","FY 2015","Currency=USD","Period=FY","BEST_FPERIOD_OVERRIDE=FY","FILING_STATUS=MR","SCALING_FORMAT=MLN","Sort=A","Dates=H","DateFormat=P","Fill=—","Direction=H","UseDPDF=Y")</f>
        <v>273.93700000000001</v>
      </c>
      <c r="H11" s="13">
        <f>_xll.BDH("MCHP US Equity","BS_ACCTS_REC_EXCL_NOTES_REC","FY 2016","FY 2016","Currency=USD","Period=FY","BEST_FPERIOD_OVERRIDE=FY","FILING_STATUS=MR","SCALING_FORMAT=MLN","Sort=A","Dates=H","DateFormat=P","Fill=—","Direction=H","UseDPDF=Y")</f>
        <v>286.47300000000001</v>
      </c>
      <c r="I11" s="13">
        <f>_xll.BDH("MCHP US Equity","BS_ACCTS_REC_EXCL_NOTES_REC","FY 2017","FY 2017","Currency=USD","Period=FY","BEST_FPERIOD_OVERRIDE=FY","FILING_STATUS=MR","SCALING_FORMAT=MLN","Sort=A","Dates=H","DateFormat=P","Fill=—","Direction=H","UseDPDF=Y")</f>
        <v>471.2</v>
      </c>
      <c r="J11" s="13">
        <f>_xll.BDH("MCHP US Equity","BS_ACCTS_REC_EXCL_NOTES_REC","FY 2018","FY 2018","Currency=USD","Period=FY","BEST_FPERIOD_OVERRIDE=FY","FILING_STATUS=MR","SCALING_FORMAT=MLN","Sort=A","Dates=H","DateFormat=P","Fill=—","Direction=H","UseDPDF=Y")</f>
        <v>555.6</v>
      </c>
      <c r="K11" s="13">
        <f>_xll.BDH("MCHP US Equity","BS_ACCTS_REC_EXCL_NOTES_REC","FY 2019","FY 2019","Currency=USD","Period=FY","BEST_FPERIOD_OVERRIDE=FY","FILING_STATUS=MR","SCALING_FORMAT=MLN","Sort=A","Dates=H","DateFormat=P","Fill=—","Direction=H","UseDPDF=Y")</f>
        <v>873.8</v>
      </c>
      <c r="L11" s="13">
        <f>_xll.BDH("MCHP US Equity","BS_ACCTS_REC_EXCL_NOTES_REC","FY 2020","FY 2020","Currency=USD","Period=FY","BEST_FPERIOD_OVERRIDE=FY","FILING_STATUS=MR","SCALING_FORMAT=MLN","Sort=A","Dates=H","DateFormat=P","Fill=—","Direction=H","UseDPDF=Y")</f>
        <v>919.2</v>
      </c>
    </row>
    <row r="12" spans="1:12" x14ac:dyDescent="0.45">
      <c r="A12" s="10" t="s">
        <v>36</v>
      </c>
      <c r="B12" s="10" t="s">
        <v>37</v>
      </c>
      <c r="C12" s="13">
        <f>_xll.BDH("MCHP US Equity","NOTES_RECEIVABLE","FY 2011","FY 2011","Currency=USD","Period=FY","BEST_FPERIOD_OVERRIDE=FY","FILING_STATUS=MR","SCALING_FORMAT=MLN","Sort=A","Dates=H","DateFormat=P","Fill=—","Direction=H","UseDPDF=Y")</f>
        <v>0</v>
      </c>
      <c r="D12" s="13">
        <f>_xll.BDH("MCHP US Equity","NOTES_RECEIVABLE","FY 2012","FY 2012","Currency=USD","Period=FY","BEST_FPERIOD_OVERRIDE=FY","FILING_STATUS=MR","SCALING_FORMAT=MLN","Sort=A","Dates=H","DateFormat=P","Fill=—","Direction=H","UseDPDF=Y")</f>
        <v>0</v>
      </c>
      <c r="E12" s="13">
        <f>_xll.BDH("MCHP US Equity","NOTES_RECEIVABLE","FY 2013","FY 2013","Currency=USD","Period=FY","BEST_FPERIOD_OVERRIDE=FY","FILING_STATUS=MR","SCALING_FORMAT=MLN","Sort=A","Dates=H","DateFormat=P","Fill=—","Direction=H","UseDPDF=Y")</f>
        <v>0</v>
      </c>
      <c r="F12" s="13">
        <f>_xll.BDH("MCHP US Equity","NOTES_RECEIVABLE","FY 2014","FY 2014","Currency=USD","Period=FY","BEST_FPERIOD_OVERRIDE=FY","FILING_STATUS=MR","SCALING_FORMAT=MLN","Sort=A","Dates=H","DateFormat=P","Fill=—","Direction=H","UseDPDF=Y")</f>
        <v>0</v>
      </c>
      <c r="G12" s="13">
        <f>_xll.BDH("MCHP US Equity","NOTES_RECEIVABLE","FY 2015","FY 2015","Currency=USD","Period=FY","BEST_FPERIOD_OVERRIDE=FY","FILING_STATUS=MR","SCALING_FORMAT=MLN","Sort=A","Dates=H","DateFormat=P","Fill=—","Direction=H","UseDPDF=Y")</f>
        <v>0</v>
      </c>
      <c r="H12" s="13">
        <f>_xll.BDH("MCHP US Equity","NOTES_RECEIVABLE","FY 2016","FY 2016","Currency=USD","Period=FY","BEST_FPERIOD_OVERRIDE=FY","FILING_STATUS=MR","SCALING_FORMAT=MLN","Sort=A","Dates=H","DateFormat=P","Fill=—","Direction=H","UseDPDF=Y")</f>
        <v>0</v>
      </c>
      <c r="I12" s="13">
        <f>_xll.BDH("MCHP US Equity","NOTES_RECEIVABLE","FY 2017","FY 2017","Currency=USD","Period=FY","BEST_FPERIOD_OVERRIDE=FY","FILING_STATUS=MR","SCALING_FORMAT=MLN","Sort=A","Dates=H","DateFormat=P","Fill=—","Direction=H","UseDPDF=Y")</f>
        <v>0</v>
      </c>
      <c r="J12" s="13">
        <f>_xll.BDH("MCHP US Equity","NOTES_RECEIVABLE","FY 2018","FY 2018","Currency=USD","Period=FY","BEST_FPERIOD_OVERRIDE=FY","FILING_STATUS=MR","SCALING_FORMAT=MLN","Sort=A","Dates=H","DateFormat=P","Fill=—","Direction=H","UseDPDF=Y")</f>
        <v>0</v>
      </c>
      <c r="K12" s="13">
        <f>_xll.BDH("MCHP US Equity","NOTES_RECEIVABLE","FY 2019","FY 2019","Currency=USD","Period=FY","BEST_FPERIOD_OVERRIDE=FY","FILING_STATUS=MR","SCALING_FORMAT=MLN","Sort=A","Dates=H","DateFormat=P","Fill=—","Direction=H","UseDPDF=Y")</f>
        <v>0</v>
      </c>
      <c r="L12" s="13">
        <f>_xll.BDH("MCHP US Equity","NOTES_RECEIVABLE","FY 2020","FY 2020","Currency=USD","Period=FY","BEST_FPERIOD_OVERRIDE=FY","FILING_STATUS=MR","SCALING_FORMAT=MLN","Sort=A","Dates=H","DateFormat=P","Fill=—","Direction=H","UseDPDF=Y")</f>
        <v>0</v>
      </c>
    </row>
    <row r="13" spans="1:12" x14ac:dyDescent="0.45">
      <c r="A13" s="10" t="s">
        <v>38</v>
      </c>
      <c r="B13" s="10" t="s">
        <v>39</v>
      </c>
      <c r="C13" s="13">
        <f>_xll.BDH("MCHP US Equity","BS_INVENTORIES","FY 2011","FY 2011","Currency=USD","Period=FY","BEST_FPERIOD_OVERRIDE=FY","FILING_STATUS=MR","SCALING_FORMAT=MLN","Sort=A","Dates=H","DateFormat=P","Fill=—","Direction=H","UseDPDF=Y")</f>
        <v>180.8</v>
      </c>
      <c r="D13" s="13">
        <f>_xll.BDH("MCHP US Equity","BS_INVENTORIES","FY 2012","FY 2012","Currency=USD","Period=FY","BEST_FPERIOD_OVERRIDE=FY","FILING_STATUS=MR","SCALING_FORMAT=MLN","Sort=A","Dates=H","DateFormat=P","Fill=—","Direction=H","UseDPDF=Y")</f>
        <v>217.27799999999999</v>
      </c>
      <c r="E13" s="13">
        <f>_xll.BDH("MCHP US Equity","BS_INVENTORIES","FY 2013","FY 2013","Currency=USD","Period=FY","BEST_FPERIOD_OVERRIDE=FY","FILING_STATUS=MR","SCALING_FORMAT=MLN","Sort=A","Dates=H","DateFormat=P","Fill=—","Direction=H","UseDPDF=Y")</f>
        <v>242.334</v>
      </c>
      <c r="F13" s="13">
        <f>_xll.BDH("MCHP US Equity","BS_INVENTORIES","FY 2014","FY 2014","Currency=USD","Period=FY","BEST_FPERIOD_OVERRIDE=FY","FILING_STATUS=MR","SCALING_FORMAT=MLN","Sort=A","Dates=H","DateFormat=P","Fill=—","Direction=H","UseDPDF=Y")</f>
        <v>262.72500000000002</v>
      </c>
      <c r="G13" s="13">
        <f>_xll.BDH("MCHP US Equity","BS_INVENTORIES","FY 2015","FY 2015","Currency=USD","Period=FY","BEST_FPERIOD_OVERRIDE=FY","FILING_STATUS=MR","SCALING_FORMAT=MLN","Sort=A","Dates=H","DateFormat=P","Fill=—","Direction=H","UseDPDF=Y")</f>
        <v>279.45600000000002</v>
      </c>
      <c r="H13" s="13">
        <f>_xll.BDH("MCHP US Equity","BS_INVENTORIES","FY 2016","FY 2016","Currency=USD","Period=FY","BEST_FPERIOD_OVERRIDE=FY","FILING_STATUS=MR","SCALING_FORMAT=MLN","Sort=A","Dates=H","DateFormat=P","Fill=—","Direction=H","UseDPDF=Y")</f>
        <v>306.815</v>
      </c>
      <c r="I13" s="13">
        <f>_xll.BDH("MCHP US Equity","BS_INVENTORIES","FY 2017","FY 2017","Currency=USD","Period=FY","BEST_FPERIOD_OVERRIDE=FY","FILING_STATUS=MR","SCALING_FORMAT=MLN","Sort=A","Dates=H","DateFormat=P","Fill=—","Direction=H","UseDPDF=Y")</f>
        <v>417.2</v>
      </c>
      <c r="J13" s="13">
        <f>_xll.BDH("MCHP US Equity","BS_INVENTORIES","FY 2018","FY 2018","Currency=USD","Period=FY","BEST_FPERIOD_OVERRIDE=FY","FILING_STATUS=MR","SCALING_FORMAT=MLN","Sort=A","Dates=H","DateFormat=P","Fill=—","Direction=H","UseDPDF=Y")</f>
        <v>476.2</v>
      </c>
      <c r="K13" s="13">
        <f>_xll.BDH("MCHP US Equity","BS_INVENTORIES","FY 2019","FY 2019","Currency=USD","Period=FY","BEST_FPERIOD_OVERRIDE=FY","FILING_STATUS=MR","SCALING_FORMAT=MLN","Sort=A","Dates=H","DateFormat=P","Fill=—","Direction=H","UseDPDF=Y")</f>
        <v>711.7</v>
      </c>
      <c r="L13" s="13">
        <f>_xll.BDH("MCHP US Equity","BS_INVENTORIES","FY 2020","FY 2020","Currency=USD","Period=FY","BEST_FPERIOD_OVERRIDE=FY","FILING_STATUS=MR","SCALING_FORMAT=MLN","Sort=A","Dates=H","DateFormat=P","Fill=—","Direction=H","UseDPDF=Y")</f>
        <v>685.7</v>
      </c>
    </row>
    <row r="14" spans="1:12" x14ac:dyDescent="0.45">
      <c r="A14" s="10" t="s">
        <v>40</v>
      </c>
      <c r="B14" s="10" t="s">
        <v>41</v>
      </c>
      <c r="C14" s="13">
        <f>_xll.BDH("MCHP US Equity","INVTRY_RAW_MATERIALS","FY 2011","FY 2011","Currency=USD","Period=FY","BEST_FPERIOD_OVERRIDE=FY","FILING_STATUS=MR","SCALING_FORMAT=MLN","Sort=A","Dates=H","DateFormat=P","Fill=—","Direction=H","UseDPDF=Y")</f>
        <v>8.1739999999999995</v>
      </c>
      <c r="D14" s="13">
        <f>_xll.BDH("MCHP US Equity","INVTRY_RAW_MATERIALS","FY 2012","FY 2012","Currency=USD","Period=FY","BEST_FPERIOD_OVERRIDE=FY","FILING_STATUS=MR","SCALING_FORMAT=MLN","Sort=A","Dates=H","DateFormat=P","Fill=—","Direction=H","UseDPDF=Y")</f>
        <v>8.0649999999999995</v>
      </c>
      <c r="E14" s="13">
        <f>_xll.BDH("MCHP US Equity","INVTRY_RAW_MATERIALS","FY 2013","FY 2013","Currency=USD","Period=FY","BEST_FPERIOD_OVERRIDE=FY","FILING_STATUS=MR","SCALING_FORMAT=MLN","Sort=A","Dates=H","DateFormat=P","Fill=—","Direction=H","UseDPDF=Y")</f>
        <v>9.02</v>
      </c>
      <c r="F14" s="13">
        <f>_xll.BDH("MCHP US Equity","INVTRY_RAW_MATERIALS","FY 2014","FY 2014","Currency=USD","Period=FY","BEST_FPERIOD_OVERRIDE=FY","FILING_STATUS=MR","SCALING_FORMAT=MLN","Sort=A","Dates=H","DateFormat=P","Fill=—","Direction=H","UseDPDF=Y")</f>
        <v>9.734</v>
      </c>
      <c r="G14" s="13">
        <f>_xll.BDH("MCHP US Equity","INVTRY_RAW_MATERIALS","FY 2015","FY 2015","Currency=USD","Period=FY","BEST_FPERIOD_OVERRIDE=FY","FILING_STATUS=MR","SCALING_FORMAT=MLN","Sort=A","Dates=H","DateFormat=P","Fill=—","Direction=H","UseDPDF=Y")</f>
        <v>13.263</v>
      </c>
      <c r="H14" s="13">
        <f>_xll.BDH("MCHP US Equity","INVTRY_RAW_MATERIALS","FY 2016","FY 2016","Currency=USD","Period=FY","BEST_FPERIOD_OVERRIDE=FY","FILING_STATUS=MR","SCALING_FORMAT=MLN","Sort=A","Dates=H","DateFormat=P","Fill=—","Direction=H","UseDPDF=Y")</f>
        <v>12.179</v>
      </c>
      <c r="I14" s="13">
        <f>_xll.BDH("MCHP US Equity","INVTRY_RAW_MATERIALS","FY 2017","FY 2017","Currency=USD","Period=FY","BEST_FPERIOD_OVERRIDE=FY","FILING_STATUS=MR","SCALING_FORMAT=MLN","Sort=A","Dates=H","DateFormat=P","Fill=—","Direction=H","UseDPDF=Y")</f>
        <v>14.4</v>
      </c>
      <c r="J14" s="13">
        <f>_xll.BDH("MCHP US Equity","INVTRY_RAW_MATERIALS","FY 2018","FY 2018","Currency=USD","Period=FY","BEST_FPERIOD_OVERRIDE=FY","FILING_STATUS=MR","SCALING_FORMAT=MLN","Sort=A","Dates=H","DateFormat=P","Fill=—","Direction=H","UseDPDF=Y")</f>
        <v>26</v>
      </c>
      <c r="K14" s="13">
        <f>_xll.BDH("MCHP US Equity","INVTRY_RAW_MATERIALS","FY 2019","FY 2019","Currency=USD","Period=FY","BEST_FPERIOD_OVERRIDE=FY","FILING_STATUS=MR","SCALING_FORMAT=MLN","Sort=A","Dates=H","DateFormat=P","Fill=—","Direction=H","UseDPDF=Y")</f>
        <v>74.5</v>
      </c>
      <c r="L14" s="13">
        <f>_xll.BDH("MCHP US Equity","INVTRY_RAW_MATERIALS","FY 2020","FY 2020","Currency=USD","Period=FY","BEST_FPERIOD_OVERRIDE=FY","FILING_STATUS=MR","SCALING_FORMAT=MLN","Sort=A","Dates=H","DateFormat=P","Fill=—","Direction=H","UseDPDF=Y")</f>
        <v>92.3</v>
      </c>
    </row>
    <row r="15" spans="1:12" x14ac:dyDescent="0.45">
      <c r="A15" s="10" t="s">
        <v>42</v>
      </c>
      <c r="B15" s="10" t="s">
        <v>43</v>
      </c>
      <c r="C15" s="13">
        <f>_xll.BDH("MCHP US Equity","INVTRY_IN_PROGRESS","FY 2011","FY 2011","Currency=USD","Period=FY","BEST_FPERIOD_OVERRIDE=FY","FILING_STATUS=MR","SCALING_FORMAT=MLN","Sort=A","Dates=H","DateFormat=P","Fill=—","Direction=H","UseDPDF=Y")</f>
        <v>141.46199999999999</v>
      </c>
      <c r="D15" s="13">
        <f>_xll.BDH("MCHP US Equity","INVTRY_IN_PROGRESS","FY 2012","FY 2012","Currency=USD","Period=FY","BEST_FPERIOD_OVERRIDE=FY","FILING_STATUS=MR","SCALING_FORMAT=MLN","Sort=A","Dates=H","DateFormat=P","Fill=—","Direction=H","UseDPDF=Y")</f>
        <v>139.04499999999999</v>
      </c>
      <c r="E15" s="13">
        <f>_xll.BDH("MCHP US Equity","INVTRY_IN_PROGRESS","FY 2013","FY 2013","Currency=USD","Period=FY","BEST_FPERIOD_OVERRIDE=FY","FILING_STATUS=MR","SCALING_FORMAT=MLN","Sort=A","Dates=H","DateFormat=P","Fill=—","Direction=H","UseDPDF=Y")</f>
        <v>181.75</v>
      </c>
      <c r="F15" s="13">
        <f>_xll.BDH("MCHP US Equity","INVTRY_IN_PROGRESS","FY 2014","FY 2014","Currency=USD","Period=FY","BEST_FPERIOD_OVERRIDE=FY","FILING_STATUS=MR","SCALING_FORMAT=MLN","Sort=A","Dates=H","DateFormat=P","Fill=—","Direction=H","UseDPDF=Y")</f>
        <v>179.69200000000001</v>
      </c>
      <c r="G15" s="13">
        <f>_xll.BDH("MCHP US Equity","INVTRY_IN_PROGRESS","FY 2015","FY 2015","Currency=USD","Period=FY","BEST_FPERIOD_OVERRIDE=FY","FILING_STATUS=MR","SCALING_FORMAT=MLN","Sort=A","Dates=H","DateFormat=P","Fill=—","Direction=H","UseDPDF=Y")</f>
        <v>197.565</v>
      </c>
      <c r="H15" s="13">
        <f>_xll.BDH("MCHP US Equity","INVTRY_IN_PROGRESS","FY 2016","FY 2016","Currency=USD","Period=FY","BEST_FPERIOD_OVERRIDE=FY","FILING_STATUS=MR","SCALING_FORMAT=MLN","Sort=A","Dates=H","DateFormat=P","Fill=—","Direction=H","UseDPDF=Y")</f>
        <v>208.28299999999999</v>
      </c>
      <c r="I15" s="13">
        <f>_xll.BDH("MCHP US Equity","INVTRY_IN_PROGRESS","FY 2017","FY 2017","Currency=USD","Period=FY","BEST_FPERIOD_OVERRIDE=FY","FILING_STATUS=MR","SCALING_FORMAT=MLN","Sort=A","Dates=H","DateFormat=P","Fill=—","Direction=H","UseDPDF=Y")</f>
        <v>268.3</v>
      </c>
      <c r="J15" s="13">
        <f>_xll.BDH("MCHP US Equity","INVTRY_IN_PROGRESS","FY 2018","FY 2018","Currency=USD","Period=FY","BEST_FPERIOD_OVERRIDE=FY","FILING_STATUS=MR","SCALING_FORMAT=MLN","Sort=A","Dates=H","DateFormat=P","Fill=—","Direction=H","UseDPDF=Y")</f>
        <v>311.8</v>
      </c>
      <c r="K15" s="13">
        <f>_xll.BDH("MCHP US Equity","INVTRY_IN_PROGRESS","FY 2019","FY 2019","Currency=USD","Period=FY","BEST_FPERIOD_OVERRIDE=FY","FILING_STATUS=MR","SCALING_FORMAT=MLN","Sort=A","Dates=H","DateFormat=P","Fill=—","Direction=H","UseDPDF=Y")</f>
        <v>413</v>
      </c>
      <c r="L15" s="13">
        <f>_xll.BDH("MCHP US Equity","INVTRY_IN_PROGRESS","FY 2020","FY 2020","Currency=USD","Period=FY","BEST_FPERIOD_OVERRIDE=FY","FILING_STATUS=MR","SCALING_FORMAT=MLN","Sort=A","Dates=H","DateFormat=P","Fill=—","Direction=H","UseDPDF=Y")</f>
        <v>441.7</v>
      </c>
    </row>
    <row r="16" spans="1:12" x14ac:dyDescent="0.45">
      <c r="A16" s="10" t="s">
        <v>44</v>
      </c>
      <c r="B16" s="10" t="s">
        <v>45</v>
      </c>
      <c r="C16" s="13">
        <f>_xll.BDH("MCHP US Equity","INVTRY_FINISHED_GOODS","FY 2011","FY 2011","Currency=USD","Period=FY","BEST_FPERIOD_OVERRIDE=FY","FILING_STATUS=MR","SCALING_FORMAT=MLN","Sort=A","Dates=H","DateFormat=P","Fill=—","Direction=H","UseDPDF=Y")</f>
        <v>31.164000000000001</v>
      </c>
      <c r="D16" s="13">
        <f>_xll.BDH("MCHP US Equity","INVTRY_FINISHED_GOODS","FY 2012","FY 2012","Currency=USD","Period=FY","BEST_FPERIOD_OVERRIDE=FY","FILING_STATUS=MR","SCALING_FORMAT=MLN","Sort=A","Dates=H","DateFormat=P","Fill=—","Direction=H","UseDPDF=Y")</f>
        <v>70.168000000000006</v>
      </c>
      <c r="E16" s="13">
        <f>_xll.BDH("MCHP US Equity","INVTRY_FINISHED_GOODS","FY 2013","FY 2013","Currency=USD","Period=FY","BEST_FPERIOD_OVERRIDE=FY","FILING_STATUS=MR","SCALING_FORMAT=MLN","Sort=A","Dates=H","DateFormat=P","Fill=—","Direction=H","UseDPDF=Y")</f>
        <v>51.564</v>
      </c>
      <c r="F16" s="13">
        <f>_xll.BDH("MCHP US Equity","INVTRY_FINISHED_GOODS","FY 2014","FY 2014","Currency=USD","Period=FY","BEST_FPERIOD_OVERRIDE=FY","FILING_STATUS=MR","SCALING_FORMAT=MLN","Sort=A","Dates=H","DateFormat=P","Fill=—","Direction=H","UseDPDF=Y")</f>
        <v>73.299000000000007</v>
      </c>
      <c r="G16" s="13">
        <f>_xll.BDH("MCHP US Equity","INVTRY_FINISHED_GOODS","FY 2015","FY 2015","Currency=USD","Period=FY","BEST_FPERIOD_OVERRIDE=FY","FILING_STATUS=MR","SCALING_FORMAT=MLN","Sort=A","Dates=H","DateFormat=P","Fill=—","Direction=H","UseDPDF=Y")</f>
        <v>68.628</v>
      </c>
      <c r="H16" s="13">
        <f>_xll.BDH("MCHP US Equity","INVTRY_FINISHED_GOODS","FY 2016","FY 2016","Currency=USD","Period=FY","BEST_FPERIOD_OVERRIDE=FY","FILING_STATUS=MR","SCALING_FORMAT=MLN","Sort=A","Dates=H","DateFormat=P","Fill=—","Direction=H","UseDPDF=Y")</f>
        <v>86.352999999999994</v>
      </c>
      <c r="I16" s="13">
        <f>_xll.BDH("MCHP US Equity","INVTRY_FINISHED_GOODS","FY 2017","FY 2017","Currency=USD","Period=FY","BEST_FPERIOD_OVERRIDE=FY","FILING_STATUS=MR","SCALING_FORMAT=MLN","Sort=A","Dates=H","DateFormat=P","Fill=—","Direction=H","UseDPDF=Y")</f>
        <v>134.5</v>
      </c>
      <c r="J16" s="13">
        <f>_xll.BDH("MCHP US Equity","INVTRY_FINISHED_GOODS","FY 2018","FY 2018","Currency=USD","Period=FY","BEST_FPERIOD_OVERRIDE=FY","FILING_STATUS=MR","SCALING_FORMAT=MLN","Sort=A","Dates=H","DateFormat=P","Fill=—","Direction=H","UseDPDF=Y")</f>
        <v>138.4</v>
      </c>
      <c r="K16" s="13">
        <f>_xll.BDH("MCHP US Equity","INVTRY_FINISHED_GOODS","FY 2019","FY 2019","Currency=USD","Period=FY","BEST_FPERIOD_OVERRIDE=FY","FILING_STATUS=MR","SCALING_FORMAT=MLN","Sort=A","Dates=H","DateFormat=P","Fill=—","Direction=H","UseDPDF=Y")</f>
        <v>224.2</v>
      </c>
      <c r="L16" s="13">
        <f>_xll.BDH("MCHP US Equity","INVTRY_FINISHED_GOODS","FY 2020","FY 2020","Currency=USD","Period=FY","BEST_FPERIOD_OVERRIDE=FY","FILING_STATUS=MR","SCALING_FORMAT=MLN","Sort=A","Dates=H","DateFormat=P","Fill=—","Direction=H","UseDPDF=Y")</f>
        <v>151.69999999999999</v>
      </c>
    </row>
    <row r="17" spans="1:12" x14ac:dyDescent="0.45">
      <c r="A17" s="10" t="s">
        <v>46</v>
      </c>
      <c r="B17" s="10" t="s">
        <v>47</v>
      </c>
      <c r="C17" s="13">
        <f>_xll.BDH("MCHP US Equity","BS_OTHER_INV","FY 2011","FY 2011","Currency=USD","Period=FY","BEST_FPERIOD_OVERRIDE=FY","FILING_STATUS=MR","SCALING_FORMAT=MLN","Sort=A","Dates=H","DateFormat=P","Fill=—","Direction=H","UseDPDF=Y")</f>
        <v>0</v>
      </c>
      <c r="D17" s="13">
        <f>_xll.BDH("MCHP US Equity","BS_OTHER_INV","FY 2012","FY 2012","Currency=USD","Period=FY","BEST_FPERIOD_OVERRIDE=FY","FILING_STATUS=MR","SCALING_FORMAT=MLN","Sort=A","Dates=H","DateFormat=P","Fill=—","Direction=H","UseDPDF=Y")</f>
        <v>0</v>
      </c>
      <c r="E17" s="13">
        <f>_xll.BDH("MCHP US Equity","BS_OTHER_INV","FY 2013","FY 2013","Currency=USD","Period=FY","BEST_FPERIOD_OVERRIDE=FY","FILING_STATUS=MR","SCALING_FORMAT=MLN","Sort=A","Dates=H","DateFormat=P","Fill=—","Direction=H","UseDPDF=Y")</f>
        <v>0</v>
      </c>
      <c r="F17" s="13">
        <f>_xll.BDH("MCHP US Equity","BS_OTHER_INV","FY 2014","FY 2014","Currency=USD","Period=FY","BEST_FPERIOD_OVERRIDE=FY","FILING_STATUS=MR","SCALING_FORMAT=MLN","Sort=A","Dates=H","DateFormat=P","Fill=—","Direction=H","UseDPDF=Y")</f>
        <v>0</v>
      </c>
      <c r="G17" s="13">
        <f>_xll.BDH("MCHP US Equity","BS_OTHER_INV","FY 2015","FY 2015","Currency=USD","Period=FY","BEST_FPERIOD_OVERRIDE=FY","FILING_STATUS=MR","SCALING_FORMAT=MLN","Sort=A","Dates=H","DateFormat=P","Fill=—","Direction=H","UseDPDF=Y")</f>
        <v>0</v>
      </c>
      <c r="H17" s="13">
        <f>_xll.BDH("MCHP US Equity","BS_OTHER_INV","FY 2016","FY 2016","Currency=USD","Period=FY","BEST_FPERIOD_OVERRIDE=FY","FILING_STATUS=MR","SCALING_FORMAT=MLN","Sort=A","Dates=H","DateFormat=P","Fill=—","Direction=H","UseDPDF=Y")</f>
        <v>0</v>
      </c>
      <c r="I17" s="13">
        <f>_xll.BDH("MCHP US Equity","BS_OTHER_INV","FY 2017","FY 2017","Currency=USD","Period=FY","BEST_FPERIOD_OVERRIDE=FY","FILING_STATUS=MR","SCALING_FORMAT=MLN","Sort=A","Dates=H","DateFormat=P","Fill=—","Direction=H","UseDPDF=Y")</f>
        <v>0</v>
      </c>
      <c r="J17" s="13">
        <f>_xll.BDH("MCHP US Equity","BS_OTHER_INV","FY 2018","FY 2018","Currency=USD","Period=FY","BEST_FPERIOD_OVERRIDE=FY","FILING_STATUS=MR","SCALING_FORMAT=MLN","Sort=A","Dates=H","DateFormat=P","Fill=—","Direction=H","UseDPDF=Y")</f>
        <v>0</v>
      </c>
      <c r="K17" s="13">
        <f>_xll.BDH("MCHP US Equity","BS_OTHER_INV","FY 2019","FY 2019","Currency=USD","Period=FY","BEST_FPERIOD_OVERRIDE=FY","FILING_STATUS=MR","SCALING_FORMAT=MLN","Sort=A","Dates=H","DateFormat=P","Fill=—","Direction=H","UseDPDF=Y")</f>
        <v>0</v>
      </c>
      <c r="L17" s="13">
        <f>_xll.BDH("MCHP US Equity","BS_OTHER_INV","FY 2020","FY 2020","Currency=USD","Period=FY","BEST_FPERIOD_OVERRIDE=FY","FILING_STATUS=MR","SCALING_FORMAT=MLN","Sort=A","Dates=H","DateFormat=P","Fill=—","Direction=H","UseDPDF=Y")</f>
        <v>0</v>
      </c>
    </row>
    <row r="18" spans="1:12" x14ac:dyDescent="0.45">
      <c r="A18" s="10" t="s">
        <v>48</v>
      </c>
      <c r="B18" s="10" t="s">
        <v>49</v>
      </c>
      <c r="C18" s="13">
        <f>_xll.BDH("MCHP US Equity","OTHER_CURRENT_ASSETS_DETAILED","FY 2011","FY 2011","Currency=USD","Period=FY","BEST_FPERIOD_OVERRIDE=FY","FILING_STATUS=MR","SCALING_FORMAT=MLN","Sort=A","Dates=H","DateFormat=P","Fill=—","Direction=H","UseDPDF=Y")</f>
        <v>169.48500000000001</v>
      </c>
      <c r="D18" s="13">
        <f>_xll.BDH("MCHP US Equity","OTHER_CURRENT_ASSETS_DETAILED","FY 2012","FY 2012","Currency=USD","Period=FY","BEST_FPERIOD_OVERRIDE=FY","FILING_STATUS=MR","SCALING_FORMAT=MLN","Sort=A","Dates=H","DateFormat=P","Fill=—","Direction=H","UseDPDF=Y")</f>
        <v>169.37299999999999</v>
      </c>
      <c r="E18" s="13">
        <f>_xll.BDH("MCHP US Equity","OTHER_CURRENT_ASSETS_DETAILED","FY 2013","FY 2013","Currency=USD","Period=FY","BEST_FPERIOD_OVERRIDE=FY","FILING_STATUS=MR","SCALING_FORMAT=MLN","Sort=A","Dates=H","DateFormat=P","Fill=—","Direction=H","UseDPDF=Y")</f>
        <v>185.48400000000001</v>
      </c>
      <c r="F18" s="13">
        <f>_xll.BDH("MCHP US Equity","OTHER_CURRENT_ASSETS_DETAILED","FY 2014","FY 2014","Currency=USD","Period=FY","BEST_FPERIOD_OVERRIDE=FY","FILING_STATUS=MR","SCALING_FORMAT=MLN","Sort=A","Dates=H","DateFormat=P","Fill=—","Direction=H","UseDPDF=Y")</f>
        <v>119.48399999999999</v>
      </c>
      <c r="G18" s="13">
        <f>_xll.BDH("MCHP US Equity","OTHER_CURRENT_ASSETS_DETAILED","FY 2015","FY 2015","Currency=USD","Period=FY","BEST_FPERIOD_OVERRIDE=FY","FILING_STATUS=MR","SCALING_FORMAT=MLN","Sort=A","Dates=H","DateFormat=P","Fill=—","Direction=H","UseDPDF=Y")</f>
        <v>152.35499999999999</v>
      </c>
      <c r="H18" s="13">
        <f>_xll.BDH("MCHP US Equity","OTHER_CURRENT_ASSETS_DETAILED","FY 2016","FY 2016","Currency=USD","Period=FY","BEST_FPERIOD_OVERRIDE=FY","FILING_STATUS=MR","SCALING_FORMAT=MLN","Sort=A","Dates=H","DateFormat=P","Fill=—","Direction=H","UseDPDF=Y")</f>
        <v>57.39</v>
      </c>
      <c r="I18" s="13">
        <f>_xll.BDH("MCHP US Equity","OTHER_CURRENT_ASSETS_DETAILED","FY 2017","FY 2017","Currency=USD","Period=FY","BEST_FPERIOD_OVERRIDE=FY","FILING_STATUS=MR","SCALING_FORMAT=MLN","Sort=A","Dates=H","DateFormat=P","Fill=—","Direction=H","UseDPDF=Y")</f>
        <v>113.8</v>
      </c>
      <c r="J18" s="13">
        <f>_xll.BDH("MCHP US Equity","OTHER_CURRENT_ASSETS_DETAILED","FY 2018","FY 2018","Currency=USD","Period=FY","BEST_FPERIOD_OVERRIDE=FY","FILING_STATUS=MR","SCALING_FORMAT=MLN","Sort=A","Dates=H","DateFormat=P","Fill=—","Direction=H","UseDPDF=Y")</f>
        <v>127.9</v>
      </c>
      <c r="K18" s="13">
        <f>_xll.BDH("MCHP US Equity","OTHER_CURRENT_ASSETS_DETAILED","FY 2019","FY 2019","Currency=USD","Period=FY","BEST_FPERIOD_OVERRIDE=FY","FILING_STATUS=MR","SCALING_FORMAT=MLN","Sort=A","Dates=H","DateFormat=P","Fill=—","Direction=H","UseDPDF=Y")</f>
        <v>198.4</v>
      </c>
      <c r="L18" s="13">
        <f>_xll.BDH("MCHP US Equity","OTHER_CURRENT_ASSETS_DETAILED","FY 2020","FY 2020","Currency=USD","Period=FY","BEST_FPERIOD_OVERRIDE=FY","FILING_STATUS=MR","SCALING_FORMAT=MLN","Sort=A","Dates=H","DateFormat=P","Fill=—","Direction=H","UseDPDF=Y")</f>
        <v>209.3</v>
      </c>
    </row>
    <row r="19" spans="1:12" x14ac:dyDescent="0.45">
      <c r="A19" s="10" t="s">
        <v>50</v>
      </c>
      <c r="B19" s="10" t="s">
        <v>51</v>
      </c>
      <c r="C19" s="13">
        <f>_xll.BDH("MCHP US Equity","BS_PREPAY","FY 2011","FY 2011","Currency=USD","Period=FY","BEST_FPERIOD_OVERRIDE=FY","FILING_STATUS=MR","SCALING_FORMAT=MLN","Sort=A","Dates=H","DateFormat=P","Fill=—","Direction=H","UseDPDF=Y")</f>
        <v>22.234000000000002</v>
      </c>
      <c r="D19" s="13">
        <f>_xll.BDH("MCHP US Equity","BS_PREPAY","FY 2012","FY 2012","Currency=USD","Period=FY","BEST_FPERIOD_OVERRIDE=FY","FILING_STATUS=MR","SCALING_FORMAT=MLN","Sort=A","Dates=H","DateFormat=P","Fill=—","Direction=H","UseDPDF=Y")</f>
        <v>25.658000000000001</v>
      </c>
      <c r="E19" s="13">
        <f>_xll.BDH("MCHP US Equity","BS_PREPAY","FY 2013","FY 2013","Currency=USD","Period=FY","BEST_FPERIOD_OVERRIDE=FY","FILING_STATUS=MR","SCALING_FORMAT=MLN","Sort=A","Dates=H","DateFormat=P","Fill=—","Direction=H","UseDPDF=Y")</f>
        <v>37.439</v>
      </c>
      <c r="F19" s="13">
        <f>_xll.BDH("MCHP US Equity","BS_PREPAY","FY 2014","FY 2014","Currency=USD","Period=FY","BEST_FPERIOD_OVERRIDE=FY","FILING_STATUS=MR","SCALING_FORMAT=MLN","Sort=A","Dates=H","DateFormat=P","Fill=—","Direction=H","UseDPDF=Y")</f>
        <v>31.756</v>
      </c>
      <c r="G19" s="13">
        <f>_xll.BDH("MCHP US Equity","BS_PREPAY","FY 2015","FY 2015","Currency=USD","Period=FY","BEST_FPERIOD_OVERRIDE=FY","FILING_STATUS=MR","SCALING_FORMAT=MLN","Sort=A","Dates=H","DateFormat=P","Fill=—","Direction=H","UseDPDF=Y")</f>
        <v>34.716999999999999</v>
      </c>
      <c r="H19" s="13">
        <f>_xll.BDH("MCHP US Equity","BS_PREPAY","FY 2016","FY 2016","Currency=USD","Period=FY","BEST_FPERIOD_OVERRIDE=FY","FILING_STATUS=MR","SCALING_FORMAT=MLN","Sort=A","Dates=H","DateFormat=P","Fill=—","Direction=H","UseDPDF=Y")</f>
        <v>41.991999999999997</v>
      </c>
      <c r="I19" s="13">
        <f>_xll.BDH("MCHP US Equity","BS_PREPAY","FY 2017","FY 2017","Currency=USD","Period=FY","BEST_FPERIOD_OVERRIDE=FY","FILING_STATUS=MR","SCALING_FORMAT=MLN","Sort=A","Dates=H","DateFormat=P","Fill=—","Direction=H","UseDPDF=Y")</f>
        <v>41.3</v>
      </c>
      <c r="J19" s="13">
        <f>_xll.BDH("MCHP US Equity","BS_PREPAY","FY 2018","FY 2018","Currency=USD","Period=FY","BEST_FPERIOD_OVERRIDE=FY","FILING_STATUS=MR","SCALING_FORMAT=MLN","Sort=A","Dates=H","DateFormat=P","Fill=—","Direction=H","UseDPDF=Y")</f>
        <v>0</v>
      </c>
      <c r="K19" s="13">
        <f>_xll.BDH("MCHP US Equity","BS_PREPAY","FY 2019","FY 2019","Currency=USD","Period=FY","BEST_FPERIOD_OVERRIDE=FY","FILING_STATUS=MR","SCALING_FORMAT=MLN","Sort=A","Dates=H","DateFormat=P","Fill=—","Direction=H","UseDPDF=Y")</f>
        <v>0</v>
      </c>
      <c r="L19" s="13" t="str">
        <f>_xll.BDH("MCHP US Equity","BS_PREPAY","FY 2020","FY 2020","Currency=USD","Period=FY","BEST_FPERIOD_OVERRIDE=FY","FILING_STATUS=MR","SCALING_FORMAT=MLN","Sort=A","Dates=H","DateFormat=P","Fill=—","Direction=H","UseDPDF=Y")</f>
        <v>—</v>
      </c>
    </row>
    <row r="20" spans="1:12" x14ac:dyDescent="0.45">
      <c r="A20" s="10" t="s">
        <v>52</v>
      </c>
      <c r="B20" s="10" t="s">
        <v>53</v>
      </c>
      <c r="C20" s="13">
        <f>_xll.BDH("MCHP US Equity","BS_DERIV_&amp;_HEDGING_ASSETS_ST","FY 2011","FY 2011","Currency=USD","Period=FY","BEST_FPERIOD_OVERRIDE=FY","FILING_STATUS=MR","SCALING_FORMAT=MLN","Sort=A","Dates=H","DateFormat=P","Fill=—","Direction=H","UseDPDF=Y")</f>
        <v>0</v>
      </c>
      <c r="D20" s="13">
        <f>_xll.BDH("MCHP US Equity","BS_DERIV_&amp;_HEDGING_ASSETS_ST","FY 2012","FY 2012","Currency=USD","Period=FY","BEST_FPERIOD_OVERRIDE=FY","FILING_STATUS=MR","SCALING_FORMAT=MLN","Sort=A","Dates=H","DateFormat=P","Fill=—","Direction=H","UseDPDF=Y")</f>
        <v>0</v>
      </c>
      <c r="E20" s="13">
        <f>_xll.BDH("MCHP US Equity","BS_DERIV_&amp;_HEDGING_ASSETS_ST","FY 2013","FY 2013","Currency=USD","Period=FY","BEST_FPERIOD_OVERRIDE=FY","FILING_STATUS=MR","SCALING_FORMAT=MLN","Sort=A","Dates=H","DateFormat=P","Fill=—","Direction=H","UseDPDF=Y")</f>
        <v>0</v>
      </c>
      <c r="F20" s="13">
        <f>_xll.BDH("MCHP US Equity","BS_DERIV_&amp;_HEDGING_ASSETS_ST","FY 2014","FY 2014","Currency=USD","Period=FY","BEST_FPERIOD_OVERRIDE=FY","FILING_STATUS=MR","SCALING_FORMAT=MLN","Sort=A","Dates=H","DateFormat=P","Fill=—","Direction=H","UseDPDF=Y")</f>
        <v>0</v>
      </c>
      <c r="G20" s="13">
        <f>_xll.BDH("MCHP US Equity","BS_DERIV_&amp;_HEDGING_ASSETS_ST","FY 2015","FY 2015","Currency=USD","Period=FY","BEST_FPERIOD_OVERRIDE=FY","FILING_STATUS=MR","SCALING_FORMAT=MLN","Sort=A","Dates=H","DateFormat=P","Fill=—","Direction=H","UseDPDF=Y")</f>
        <v>0</v>
      </c>
      <c r="H20" s="13">
        <f>_xll.BDH("MCHP US Equity","BS_DERIV_&amp;_HEDGING_ASSETS_ST","FY 2016","FY 2016","Currency=USD","Period=FY","BEST_FPERIOD_OVERRIDE=FY","FILING_STATUS=MR","SCALING_FORMAT=MLN","Sort=A","Dates=H","DateFormat=P","Fill=—","Direction=H","UseDPDF=Y")</f>
        <v>0</v>
      </c>
      <c r="I20" s="13">
        <f>_xll.BDH("MCHP US Equity","BS_DERIV_&amp;_HEDGING_ASSETS_ST","FY 2017","FY 2017","Currency=USD","Period=FY","BEST_FPERIOD_OVERRIDE=FY","FILING_STATUS=MR","SCALING_FORMAT=MLN","Sort=A","Dates=H","DateFormat=P","Fill=—","Direction=H","UseDPDF=Y")</f>
        <v>0</v>
      </c>
      <c r="J20" s="13">
        <f>_xll.BDH("MCHP US Equity","BS_DERIV_&amp;_HEDGING_ASSETS_ST","FY 2018","FY 2018","Currency=USD","Period=FY","BEST_FPERIOD_OVERRIDE=FY","FILING_STATUS=MR","SCALING_FORMAT=MLN","Sort=A","Dates=H","DateFormat=P","Fill=—","Direction=H","UseDPDF=Y")</f>
        <v>0</v>
      </c>
      <c r="K20" s="13">
        <f>_xll.BDH("MCHP US Equity","BS_DERIV_&amp;_HEDGING_ASSETS_ST","FY 2019","FY 2019","Currency=USD","Period=FY","BEST_FPERIOD_OVERRIDE=FY","FILING_STATUS=MR","SCALING_FORMAT=MLN","Sort=A","Dates=H","DateFormat=P","Fill=—","Direction=H","UseDPDF=Y")</f>
        <v>0</v>
      </c>
      <c r="L20" s="13">
        <f>_xll.BDH("MCHP US Equity","BS_DERIV_&amp;_HEDGING_ASSETS_ST","FY 2020","FY 2020","Currency=USD","Period=FY","BEST_FPERIOD_OVERRIDE=FY","FILING_STATUS=MR","SCALING_FORMAT=MLN","Sort=A","Dates=H","DateFormat=P","Fill=—","Direction=H","UseDPDF=Y")</f>
        <v>0</v>
      </c>
    </row>
    <row r="21" spans="1:12" x14ac:dyDescent="0.45">
      <c r="A21" s="10" t="s">
        <v>54</v>
      </c>
      <c r="B21" s="10" t="s">
        <v>55</v>
      </c>
      <c r="C21" s="13" t="str">
        <f>_xll.BDH("MCHP US Equity","BS_ASSETS_HELD_FOR_SALE_ST","FY 2011","FY 2011","Currency=USD","Period=FY","BEST_FPERIOD_OVERRIDE=FY","FILING_STATUS=MR","SCALING_FORMAT=MLN","Sort=A","Dates=H","DateFormat=P","Fill=—","Direction=H","UseDPDF=Y")</f>
        <v>—</v>
      </c>
      <c r="D21" s="13" t="str">
        <f>_xll.BDH("MCHP US Equity","BS_ASSETS_HELD_FOR_SALE_ST","FY 2012","FY 2012","Currency=USD","Period=FY","BEST_FPERIOD_OVERRIDE=FY","FILING_STATUS=MR","SCALING_FORMAT=MLN","Sort=A","Dates=H","DateFormat=P","Fill=—","Direction=H","UseDPDF=Y")</f>
        <v>—</v>
      </c>
      <c r="E21" s="13" t="str">
        <f>_xll.BDH("MCHP US Equity","BS_ASSETS_HELD_FOR_SALE_ST","FY 2013","FY 2013","Currency=USD","Period=FY","BEST_FPERIOD_OVERRIDE=FY","FILING_STATUS=MR","SCALING_FORMAT=MLN","Sort=A","Dates=H","DateFormat=P","Fill=—","Direction=H","UseDPDF=Y")</f>
        <v>—</v>
      </c>
      <c r="F21" s="13" t="str">
        <f>_xll.BDH("MCHP US Equity","BS_ASSETS_HELD_FOR_SALE_ST","FY 2014","FY 2014","Currency=USD","Period=FY","BEST_FPERIOD_OVERRIDE=FY","FILING_STATUS=MR","SCALING_FORMAT=MLN","Sort=A","Dates=H","DateFormat=P","Fill=—","Direction=H","UseDPDF=Y")</f>
        <v>—</v>
      </c>
      <c r="G21" s="13">
        <f>_xll.BDH("MCHP US Equity","BS_ASSETS_HELD_FOR_SALE_ST","FY 2015","FY 2015","Currency=USD","Period=FY","BEST_FPERIOD_OVERRIDE=FY","FILING_STATUS=MR","SCALING_FORMAT=MLN","Sort=A","Dates=H","DateFormat=P","Fill=—","Direction=H","UseDPDF=Y")</f>
        <v>13.989000000000001</v>
      </c>
      <c r="H21" s="13">
        <f>_xll.BDH("MCHP US Equity","BS_ASSETS_HELD_FOR_SALE_ST","FY 2016","FY 2016","Currency=USD","Period=FY","BEST_FPERIOD_OVERRIDE=FY","FILING_STATUS=MR","SCALING_FORMAT=MLN","Sort=A","Dates=H","DateFormat=P","Fill=—","Direction=H","UseDPDF=Y")</f>
        <v>0</v>
      </c>
      <c r="I21" s="13">
        <f>_xll.BDH("MCHP US Equity","BS_ASSETS_HELD_FOR_SALE_ST","FY 2017","FY 2017","Currency=USD","Period=FY","BEST_FPERIOD_OVERRIDE=FY","FILING_STATUS=MR","SCALING_FORMAT=MLN","Sort=A","Dates=H","DateFormat=P","Fill=—","Direction=H","UseDPDF=Y")</f>
        <v>6.4</v>
      </c>
      <c r="J21" s="13">
        <f>_xll.BDH("MCHP US Equity","BS_ASSETS_HELD_FOR_SALE_ST","FY 2018","FY 2018","Currency=USD","Period=FY","BEST_FPERIOD_OVERRIDE=FY","FILING_STATUS=MR","SCALING_FORMAT=MLN","Sort=A","Dates=H","DateFormat=P","Fill=—","Direction=H","UseDPDF=Y")</f>
        <v>0</v>
      </c>
      <c r="K21" s="13">
        <f>_xll.BDH("MCHP US Equity","BS_ASSETS_HELD_FOR_SALE_ST","FY 2019","FY 2019","Currency=USD","Period=FY","BEST_FPERIOD_OVERRIDE=FY","FILING_STATUS=MR","SCALING_FORMAT=MLN","Sort=A","Dates=H","DateFormat=P","Fill=—","Direction=H","UseDPDF=Y")</f>
        <v>0</v>
      </c>
      <c r="L21" s="13">
        <f>_xll.BDH("MCHP US Equity","BS_ASSETS_HELD_FOR_SALE_ST","FY 2020","FY 2020","Currency=USD","Period=FY","BEST_FPERIOD_OVERRIDE=FY","FILING_STATUS=MR","SCALING_FORMAT=MLN","Sort=A","Dates=H","DateFormat=P","Fill=—","Direction=H","UseDPDF=Y")</f>
        <v>0</v>
      </c>
    </row>
    <row r="22" spans="1:12" x14ac:dyDescent="0.45">
      <c r="A22" s="10" t="s">
        <v>56</v>
      </c>
      <c r="B22" s="10" t="s">
        <v>57</v>
      </c>
      <c r="C22" s="13">
        <f>_xll.BDH("MCHP US Equity","BS_DEFERRED_TAX_ASSETS_ST","FY 2011","FY 2011","Currency=USD","Period=FY","BEST_FPERIOD_OVERRIDE=FY","FILING_STATUS=MR","SCALING_FORMAT=MLN","Sort=A","Dates=H","DateFormat=P","Fill=—","Direction=H","UseDPDF=Y")</f>
        <v>88.822000000000003</v>
      </c>
      <c r="D22" s="13">
        <f>_xll.BDH("MCHP US Equity","BS_DEFERRED_TAX_ASSETS_ST","FY 2012","FY 2012","Currency=USD","Period=FY","BEST_FPERIOD_OVERRIDE=FY","FILING_STATUS=MR","SCALING_FORMAT=MLN","Sort=A","Dates=H","DateFormat=P","Fill=—","Direction=H","UseDPDF=Y")</f>
        <v>91.191000000000003</v>
      </c>
      <c r="E22" s="13">
        <f>_xll.BDH("MCHP US Equity","BS_DEFERRED_TAX_ASSETS_ST","FY 2013","FY 2013","Currency=USD","Period=FY","BEST_FPERIOD_OVERRIDE=FY","FILING_STATUS=MR","SCALING_FORMAT=MLN","Sort=A","Dates=H","DateFormat=P","Fill=—","Direction=H","UseDPDF=Y")</f>
        <v>80.686999999999998</v>
      </c>
      <c r="F22" s="13">
        <f>_xll.BDH("MCHP US Equity","BS_DEFERRED_TAX_ASSETS_ST","FY 2014","FY 2014","Currency=USD","Period=FY","BEST_FPERIOD_OVERRIDE=FY","FILING_STATUS=MR","SCALING_FORMAT=MLN","Sort=A","Dates=H","DateFormat=P","Fill=—","Direction=H","UseDPDF=Y")</f>
        <v>67.489999999999995</v>
      </c>
      <c r="G22" s="13">
        <f>_xll.BDH("MCHP US Equity","BS_DEFERRED_TAX_ASSETS_ST","FY 2015","FY 2015","Currency=USD","Period=FY","BEST_FPERIOD_OVERRIDE=FY","FILING_STATUS=MR","SCALING_FORMAT=MLN","Sort=A","Dates=H","DateFormat=P","Fill=—","Direction=H","UseDPDF=Y")</f>
        <v>71.045000000000002</v>
      </c>
      <c r="H22" s="13">
        <f>_xll.BDH("MCHP US Equity","BS_DEFERRED_TAX_ASSETS_ST","FY 2016","FY 2016","Currency=USD","Period=FY","BEST_FPERIOD_OVERRIDE=FY","FILING_STATUS=MR","SCALING_FORMAT=MLN","Sort=A","Dates=H","DateFormat=P","Fill=—","Direction=H","UseDPDF=Y")</f>
        <v>0</v>
      </c>
      <c r="I22" s="13" t="str">
        <f>_xll.BDH("MCHP US Equity","BS_DEFERRED_TAX_ASSETS_ST","FY 2017","FY 2017","Currency=USD","Period=FY","BEST_FPERIOD_OVERRIDE=FY","FILING_STATUS=MR","SCALING_FORMAT=MLN","Sort=A","Dates=H","DateFormat=P","Fill=—","Direction=H","UseDPDF=Y")</f>
        <v>—</v>
      </c>
      <c r="J22" s="13" t="str">
        <f>_xll.BDH("MCHP US Equity","BS_DEFERRED_TAX_ASSETS_ST","FY 2018","FY 2018","Currency=USD","Period=FY","BEST_FPERIOD_OVERRIDE=FY","FILING_STATUS=MR","SCALING_FORMAT=MLN","Sort=A","Dates=H","DateFormat=P","Fill=—","Direction=H","UseDPDF=Y")</f>
        <v>—</v>
      </c>
      <c r="K22" s="13" t="str">
        <f>_xll.BDH("MCHP US Equity","BS_DEFERRED_TAX_ASSETS_ST","FY 2019","FY 2019","Currency=USD","Period=FY","BEST_FPERIOD_OVERRIDE=FY","FILING_STATUS=MR","SCALING_FORMAT=MLN","Sort=A","Dates=H","DateFormat=P","Fill=—","Direction=H","UseDPDF=Y")</f>
        <v>—</v>
      </c>
      <c r="L22" s="13" t="str">
        <f>_xll.BDH("MCHP US Equity","BS_DEFERRED_TAX_ASSETS_ST","FY 2020","FY 2020","Currency=USD","Period=FY","BEST_FPERIOD_OVERRIDE=FY","FILING_STATUS=MR","SCALING_FORMAT=MLN","Sort=A","Dates=H","DateFormat=P","Fill=—","Direction=H","UseDPDF=Y")</f>
        <v>—</v>
      </c>
    </row>
    <row r="23" spans="1:12" x14ac:dyDescent="0.45">
      <c r="A23" s="10" t="s">
        <v>58</v>
      </c>
      <c r="B23" s="10" t="s">
        <v>59</v>
      </c>
      <c r="C23" s="13">
        <f>_xll.BDH("MCHP US Equity","BS_OTHER_CUR_ASSET_LESS_PREPAY","FY 2011","FY 2011","Currency=USD","Period=FY","BEST_FPERIOD_OVERRIDE=FY","FILING_STATUS=MR","SCALING_FORMAT=MLN","Sort=A","Dates=H","DateFormat=P","Fill=—","Direction=H","UseDPDF=Y")</f>
        <v>58.429000000000002</v>
      </c>
      <c r="D23" s="13">
        <f>_xll.BDH("MCHP US Equity","BS_OTHER_CUR_ASSET_LESS_PREPAY","FY 2012","FY 2012","Currency=USD","Period=FY","BEST_FPERIOD_OVERRIDE=FY","FILING_STATUS=MR","SCALING_FORMAT=MLN","Sort=A","Dates=H","DateFormat=P","Fill=—","Direction=H","UseDPDF=Y")</f>
        <v>52.524000000000001</v>
      </c>
      <c r="E23" s="13">
        <f>_xll.BDH("MCHP US Equity","BS_OTHER_CUR_ASSET_LESS_PREPAY","FY 2013","FY 2013","Currency=USD","Period=FY","BEST_FPERIOD_OVERRIDE=FY","FILING_STATUS=MR","SCALING_FORMAT=MLN","Sort=A","Dates=H","DateFormat=P","Fill=—","Direction=H","UseDPDF=Y")</f>
        <v>67.358000000000004</v>
      </c>
      <c r="F23" s="13">
        <f>_xll.BDH("MCHP US Equity","BS_OTHER_CUR_ASSET_LESS_PREPAY","FY 2014","FY 2014","Currency=USD","Period=FY","BEST_FPERIOD_OVERRIDE=FY","FILING_STATUS=MR","SCALING_FORMAT=MLN","Sort=A","Dates=H","DateFormat=P","Fill=—","Direction=H","UseDPDF=Y")</f>
        <v>20.238</v>
      </c>
      <c r="G23" s="13">
        <f>_xll.BDH("MCHP US Equity","BS_OTHER_CUR_ASSET_LESS_PREPAY","FY 2015","FY 2015","Currency=USD","Period=FY","BEST_FPERIOD_OVERRIDE=FY","FILING_STATUS=MR","SCALING_FORMAT=MLN","Sort=A","Dates=H","DateFormat=P","Fill=—","Direction=H","UseDPDF=Y")</f>
        <v>32.603999999999999</v>
      </c>
      <c r="H23" s="13">
        <f>_xll.BDH("MCHP US Equity","BS_OTHER_CUR_ASSET_LESS_PREPAY","FY 2016","FY 2016","Currency=USD","Period=FY","BEST_FPERIOD_OVERRIDE=FY","FILING_STATUS=MR","SCALING_FORMAT=MLN","Sort=A","Dates=H","DateFormat=P","Fill=—","Direction=H","UseDPDF=Y")</f>
        <v>15.398</v>
      </c>
      <c r="I23" s="13">
        <f>_xll.BDH("MCHP US Equity","BS_OTHER_CUR_ASSET_LESS_PREPAY","FY 2017","FY 2017","Currency=USD","Period=FY","BEST_FPERIOD_OVERRIDE=FY","FILING_STATUS=MR","SCALING_FORMAT=MLN","Sort=A","Dates=H","DateFormat=P","Fill=—","Direction=H","UseDPDF=Y")</f>
        <v>66.099999999999994</v>
      </c>
      <c r="J23" s="13">
        <f>_xll.BDH("MCHP US Equity","BS_OTHER_CUR_ASSET_LESS_PREPAY","FY 2018","FY 2018","Currency=USD","Period=FY","BEST_FPERIOD_OVERRIDE=FY","FILING_STATUS=MR","SCALING_FORMAT=MLN","Sort=A","Dates=H","DateFormat=P","Fill=—","Direction=H","UseDPDF=Y")</f>
        <v>127.9</v>
      </c>
      <c r="K23" s="13">
        <f>_xll.BDH("MCHP US Equity","BS_OTHER_CUR_ASSET_LESS_PREPAY","FY 2019","FY 2019","Currency=USD","Period=FY","BEST_FPERIOD_OVERRIDE=FY","FILING_STATUS=MR","SCALING_FORMAT=MLN","Sort=A","Dates=H","DateFormat=P","Fill=—","Direction=H","UseDPDF=Y")</f>
        <v>198.4</v>
      </c>
      <c r="L23" s="13">
        <f>_xll.BDH("MCHP US Equity","BS_OTHER_CUR_ASSET_LESS_PREPAY","FY 2020","FY 2020","Currency=USD","Period=FY","BEST_FPERIOD_OVERRIDE=FY","FILING_STATUS=MR","SCALING_FORMAT=MLN","Sort=A","Dates=H","DateFormat=P","Fill=—","Direction=H","UseDPDF=Y")</f>
        <v>209.3</v>
      </c>
    </row>
    <row r="24" spans="1:12" x14ac:dyDescent="0.45">
      <c r="A24" s="6" t="s">
        <v>60</v>
      </c>
      <c r="B24" s="6" t="s">
        <v>61</v>
      </c>
      <c r="C24" s="16">
        <f>_xll.BDH("MCHP US Equity","BS_CUR_ASSET_REPORT","FY 2011","FY 2011","Currency=USD","Period=FY","BEST_FPERIOD_OVERRIDE=FY","FILING_STATUS=MR","SCALING_FORMAT=MLN","Sort=A","Dates=H","DateFormat=P","Fill=—","Direction=H","UseDPDF=Y")</f>
        <v>1774.9829999999999</v>
      </c>
      <c r="D24" s="16">
        <f>_xll.BDH("MCHP US Equity","BS_CUR_ASSET_REPORT","FY 2012","FY 2012","Currency=USD","Period=FY","BEST_FPERIOD_OVERRIDE=FY","FILING_STATUS=MR","SCALING_FORMAT=MLN","Sort=A","Dates=H","DateFormat=P","Fill=—","Direction=H","UseDPDF=Y")</f>
        <v>2015.8610000000001</v>
      </c>
      <c r="E24" s="16">
        <f>_xll.BDH("MCHP US Equity","BS_CUR_ASSET_REPORT","FY 2013","FY 2013","Currency=USD","Period=FY","BEST_FPERIOD_OVERRIDE=FY","FILING_STATUS=MR","SCALING_FORMAT=MLN","Sort=A","Dates=H","DateFormat=P","Fill=—","Direction=H","UseDPDF=Y")</f>
        <v>2236.37</v>
      </c>
      <c r="F24" s="16">
        <f>_xll.BDH("MCHP US Equity","BS_CUR_ASSET_REPORT","FY 2014","FY 2014","Currency=USD","Period=FY","BEST_FPERIOD_OVERRIDE=FY","FILING_STATUS=MR","SCALING_FORMAT=MLN","Sort=A","Dates=H","DateFormat=P","Fill=—","Direction=H","UseDPDF=Y")</f>
        <v>1969.3989999999999</v>
      </c>
      <c r="G24" s="16">
        <f>_xll.BDH("MCHP US Equity","BS_CUR_ASSET_REPORT","FY 2015","FY 2015","Currency=USD","Period=FY","BEST_FPERIOD_OVERRIDE=FY","FILING_STATUS=MR","SCALING_FORMAT=MLN","Sort=A","Dates=H","DateFormat=P","Fill=—","Direction=H","UseDPDF=Y")</f>
        <v>2664.6170000000002</v>
      </c>
      <c r="H24" s="16">
        <f>_xll.BDH("MCHP US Equity","BS_CUR_ASSET_REPORT","FY 2016","FY 2016","Currency=USD","Period=FY","BEST_FPERIOD_OVERRIDE=FY","FILING_STATUS=MR","SCALING_FORMAT=MLN","Sort=A","Dates=H","DateFormat=P","Fill=—","Direction=H","UseDPDF=Y")</f>
        <v>3096.7130000000002</v>
      </c>
      <c r="I24" s="16">
        <f>_xll.BDH("MCHP US Equity","BS_CUR_ASSET_REPORT","FY 2017","FY 2017","Currency=USD","Period=FY","BEST_FPERIOD_OVERRIDE=FY","FILING_STATUS=MR","SCALING_FORMAT=MLN","Sort=A","Dates=H","DateFormat=P","Fill=—","Direction=H","UseDPDF=Y")</f>
        <v>2305</v>
      </c>
      <c r="J24" s="16">
        <f>_xll.BDH("MCHP US Equity","BS_CUR_ASSET_REPORT","FY 2018","FY 2018","Currency=USD","Period=FY","BEST_FPERIOD_OVERRIDE=FY","FILING_STATUS=MR","SCALING_FORMAT=MLN","Sort=A","Dates=H","DateFormat=P","Fill=—","Direction=H","UseDPDF=Y")</f>
        <v>3356.3</v>
      </c>
      <c r="K24" s="16">
        <f>_xll.BDH("MCHP US Equity","BS_CUR_ASSET_REPORT","FY 2019","FY 2019","Currency=USD","Period=FY","BEST_FPERIOD_OVERRIDE=FY","FILING_STATUS=MR","SCALING_FORMAT=MLN","Sort=A","Dates=H","DateFormat=P","Fill=—","Direction=H","UseDPDF=Y")</f>
        <v>2214.8000000000002</v>
      </c>
      <c r="L24" s="16">
        <f>_xll.BDH("MCHP US Equity","BS_CUR_ASSET_REPORT","FY 2020","FY 2020","Currency=USD","Period=FY","BEST_FPERIOD_OVERRIDE=FY","FILING_STATUS=MR","SCALING_FORMAT=MLN","Sort=A","Dates=H","DateFormat=P","Fill=—","Direction=H","UseDPDF=Y")</f>
        <v>2217.1999999999998</v>
      </c>
    </row>
    <row r="25" spans="1:12" x14ac:dyDescent="0.45">
      <c r="A25" s="10" t="s">
        <v>62</v>
      </c>
      <c r="B25" s="10" t="s">
        <v>63</v>
      </c>
      <c r="C25" s="13">
        <f>_xll.BDH("MCHP US Equity","BS_NET_FIX_ASSET","FY 2011","FY 2011","Currency=USD","Period=FY","BEST_FPERIOD_OVERRIDE=FY","FILING_STATUS=MR","SCALING_FORMAT=MLN","Sort=A","Dates=H","DateFormat=P","Fill=—","Direction=H","UseDPDF=Y")</f>
        <v>540.51300000000003</v>
      </c>
      <c r="D25" s="13">
        <f>_xll.BDH("MCHP US Equity","BS_NET_FIX_ASSET","FY 2012","FY 2012","Currency=USD","Period=FY","BEST_FPERIOD_OVERRIDE=FY","FILING_STATUS=MR","SCALING_FORMAT=MLN","Sort=A","Dates=H","DateFormat=P","Fill=—","Direction=H","UseDPDF=Y")</f>
        <v>516.61099999999999</v>
      </c>
      <c r="E25" s="13">
        <f>_xll.BDH("MCHP US Equity","BS_NET_FIX_ASSET","FY 2013","FY 2013","Currency=USD","Period=FY","BEST_FPERIOD_OVERRIDE=FY","FILING_STATUS=MR","SCALING_FORMAT=MLN","Sort=A","Dates=H","DateFormat=P","Fill=—","Direction=H","UseDPDF=Y")</f>
        <v>514.54399999999998</v>
      </c>
      <c r="F25" s="13">
        <f>_xll.BDH("MCHP US Equity","BS_NET_FIX_ASSET","FY 2014","FY 2014","Currency=USD","Period=FY","BEST_FPERIOD_OVERRIDE=FY","FILING_STATUS=MR","SCALING_FORMAT=MLN","Sort=A","Dates=H","DateFormat=P","Fill=—","Direction=H","UseDPDF=Y")</f>
        <v>531.96699999999998</v>
      </c>
      <c r="G25" s="13">
        <f>_xll.BDH("MCHP US Equity","BS_NET_FIX_ASSET","FY 2015","FY 2015","Currency=USD","Period=FY","BEST_FPERIOD_OVERRIDE=FY","FILING_STATUS=MR","SCALING_FORMAT=MLN","Sort=A","Dates=H","DateFormat=P","Fill=—","Direction=H","UseDPDF=Y")</f>
        <v>581.572</v>
      </c>
      <c r="H25" s="13">
        <f>_xll.BDH("MCHP US Equity","BS_NET_FIX_ASSET","FY 2016","FY 2016","Currency=USD","Period=FY","BEST_FPERIOD_OVERRIDE=FY","FILING_STATUS=MR","SCALING_FORMAT=MLN","Sort=A","Dates=H","DateFormat=P","Fill=—","Direction=H","UseDPDF=Y")</f>
        <v>609.39599999999996</v>
      </c>
      <c r="I25" s="13">
        <f>_xll.BDH("MCHP US Equity","BS_NET_FIX_ASSET","FY 2017","FY 2017","Currency=USD","Period=FY","BEST_FPERIOD_OVERRIDE=FY","FILING_STATUS=MR","SCALING_FORMAT=MLN","Sort=A","Dates=H","DateFormat=P","Fill=—","Direction=H","UseDPDF=Y")</f>
        <v>683.3</v>
      </c>
      <c r="J25" s="13">
        <f>_xll.BDH("MCHP US Equity","BS_NET_FIX_ASSET","FY 2018","FY 2018","Currency=USD","Period=FY","BEST_FPERIOD_OVERRIDE=FY","FILING_STATUS=MR","SCALING_FORMAT=MLN","Sort=A","Dates=H","DateFormat=P","Fill=—","Direction=H","UseDPDF=Y")</f>
        <v>767.9</v>
      </c>
      <c r="K25" s="13">
        <f>_xll.BDH("MCHP US Equity","BS_NET_FIX_ASSET","FY 2019","FY 2019","Currency=USD","Period=FY","BEST_FPERIOD_OVERRIDE=FY","FILING_STATUS=MR","SCALING_FORMAT=MLN","Sort=A","Dates=H","DateFormat=P","Fill=—","Direction=H","UseDPDF=Y")</f>
        <v>996.7</v>
      </c>
      <c r="L25" s="13">
        <f>_xll.BDH("MCHP US Equity","BS_NET_FIX_ASSET","FY 2020","FY 2020","Currency=USD","Period=FY","BEST_FPERIOD_OVERRIDE=FY","FILING_STATUS=MR","SCALING_FORMAT=MLN","Sort=A","Dates=H","DateFormat=P","Fill=—","Direction=H","UseDPDF=Y")</f>
        <v>995.6</v>
      </c>
    </row>
    <row r="26" spans="1:12" x14ac:dyDescent="0.45">
      <c r="A26" s="10" t="s">
        <v>64</v>
      </c>
      <c r="B26" s="10" t="s">
        <v>65</v>
      </c>
      <c r="C26" s="13">
        <f>_xll.BDH("MCHP US Equity","BS_GROSS_FIX_ASSET","FY 2011","FY 2011","Currency=USD","Period=FY","BEST_FPERIOD_OVERRIDE=FY","FILING_STATUS=MR","SCALING_FORMAT=MLN","Sort=A","Dates=H","DateFormat=P","Fill=—","Direction=H","UseDPDF=Y")</f>
        <v>1829.6769999999999</v>
      </c>
      <c r="D26" s="13">
        <f>_xll.BDH("MCHP US Equity","BS_GROSS_FIX_ASSET","FY 2012","FY 2012","Currency=USD","Period=FY","BEST_FPERIOD_OVERRIDE=FY","FILING_STATUS=MR","SCALING_FORMAT=MLN","Sort=A","Dates=H","DateFormat=P","Fill=—","Direction=H","UseDPDF=Y")</f>
        <v>1818.55</v>
      </c>
      <c r="E26" s="13">
        <f>_xll.BDH("MCHP US Equity","BS_GROSS_FIX_ASSET","FY 2013","FY 2013","Currency=USD","Period=FY","BEST_FPERIOD_OVERRIDE=FY","FILING_STATUS=MR","SCALING_FORMAT=MLN","Sort=A","Dates=H","DateFormat=P","Fill=—","Direction=H","UseDPDF=Y")</f>
        <v>1897.6849999999999</v>
      </c>
      <c r="F26" s="13">
        <f>_xll.BDH("MCHP US Equity","BS_GROSS_FIX_ASSET","FY 2014","FY 2014","Currency=USD","Period=FY","BEST_FPERIOD_OVERRIDE=FY","FILING_STATUS=MR","SCALING_FORMAT=MLN","Sort=A","Dates=H","DateFormat=P","Fill=—","Direction=H","UseDPDF=Y")</f>
        <v>2001.019</v>
      </c>
      <c r="G26" s="13">
        <f>_xll.BDH("MCHP US Equity","BS_GROSS_FIX_ASSET","FY 2015","FY 2015","Currency=USD","Period=FY","BEST_FPERIOD_OVERRIDE=FY","FILING_STATUS=MR","SCALING_FORMAT=MLN","Sort=A","Dates=H","DateFormat=P","Fill=—","Direction=H","UseDPDF=Y")</f>
        <v>2142.4160000000002</v>
      </c>
      <c r="H26" s="13">
        <f>_xll.BDH("MCHP US Equity","BS_GROSS_FIX_ASSET","FY 2016","FY 2016","Currency=USD","Period=FY","BEST_FPERIOD_OVERRIDE=FY","FILING_STATUS=MR","SCALING_FORMAT=MLN","Sort=A","Dates=H","DateFormat=P","Fill=—","Direction=H","UseDPDF=Y")</f>
        <v>2267.2730000000001</v>
      </c>
      <c r="I26" s="13">
        <f>_xll.BDH("MCHP US Equity","BS_GROSS_FIX_ASSET","FY 2017","FY 2017","Currency=USD","Period=FY","BEST_FPERIOD_OVERRIDE=FY","FILING_STATUS=MR","SCALING_FORMAT=MLN","Sort=A","Dates=H","DateFormat=P","Fill=—","Direction=H","UseDPDF=Y")</f>
        <v>2452.3000000000002</v>
      </c>
      <c r="J26" s="13">
        <f>_xll.BDH("MCHP US Equity","BS_GROSS_FIX_ASSET","FY 2018","FY 2018","Currency=USD","Period=FY","BEST_FPERIOD_OVERRIDE=FY","FILING_STATUS=MR","SCALING_FORMAT=MLN","Sort=A","Dates=H","DateFormat=P","Fill=—","Direction=H","UseDPDF=Y")</f>
        <v>2644.1</v>
      </c>
      <c r="K26" s="13">
        <f>_xll.BDH("MCHP US Equity","BS_GROSS_FIX_ASSET","FY 2019","FY 2019","Currency=USD","Period=FY","BEST_FPERIOD_OVERRIDE=FY","FILING_STATUS=MR","SCALING_FORMAT=MLN","Sort=A","Dates=H","DateFormat=P","Fill=—","Direction=H","UseDPDF=Y")</f>
        <v>2945.7</v>
      </c>
      <c r="L26" s="13">
        <f>_xll.BDH("MCHP US Equity","BS_GROSS_FIX_ASSET","FY 2020","FY 2020","Currency=USD","Period=FY","BEST_FPERIOD_OVERRIDE=FY","FILING_STATUS=MR","SCALING_FORMAT=MLN","Sort=A","Dates=H","DateFormat=P","Fill=—","Direction=H","UseDPDF=Y")</f>
        <v>3085.6</v>
      </c>
    </row>
    <row r="27" spans="1:12" x14ac:dyDescent="0.45">
      <c r="A27" s="10" t="s">
        <v>66</v>
      </c>
      <c r="B27" s="10" t="s">
        <v>67</v>
      </c>
      <c r="C27" s="13">
        <f>_xll.BDH("MCHP US Equity","BS_ACCUM_DEPR","FY 2011","FY 2011","Currency=USD","Period=FY","BEST_FPERIOD_OVERRIDE=FY","FILING_STATUS=MR","SCALING_FORMAT=MLN","Sort=A","Dates=H","DateFormat=P","Fill=—","Direction=H","UseDPDF=Y")</f>
        <v>1289.164</v>
      </c>
      <c r="D27" s="13">
        <f>_xll.BDH("MCHP US Equity","BS_ACCUM_DEPR","FY 2012","FY 2012","Currency=USD","Period=FY","BEST_FPERIOD_OVERRIDE=FY","FILING_STATUS=MR","SCALING_FORMAT=MLN","Sort=A","Dates=H","DateFormat=P","Fill=—","Direction=H","UseDPDF=Y")</f>
        <v>1301.9390000000001</v>
      </c>
      <c r="E27" s="13">
        <f>_xll.BDH("MCHP US Equity","BS_ACCUM_DEPR","FY 2013","FY 2013","Currency=USD","Period=FY","BEST_FPERIOD_OVERRIDE=FY","FILING_STATUS=MR","SCALING_FORMAT=MLN","Sort=A","Dates=H","DateFormat=P","Fill=—","Direction=H","UseDPDF=Y")</f>
        <v>1383.1410000000001</v>
      </c>
      <c r="F27" s="13">
        <f>_xll.BDH("MCHP US Equity","BS_ACCUM_DEPR","FY 2014","FY 2014","Currency=USD","Period=FY","BEST_FPERIOD_OVERRIDE=FY","FILING_STATUS=MR","SCALING_FORMAT=MLN","Sort=A","Dates=H","DateFormat=P","Fill=—","Direction=H","UseDPDF=Y")</f>
        <v>1469.0519999999999</v>
      </c>
      <c r="G27" s="13">
        <f>_xll.BDH("MCHP US Equity","BS_ACCUM_DEPR","FY 2015","FY 2015","Currency=USD","Period=FY","BEST_FPERIOD_OVERRIDE=FY","FILING_STATUS=MR","SCALING_FORMAT=MLN","Sort=A","Dates=H","DateFormat=P","Fill=—","Direction=H","UseDPDF=Y")</f>
        <v>1560.8440000000001</v>
      </c>
      <c r="H27" s="13">
        <f>_xll.BDH("MCHP US Equity","BS_ACCUM_DEPR","FY 2016","FY 2016","Currency=USD","Period=FY","BEST_FPERIOD_OVERRIDE=FY","FILING_STATUS=MR","SCALING_FORMAT=MLN","Sort=A","Dates=H","DateFormat=P","Fill=—","Direction=H","UseDPDF=Y")</f>
        <v>1657.877</v>
      </c>
      <c r="I27" s="13">
        <f>_xll.BDH("MCHP US Equity","BS_ACCUM_DEPR","FY 2017","FY 2017","Currency=USD","Period=FY","BEST_FPERIOD_OVERRIDE=FY","FILING_STATUS=MR","SCALING_FORMAT=MLN","Sort=A","Dates=H","DateFormat=P","Fill=—","Direction=H","UseDPDF=Y")</f>
        <v>1769</v>
      </c>
      <c r="J27" s="13">
        <f>_xll.BDH("MCHP US Equity","BS_ACCUM_DEPR","FY 2018","FY 2018","Currency=USD","Period=FY","BEST_FPERIOD_OVERRIDE=FY","FILING_STATUS=MR","SCALING_FORMAT=MLN","Sort=A","Dates=H","DateFormat=P","Fill=—","Direction=H","UseDPDF=Y")</f>
        <v>1876.2</v>
      </c>
      <c r="K27" s="13">
        <f>_xll.BDH("MCHP US Equity","BS_ACCUM_DEPR","FY 2019","FY 2019","Currency=USD","Period=FY","BEST_FPERIOD_OVERRIDE=FY","FILING_STATUS=MR","SCALING_FORMAT=MLN","Sort=A","Dates=H","DateFormat=P","Fill=—","Direction=H","UseDPDF=Y")</f>
        <v>1949</v>
      </c>
      <c r="L27" s="13">
        <f>_xll.BDH("MCHP US Equity","BS_ACCUM_DEPR","FY 2020","FY 2020","Currency=USD","Period=FY","BEST_FPERIOD_OVERRIDE=FY","FILING_STATUS=MR","SCALING_FORMAT=MLN","Sort=A","Dates=H","DateFormat=P","Fill=—","Direction=H","UseDPDF=Y")</f>
        <v>2090</v>
      </c>
    </row>
    <row r="28" spans="1:12" x14ac:dyDescent="0.45">
      <c r="A28" s="10" t="s">
        <v>68</v>
      </c>
      <c r="B28" s="10" t="s">
        <v>69</v>
      </c>
      <c r="C28" s="13">
        <f>_xll.BDH("MCHP US Equity","BS_LT_INVEST","FY 2011","FY 2011","Currency=USD","Period=FY","BEST_FPERIOD_OVERRIDE=FY","FILING_STATUS=MR","SCALING_FORMAT=MLN","Sort=A","Dates=H","DateFormat=P","Fill=—","Direction=H","UseDPDF=Y")</f>
        <v>464.83800000000002</v>
      </c>
      <c r="D28" s="13">
        <f>_xll.BDH("MCHP US Equity","BS_LT_INVEST","FY 2012","FY 2012","Currency=USD","Period=FY","BEST_FPERIOD_OVERRIDE=FY","FILING_STATUS=MR","SCALING_FORMAT=MLN","Sort=A","Dates=H","DateFormat=P","Fill=—","Direction=H","UseDPDF=Y")</f>
        <v>328.58600000000001</v>
      </c>
      <c r="E28" s="13">
        <f>_xll.BDH("MCHP US Equity","BS_LT_INVEST","FY 2013","FY 2013","Currency=USD","Period=FY","BEST_FPERIOD_OVERRIDE=FY","FILING_STATUS=MR","SCALING_FORMAT=MLN","Sort=A","Dates=H","DateFormat=P","Fill=—","Direction=H","UseDPDF=Y")</f>
        <v>257.45</v>
      </c>
      <c r="F28" s="13">
        <f>_xll.BDH("MCHP US Equity","BS_LT_INVEST","FY 2014","FY 2014","Currency=USD","Period=FY","BEST_FPERIOD_OVERRIDE=FY","FILING_STATUS=MR","SCALING_FORMAT=MLN","Sort=A","Dates=H","DateFormat=P","Fill=—","Direction=H","UseDPDF=Y")</f>
        <v>798.71199999999999</v>
      </c>
      <c r="G28" s="13">
        <f>_xll.BDH("MCHP US Equity","BS_LT_INVEST","FY 2015","FY 2015","Currency=USD","Period=FY","BEST_FPERIOD_OVERRIDE=FY","FILING_STATUS=MR","SCALING_FORMAT=MLN","Sort=A","Dates=H","DateFormat=P","Fill=—","Direction=H","UseDPDF=Y")</f>
        <v>383.32600000000002</v>
      </c>
      <c r="H28" s="13">
        <f>_xll.BDH("MCHP US Equity","BS_LT_INVEST","FY 2016","FY 2016","Currency=USD","Period=FY","BEST_FPERIOD_OVERRIDE=FY","FILING_STATUS=MR","SCALING_FORMAT=MLN","Sort=A","Dates=H","DateFormat=P","Fill=—","Direction=H","UseDPDF=Y")</f>
        <v>118.54900000000001</v>
      </c>
      <c r="I28" s="13">
        <f>_xll.BDH("MCHP US Equity","BS_LT_INVEST","FY 2017","FY 2017","Currency=USD","Period=FY","BEST_FPERIOD_OVERRIDE=FY","FILING_STATUS=MR","SCALING_FORMAT=MLN","Sort=A","Dates=H","DateFormat=P","Fill=—","Direction=H","UseDPDF=Y")</f>
        <v>107.5</v>
      </c>
      <c r="J28" s="13">
        <f>_xll.BDH("MCHP US Equity","BS_LT_INVEST","FY 2018","FY 2018","Currency=USD","Period=FY","BEST_FPERIOD_OVERRIDE=FY","FILING_STATUS=MR","SCALING_FORMAT=MLN","Sort=A","Dates=H","DateFormat=P","Fill=—","Direction=H","UseDPDF=Y")</f>
        <v>0</v>
      </c>
      <c r="K28" s="13">
        <f>_xll.BDH("MCHP US Equity","BS_LT_INVEST","FY 2019","FY 2019","Currency=USD","Period=FY","BEST_FPERIOD_OVERRIDE=FY","FILING_STATUS=MR","SCALING_FORMAT=MLN","Sort=A","Dates=H","DateFormat=P","Fill=—","Direction=H","UseDPDF=Y")</f>
        <v>0</v>
      </c>
      <c r="L28" s="13">
        <f>_xll.BDH("MCHP US Equity","BS_LT_INVEST","FY 2020","FY 2020","Currency=USD","Period=FY","BEST_FPERIOD_OVERRIDE=FY","FILING_STATUS=MR","SCALING_FORMAT=MLN","Sort=A","Dates=H","DateFormat=P","Fill=—","Direction=H","UseDPDF=Y")</f>
        <v>0</v>
      </c>
    </row>
    <row r="29" spans="1:12" x14ac:dyDescent="0.45">
      <c r="A29" s="10" t="s">
        <v>70</v>
      </c>
      <c r="B29" s="10" t="s">
        <v>71</v>
      </c>
      <c r="C29" s="13">
        <f>_xll.BDH("MCHP US Equity","BS_LONG_TERM_INVESTMENTS","FY 2011","FY 2011","Currency=USD","Period=FY","BEST_FPERIOD_OVERRIDE=FY","FILING_STATUS=MR","SCALING_FORMAT=MLN","Sort=A","Dates=H","DateFormat=P","Fill=—","Direction=H","UseDPDF=Y")</f>
        <v>464.83800000000002</v>
      </c>
      <c r="D29" s="13">
        <f>_xll.BDH("MCHP US Equity","BS_LONG_TERM_INVESTMENTS","FY 2012","FY 2012","Currency=USD","Period=FY","BEST_FPERIOD_OVERRIDE=FY","FILING_STATUS=MR","SCALING_FORMAT=MLN","Sort=A","Dates=H","DateFormat=P","Fill=—","Direction=H","UseDPDF=Y")</f>
        <v>328.58600000000001</v>
      </c>
      <c r="E29" s="13">
        <f>_xll.BDH("MCHP US Equity","BS_LONG_TERM_INVESTMENTS","FY 2013","FY 2013","Currency=USD","Period=FY","BEST_FPERIOD_OVERRIDE=FY","FILING_STATUS=MR","SCALING_FORMAT=MLN","Sort=A","Dates=H","DateFormat=P","Fill=—","Direction=H","UseDPDF=Y")</f>
        <v>257.45</v>
      </c>
      <c r="F29" s="13">
        <f>_xll.BDH("MCHP US Equity","BS_LONG_TERM_INVESTMENTS","FY 2014","FY 2014","Currency=USD","Period=FY","BEST_FPERIOD_OVERRIDE=FY","FILING_STATUS=MR","SCALING_FORMAT=MLN","Sort=A","Dates=H","DateFormat=P","Fill=—","Direction=H","UseDPDF=Y")</f>
        <v>798.71199999999999</v>
      </c>
      <c r="G29" s="13">
        <f>_xll.BDH("MCHP US Equity","BS_LONG_TERM_INVESTMENTS","FY 2015","FY 2015","Currency=USD","Period=FY","BEST_FPERIOD_OVERRIDE=FY","FILING_STATUS=MR","SCALING_FORMAT=MLN","Sort=A","Dates=H","DateFormat=P","Fill=—","Direction=H","UseDPDF=Y")</f>
        <v>383.32600000000002</v>
      </c>
      <c r="H29" s="13">
        <f>_xll.BDH("MCHP US Equity","BS_LONG_TERM_INVESTMENTS","FY 2016","FY 2016","Currency=USD","Period=FY","BEST_FPERIOD_OVERRIDE=FY","FILING_STATUS=MR","SCALING_FORMAT=MLN","Sort=A","Dates=H","DateFormat=P","Fill=—","Direction=H","UseDPDF=Y")</f>
        <v>118.54900000000001</v>
      </c>
      <c r="I29" s="13">
        <f>_xll.BDH("MCHP US Equity","BS_LONG_TERM_INVESTMENTS","FY 2017","FY 2017","Currency=USD","Period=FY","BEST_FPERIOD_OVERRIDE=FY","FILING_STATUS=MR","SCALING_FORMAT=MLN","Sort=A","Dates=H","DateFormat=P","Fill=—","Direction=H","UseDPDF=Y")</f>
        <v>107.5</v>
      </c>
      <c r="J29" s="13">
        <f>_xll.BDH("MCHP US Equity","BS_LONG_TERM_INVESTMENTS","FY 2018","FY 2018","Currency=USD","Period=FY","BEST_FPERIOD_OVERRIDE=FY","FILING_STATUS=MR","SCALING_FORMAT=MLN","Sort=A","Dates=H","DateFormat=P","Fill=—","Direction=H","UseDPDF=Y")</f>
        <v>0</v>
      </c>
      <c r="K29" s="13">
        <f>_xll.BDH("MCHP US Equity","BS_LONG_TERM_INVESTMENTS","FY 2019","FY 2019","Currency=USD","Period=FY","BEST_FPERIOD_OVERRIDE=FY","FILING_STATUS=MR","SCALING_FORMAT=MLN","Sort=A","Dates=H","DateFormat=P","Fill=—","Direction=H","UseDPDF=Y")</f>
        <v>0</v>
      </c>
      <c r="L29" s="13">
        <f>_xll.BDH("MCHP US Equity","BS_LONG_TERM_INVESTMENTS","FY 2020","FY 2020","Currency=USD","Period=FY","BEST_FPERIOD_OVERRIDE=FY","FILING_STATUS=MR","SCALING_FORMAT=MLN","Sort=A","Dates=H","DateFormat=P","Fill=—","Direction=H","UseDPDF=Y")</f>
        <v>0</v>
      </c>
    </row>
    <row r="30" spans="1:12" x14ac:dyDescent="0.45">
      <c r="A30" s="10" t="s">
        <v>72</v>
      </c>
      <c r="B30" s="10" t="s">
        <v>73</v>
      </c>
      <c r="C30" s="13">
        <f>_xll.BDH("MCHP US Equity","BS_OTHER_ASSETS_DEF_CHRG_OTHER","FY 2011","FY 2011","Currency=USD","Period=FY","BEST_FPERIOD_OVERRIDE=FY","FILING_STATUS=MR","SCALING_FORMAT=MLN","Sort=A","Dates=H","DateFormat=P","Fill=—","Direction=H","UseDPDF=Y")</f>
        <v>187.72399999999999</v>
      </c>
      <c r="D30" s="13">
        <f>_xll.BDH("MCHP US Equity","BS_OTHER_ASSETS_DEF_CHRG_OTHER","FY 2012","FY 2012","Currency=USD","Period=FY","BEST_FPERIOD_OVERRIDE=FY","FILING_STATUS=MR","SCALING_FORMAT=MLN","Sort=A","Dates=H","DateFormat=P","Fill=—","Direction=H","UseDPDF=Y")</f>
        <v>222.71799999999999</v>
      </c>
      <c r="E30" s="13">
        <f>_xll.BDH("MCHP US Equity","BS_OTHER_ASSETS_DEF_CHRG_OTHER","FY 2013","FY 2013","Currency=USD","Period=FY","BEST_FPERIOD_OVERRIDE=FY","FILING_STATUS=MR","SCALING_FORMAT=MLN","Sort=A","Dates=H","DateFormat=P","Fill=—","Direction=H","UseDPDF=Y")</f>
        <v>843.04100000000005</v>
      </c>
      <c r="F30" s="13">
        <f>_xll.BDH("MCHP US Equity","BS_OTHER_ASSETS_DEF_CHRG_OTHER","FY 2014","FY 2014","Currency=USD","Period=FY","BEST_FPERIOD_OVERRIDE=FY","FILING_STATUS=MR","SCALING_FORMAT=MLN","Sort=A","Dates=H","DateFormat=P","Fill=—","Direction=H","UseDPDF=Y")</f>
        <v>767.55200000000002</v>
      </c>
      <c r="G30" s="13">
        <f>_xll.BDH("MCHP US Equity","BS_OTHER_ASSETS_DEF_CHRG_OTHER","FY 2015","FY 2015","Currency=USD","Period=FY","BEST_FPERIOD_OVERRIDE=FY","FILING_STATUS=MR","SCALING_FORMAT=MLN","Sort=A","Dates=H","DateFormat=P","Fill=—","Direction=H","UseDPDF=Y")</f>
        <v>1151.1980000000001</v>
      </c>
      <c r="H30" s="13">
        <f>_xll.BDH("MCHP US Equity","BS_OTHER_ASSETS_DEF_CHRG_OTHER","FY 2016","FY 2016","Currency=USD","Period=FY","BEST_FPERIOD_OVERRIDE=FY","FILING_STATUS=MR","SCALING_FORMAT=MLN","Sort=A","Dates=H","DateFormat=P","Fill=—","Direction=H","UseDPDF=Y")</f>
        <v>1713.2249999999999</v>
      </c>
      <c r="I30" s="13">
        <f>_xll.BDH("MCHP US Equity","BS_OTHER_ASSETS_DEF_CHRG_OTHER","FY 2017","FY 2017","Currency=USD","Period=FY","BEST_FPERIOD_OVERRIDE=FY","FILING_STATUS=MR","SCALING_FORMAT=MLN","Sort=A","Dates=H","DateFormat=P","Fill=—","Direction=H","UseDPDF=Y")</f>
        <v>4591.1000000000004</v>
      </c>
      <c r="J30" s="13">
        <f>_xll.BDH("MCHP US Equity","BS_OTHER_ASSETS_DEF_CHRG_OTHER","FY 2018","FY 2018","Currency=USD","Period=FY","BEST_FPERIOD_OVERRIDE=FY","FILING_STATUS=MR","SCALING_FORMAT=MLN","Sort=A","Dates=H","DateFormat=P","Fill=—","Direction=H","UseDPDF=Y")</f>
        <v>4133</v>
      </c>
      <c r="K30" s="13">
        <f>_xll.BDH("MCHP US Equity","BS_OTHER_ASSETS_DEF_CHRG_OTHER","FY 2019","FY 2019","Currency=USD","Period=FY","BEST_FPERIOD_OVERRIDE=FY","FILING_STATUS=MR","SCALING_FORMAT=MLN","Sort=A","Dates=H","DateFormat=P","Fill=—","Direction=H","UseDPDF=Y")</f>
        <v>15138.5</v>
      </c>
      <c r="L30" s="13">
        <f>_xll.BDH("MCHP US Equity","BS_OTHER_ASSETS_DEF_CHRG_OTHER","FY 2020","FY 2020","Currency=USD","Period=FY","BEST_FPERIOD_OVERRIDE=FY","FILING_STATUS=MR","SCALING_FORMAT=MLN","Sort=A","Dates=H","DateFormat=P","Fill=—","Direction=H","UseDPDF=Y")</f>
        <v>14213.3</v>
      </c>
    </row>
    <row r="31" spans="1:12" x14ac:dyDescent="0.45">
      <c r="A31" s="10" t="s">
        <v>74</v>
      </c>
      <c r="B31" s="10" t="s">
        <v>75</v>
      </c>
      <c r="C31" s="13">
        <f>_xll.BDH("MCHP US Equity","BS_DISCLOSED_INTANGIBLES","FY 2011","FY 2011","Currency=USD","Period=FY","BEST_FPERIOD_OVERRIDE=FY","FILING_STATUS=MR","SCALING_FORMAT=MLN","Sort=A","Dates=H","DateFormat=P","Fill=—","Direction=H","UseDPDF=Y")</f>
        <v>153.947</v>
      </c>
      <c r="D31" s="13">
        <f>_xll.BDH("MCHP US Equity","BS_DISCLOSED_INTANGIBLES","FY 2012","FY 2012","Currency=USD","Period=FY","BEST_FPERIOD_OVERRIDE=FY","FILING_STATUS=MR","SCALING_FORMAT=MLN","Sort=A","Dates=H","DateFormat=P","Fill=—","Direction=H","UseDPDF=Y")</f>
        <v>183.94900000000001</v>
      </c>
      <c r="E31" s="13">
        <f>_xll.BDH("MCHP US Equity","BS_DISCLOSED_INTANGIBLES","FY 2013","FY 2013","Currency=USD","Period=FY","BEST_FPERIOD_OVERRIDE=FY","FILING_STATUS=MR","SCALING_FORMAT=MLN","Sort=A","Dates=H","DateFormat=P","Fill=—","Direction=H","UseDPDF=Y")</f>
        <v>801.48400000000004</v>
      </c>
      <c r="F31" s="13">
        <f>_xll.BDH("MCHP US Equity","BS_DISCLOSED_INTANGIBLES","FY 2014","FY 2014","Currency=USD","Period=FY","BEST_FPERIOD_OVERRIDE=FY","FILING_STATUS=MR","SCALING_FORMAT=MLN","Sort=A","Dates=H","DateFormat=P","Fill=—","Direction=H","UseDPDF=Y")</f>
        <v>721.596</v>
      </c>
      <c r="G31" s="13">
        <f>_xll.BDH("MCHP US Equity","BS_DISCLOSED_INTANGIBLES","FY 2015","FY 2015","Currency=USD","Period=FY","BEST_FPERIOD_OVERRIDE=FY","FILING_STATUS=MR","SCALING_FORMAT=MLN","Sort=A","Dates=H","DateFormat=P","Fill=—","Direction=H","UseDPDF=Y")</f>
        <v>1075.6880000000001</v>
      </c>
      <c r="H31" s="13">
        <f>_xll.BDH("MCHP US Equity","BS_DISCLOSED_INTANGIBLES","FY 2016","FY 2016","Currency=USD","Period=FY","BEST_FPERIOD_OVERRIDE=FY","FILING_STATUS=MR","SCALING_FORMAT=MLN","Sort=A","Dates=H","DateFormat=P","Fill=—","Direction=H","UseDPDF=Y")</f>
        <v>1619.001</v>
      </c>
      <c r="I31" s="13">
        <f>_xll.BDH("MCHP US Equity","BS_DISCLOSED_INTANGIBLES","FY 2017","FY 2017","Currency=USD","Period=FY","BEST_FPERIOD_OVERRIDE=FY","FILING_STATUS=MR","SCALING_FORMAT=MLN","Sort=A","Dates=H","DateFormat=P","Fill=—","Direction=H","UseDPDF=Y")</f>
        <v>4447.1000000000004</v>
      </c>
      <c r="J31" s="13">
        <f>_xll.BDH("MCHP US Equity","BS_DISCLOSED_INTANGIBLES","FY 2018","FY 2018","Currency=USD","Period=FY","BEST_FPERIOD_OVERRIDE=FY","FILING_STATUS=MR","SCALING_FORMAT=MLN","Sort=A","Dates=H","DateFormat=P","Fill=—","Direction=H","UseDPDF=Y")</f>
        <v>3961</v>
      </c>
      <c r="K31" s="13">
        <f>_xll.BDH("MCHP US Equity","BS_DISCLOSED_INTANGIBLES","FY 2019","FY 2019","Currency=USD","Period=FY","BEST_FPERIOD_OVERRIDE=FY","FILING_STATUS=MR","SCALING_FORMAT=MLN","Sort=A","Dates=H","DateFormat=P","Fill=—","Direction=H","UseDPDF=Y")</f>
        <v>13349.5</v>
      </c>
      <c r="L31" s="13">
        <f>_xll.BDH("MCHP US Equity","BS_DISCLOSED_INTANGIBLES","FY 2020","FY 2020","Currency=USD","Period=FY","BEST_FPERIOD_OVERRIDE=FY","FILING_STATUS=MR","SCALING_FORMAT=MLN","Sort=A","Dates=H","DateFormat=P","Fill=—","Direction=H","UseDPDF=Y")</f>
        <v>12367.1</v>
      </c>
    </row>
    <row r="32" spans="1:12" x14ac:dyDescent="0.45">
      <c r="A32" s="11" t="s">
        <v>76</v>
      </c>
      <c r="B32" s="11" t="s">
        <v>77</v>
      </c>
      <c r="C32" s="17">
        <f>_xll.BDH("MCHP US Equity","BS_GOODWILL","FY 2011","FY 2011","Currency=USD","Period=FY","BEST_FPERIOD_OVERRIDE=FY","FILING_STATUS=MR","SCALING_FORMAT=MLN","Sort=A","Dates=H","DateFormat=P","Fill=—","Direction=H","UseDPDF=Y")</f>
        <v>76.018000000000001</v>
      </c>
      <c r="D32" s="17">
        <f>_xll.BDH("MCHP US Equity","BS_GOODWILL","FY 2012","FY 2012","Currency=USD","Period=FY","BEST_FPERIOD_OVERRIDE=FY","FILING_STATUS=MR","SCALING_FORMAT=MLN","Sort=A","Dates=H","DateFormat=P","Fill=—","Direction=H","UseDPDF=Y")</f>
        <v>93.513000000000005</v>
      </c>
      <c r="E32" s="17">
        <f>_xll.BDH("MCHP US Equity","BS_GOODWILL","FY 2013","FY 2013","Currency=USD","Period=FY","BEST_FPERIOD_OVERRIDE=FY","FILING_STATUS=MR","SCALING_FORMAT=MLN","Sort=A","Dates=H","DateFormat=P","Fill=—","Direction=H","UseDPDF=Y")</f>
        <v>271.34800000000001</v>
      </c>
      <c r="F32" s="17">
        <f>_xll.BDH("MCHP US Equity","BS_GOODWILL","FY 2014","FY 2014","Currency=USD","Period=FY","BEST_FPERIOD_OVERRIDE=FY","FILING_STATUS=MR","SCALING_FORMAT=MLN","Sort=A","Dates=H","DateFormat=P","Fill=—","Direction=H","UseDPDF=Y")</f>
        <v>276.09699999999998</v>
      </c>
      <c r="G32" s="17">
        <f>_xll.BDH("MCHP US Equity","BS_GOODWILL","FY 2015","FY 2015","Currency=USD","Period=FY","BEST_FPERIOD_OVERRIDE=FY","FILING_STATUS=MR","SCALING_FORMAT=MLN","Sort=A","Dates=H","DateFormat=P","Fill=—","Direction=H","UseDPDF=Y")</f>
        <v>571.27099999999996</v>
      </c>
      <c r="H32" s="17">
        <f>_xll.BDH("MCHP US Equity","BS_GOODWILL","FY 2016","FY 2016","Currency=USD","Period=FY","BEST_FPERIOD_OVERRIDE=FY","FILING_STATUS=MR","SCALING_FORMAT=MLN","Sort=A","Dates=H","DateFormat=P","Fill=—","Direction=H","UseDPDF=Y")</f>
        <v>1012.652</v>
      </c>
      <c r="I32" s="17">
        <f>_xll.BDH("MCHP US Equity","BS_GOODWILL","FY 2017","FY 2017","Currency=USD","Period=FY","BEST_FPERIOD_OVERRIDE=FY","FILING_STATUS=MR","SCALING_FORMAT=MLN","Sort=A","Dates=H","DateFormat=P","Fill=—","Direction=H","UseDPDF=Y")</f>
        <v>2299</v>
      </c>
      <c r="J32" s="17">
        <f>_xll.BDH("MCHP US Equity","BS_GOODWILL","FY 2018","FY 2018","Currency=USD","Period=FY","BEST_FPERIOD_OVERRIDE=FY","FILING_STATUS=MR","SCALING_FORMAT=MLN","Sort=A","Dates=H","DateFormat=P","Fill=—","Direction=H","UseDPDF=Y")</f>
        <v>2299</v>
      </c>
      <c r="K32" s="17">
        <f>_xll.BDH("MCHP US Equity","BS_GOODWILL","FY 2019","FY 2019","Currency=USD","Period=FY","BEST_FPERIOD_OVERRIDE=FY","FILING_STATUS=MR","SCALING_FORMAT=MLN","Sort=A","Dates=H","DateFormat=P","Fill=—","Direction=H","UseDPDF=Y")</f>
        <v>6663.9</v>
      </c>
      <c r="L32" s="17">
        <f>_xll.BDH("MCHP US Equity","BS_GOODWILL","FY 2020","FY 2020","Currency=USD","Period=FY","BEST_FPERIOD_OVERRIDE=FY","FILING_STATUS=MR","SCALING_FORMAT=MLN","Sort=A","Dates=H","DateFormat=P","Fill=—","Direction=H","UseDPDF=Y")</f>
        <v>6664.8</v>
      </c>
    </row>
    <row r="33" spans="1:12" x14ac:dyDescent="0.45">
      <c r="A33" s="11" t="s">
        <v>78</v>
      </c>
      <c r="B33" s="11" t="s">
        <v>79</v>
      </c>
      <c r="C33" s="17">
        <f>_xll.BDH("MCHP US Equity","OTHER_INTANGIBLE_ASSETS_DETAILED","FY 2011","FY 2011","Currency=USD","Period=FY","BEST_FPERIOD_OVERRIDE=FY","FILING_STATUS=MR","SCALING_FORMAT=MLN","Sort=A","Dates=H","DateFormat=P","Fill=—","Direction=H","UseDPDF=Y")</f>
        <v>77.929000000000002</v>
      </c>
      <c r="D33" s="17">
        <f>_xll.BDH("MCHP US Equity","OTHER_INTANGIBLE_ASSETS_DETAILED","FY 2012","FY 2012","Currency=USD","Period=FY","BEST_FPERIOD_OVERRIDE=FY","FILING_STATUS=MR","SCALING_FORMAT=MLN","Sort=A","Dates=H","DateFormat=P","Fill=—","Direction=H","UseDPDF=Y")</f>
        <v>90.436000000000007</v>
      </c>
      <c r="E33" s="17">
        <f>_xll.BDH("MCHP US Equity","OTHER_INTANGIBLE_ASSETS_DETAILED","FY 2013","FY 2013","Currency=USD","Period=FY","BEST_FPERIOD_OVERRIDE=FY","FILING_STATUS=MR","SCALING_FORMAT=MLN","Sort=A","Dates=H","DateFormat=P","Fill=—","Direction=H","UseDPDF=Y")</f>
        <v>530.13599999999997</v>
      </c>
      <c r="F33" s="17">
        <f>_xll.BDH("MCHP US Equity","OTHER_INTANGIBLE_ASSETS_DETAILED","FY 2014","FY 2014","Currency=USD","Period=FY","BEST_FPERIOD_OVERRIDE=FY","FILING_STATUS=MR","SCALING_FORMAT=MLN","Sort=A","Dates=H","DateFormat=P","Fill=—","Direction=H","UseDPDF=Y")</f>
        <v>445.49900000000002</v>
      </c>
      <c r="G33" s="17">
        <f>_xll.BDH("MCHP US Equity","OTHER_INTANGIBLE_ASSETS_DETAILED","FY 2015","FY 2015","Currency=USD","Period=FY","BEST_FPERIOD_OVERRIDE=FY","FILING_STATUS=MR","SCALING_FORMAT=MLN","Sort=A","Dates=H","DateFormat=P","Fill=—","Direction=H","UseDPDF=Y")</f>
        <v>504.41699999999997</v>
      </c>
      <c r="H33" s="17">
        <f>_xll.BDH("MCHP US Equity","OTHER_INTANGIBLE_ASSETS_DETAILED","FY 2016","FY 2016","Currency=USD","Period=FY","BEST_FPERIOD_OVERRIDE=FY","FILING_STATUS=MR","SCALING_FORMAT=MLN","Sort=A","Dates=H","DateFormat=P","Fill=—","Direction=H","UseDPDF=Y")</f>
        <v>606.34900000000005</v>
      </c>
      <c r="I33" s="17">
        <f>_xll.BDH("MCHP US Equity","OTHER_INTANGIBLE_ASSETS_DETAILED","FY 2017","FY 2017","Currency=USD","Period=FY","BEST_FPERIOD_OVERRIDE=FY","FILING_STATUS=MR","SCALING_FORMAT=MLN","Sort=A","Dates=H","DateFormat=P","Fill=—","Direction=H","UseDPDF=Y")</f>
        <v>2148.1</v>
      </c>
      <c r="J33" s="17">
        <f>_xll.BDH("MCHP US Equity","OTHER_INTANGIBLE_ASSETS_DETAILED","FY 2018","FY 2018","Currency=USD","Period=FY","BEST_FPERIOD_OVERRIDE=FY","FILING_STATUS=MR","SCALING_FORMAT=MLN","Sort=A","Dates=H","DateFormat=P","Fill=—","Direction=H","UseDPDF=Y")</f>
        <v>1662</v>
      </c>
      <c r="K33" s="17">
        <f>_xll.BDH("MCHP US Equity","OTHER_INTANGIBLE_ASSETS_DETAILED","FY 2019","FY 2019","Currency=USD","Period=FY","BEST_FPERIOD_OVERRIDE=FY","FILING_STATUS=MR","SCALING_FORMAT=MLN","Sort=A","Dates=H","DateFormat=P","Fill=—","Direction=H","UseDPDF=Y")</f>
        <v>6685.6</v>
      </c>
      <c r="L33" s="17">
        <f>_xll.BDH("MCHP US Equity","OTHER_INTANGIBLE_ASSETS_DETAILED","FY 2020","FY 2020","Currency=USD","Period=FY","BEST_FPERIOD_OVERRIDE=FY","FILING_STATUS=MR","SCALING_FORMAT=MLN","Sort=A","Dates=H","DateFormat=P","Fill=—","Direction=H","UseDPDF=Y")</f>
        <v>5702.3</v>
      </c>
    </row>
    <row r="34" spans="1:12" x14ac:dyDescent="0.45">
      <c r="A34" s="10" t="s">
        <v>56</v>
      </c>
      <c r="B34" s="10" t="s">
        <v>80</v>
      </c>
      <c r="C34" s="13" t="str">
        <f>_xll.BDH("MCHP US Equity","BS_DEFERRED_TAX_ASSETS_LT","FY 2011","FY 2011","Currency=USD","Period=FY","BEST_FPERIOD_OVERRIDE=FY","FILING_STATUS=MR","SCALING_FORMAT=MLN","Sort=A","Dates=H","DateFormat=P","Fill=—","Direction=H","UseDPDF=Y")</f>
        <v>—</v>
      </c>
      <c r="D34" s="13" t="str">
        <f>_xll.BDH("MCHP US Equity","BS_DEFERRED_TAX_ASSETS_LT","FY 2012","FY 2012","Currency=USD","Period=FY","BEST_FPERIOD_OVERRIDE=FY","FILING_STATUS=MR","SCALING_FORMAT=MLN","Sort=A","Dates=H","DateFormat=P","Fill=—","Direction=H","UseDPDF=Y")</f>
        <v>—</v>
      </c>
      <c r="E34" s="13" t="str">
        <f>_xll.BDH("MCHP US Equity","BS_DEFERRED_TAX_ASSETS_LT","FY 2013","FY 2013","Currency=USD","Period=FY","BEST_FPERIOD_OVERRIDE=FY","FILING_STATUS=MR","SCALING_FORMAT=MLN","Sort=A","Dates=H","DateFormat=P","Fill=—","Direction=H","UseDPDF=Y")</f>
        <v>—</v>
      </c>
      <c r="F34" s="13" t="str">
        <f>_xll.BDH("MCHP US Equity","BS_DEFERRED_TAX_ASSETS_LT","FY 2014","FY 2014","Currency=USD","Period=FY","BEST_FPERIOD_OVERRIDE=FY","FILING_STATUS=MR","SCALING_FORMAT=MLN","Sort=A","Dates=H","DateFormat=P","Fill=—","Direction=H","UseDPDF=Y")</f>
        <v>—</v>
      </c>
      <c r="G34" s="13" t="str">
        <f>_xll.BDH("MCHP US Equity","BS_DEFERRED_TAX_ASSETS_LT","FY 2015","FY 2015","Currency=USD","Period=FY","BEST_FPERIOD_OVERRIDE=FY","FILING_STATUS=MR","SCALING_FORMAT=MLN","Sort=A","Dates=H","DateFormat=P","Fill=—","Direction=H","UseDPDF=Y")</f>
        <v>—</v>
      </c>
      <c r="H34" s="13">
        <f>_xll.BDH("MCHP US Equity","BS_DEFERRED_TAX_ASSETS_LT","FY 2016","FY 2016","Currency=USD","Period=FY","BEST_FPERIOD_OVERRIDE=FY","FILING_STATUS=MR","SCALING_FORMAT=MLN","Sort=A","Dates=H","DateFormat=P","Fill=—","Direction=H","UseDPDF=Y")</f>
        <v>14.831</v>
      </c>
      <c r="I34" s="13">
        <f>_xll.BDH("MCHP US Equity","BS_DEFERRED_TAX_ASSETS_LT","FY 2017","FY 2017","Currency=USD","Period=FY","BEST_FPERIOD_OVERRIDE=FY","FILING_STATUS=MR","SCALING_FORMAT=MLN","Sort=A","Dates=H","DateFormat=P","Fill=—","Direction=H","UseDPDF=Y")</f>
        <v>68.900000000000006</v>
      </c>
      <c r="J34" s="13">
        <f>_xll.BDH("MCHP US Equity","BS_DEFERRED_TAX_ASSETS_LT","FY 2018","FY 2018","Currency=USD","Period=FY","BEST_FPERIOD_OVERRIDE=FY","FILING_STATUS=MR","SCALING_FORMAT=MLN","Sort=A","Dates=H","DateFormat=P","Fill=—","Direction=H","UseDPDF=Y")</f>
        <v>100.2</v>
      </c>
      <c r="K34" s="13">
        <f>_xll.BDH("MCHP US Equity","BS_DEFERRED_TAX_ASSETS_LT","FY 2019","FY 2019","Currency=USD","Period=FY","BEST_FPERIOD_OVERRIDE=FY","FILING_STATUS=MR","SCALING_FORMAT=MLN","Sort=A","Dates=H","DateFormat=P","Fill=—","Direction=H","UseDPDF=Y")</f>
        <v>1677.2</v>
      </c>
      <c r="L34" s="13">
        <f>_xll.BDH("MCHP US Equity","BS_DEFERRED_TAX_ASSETS_LT","FY 2020","FY 2020","Currency=USD","Period=FY","BEST_FPERIOD_OVERRIDE=FY","FILING_STATUS=MR","SCALING_FORMAT=MLN","Sort=A","Dates=H","DateFormat=P","Fill=—","Direction=H","UseDPDF=Y")</f>
        <v>1748.5</v>
      </c>
    </row>
    <row r="35" spans="1:12" x14ac:dyDescent="0.45">
      <c r="A35" s="10" t="s">
        <v>52</v>
      </c>
      <c r="B35" s="10" t="s">
        <v>81</v>
      </c>
      <c r="C35" s="13">
        <f>_xll.BDH("MCHP US Equity","BS_DERIV_&amp;_HEDGING_ASSETS_LT","FY 2011","FY 2011","Currency=USD","Period=FY","BEST_FPERIOD_OVERRIDE=FY","FILING_STATUS=MR","SCALING_FORMAT=MLN","Sort=A","Dates=H","DateFormat=P","Fill=—","Direction=H","UseDPDF=Y")</f>
        <v>0</v>
      </c>
      <c r="D35" s="13">
        <f>_xll.BDH("MCHP US Equity","BS_DERIV_&amp;_HEDGING_ASSETS_LT","FY 2012","FY 2012","Currency=USD","Period=FY","BEST_FPERIOD_OVERRIDE=FY","FILING_STATUS=MR","SCALING_FORMAT=MLN","Sort=A","Dates=H","DateFormat=P","Fill=—","Direction=H","UseDPDF=Y")</f>
        <v>0</v>
      </c>
      <c r="E35" s="13">
        <f>_xll.BDH("MCHP US Equity","BS_DERIV_&amp;_HEDGING_ASSETS_LT","FY 2013","FY 2013","Currency=USD","Period=FY","BEST_FPERIOD_OVERRIDE=FY","FILING_STATUS=MR","SCALING_FORMAT=MLN","Sort=A","Dates=H","DateFormat=P","Fill=—","Direction=H","UseDPDF=Y")</f>
        <v>0</v>
      </c>
      <c r="F35" s="13">
        <f>_xll.BDH("MCHP US Equity","BS_DERIV_&amp;_HEDGING_ASSETS_LT","FY 2014","FY 2014","Currency=USD","Period=FY","BEST_FPERIOD_OVERRIDE=FY","FILING_STATUS=MR","SCALING_FORMAT=MLN","Sort=A","Dates=H","DateFormat=P","Fill=—","Direction=H","UseDPDF=Y")</f>
        <v>0</v>
      </c>
      <c r="G35" s="13">
        <f>_xll.BDH("MCHP US Equity","BS_DERIV_&amp;_HEDGING_ASSETS_LT","FY 2015","FY 2015","Currency=USD","Period=FY","BEST_FPERIOD_OVERRIDE=FY","FILING_STATUS=MR","SCALING_FORMAT=MLN","Sort=A","Dates=H","DateFormat=P","Fill=—","Direction=H","UseDPDF=Y")</f>
        <v>0</v>
      </c>
      <c r="H35" s="13">
        <f>_xll.BDH("MCHP US Equity","BS_DERIV_&amp;_HEDGING_ASSETS_LT","FY 2016","FY 2016","Currency=USD","Period=FY","BEST_FPERIOD_OVERRIDE=FY","FILING_STATUS=MR","SCALING_FORMAT=MLN","Sort=A","Dates=H","DateFormat=P","Fill=—","Direction=H","UseDPDF=Y")</f>
        <v>0</v>
      </c>
      <c r="I35" s="13">
        <f>_xll.BDH("MCHP US Equity","BS_DERIV_&amp;_HEDGING_ASSETS_LT","FY 2017","FY 2017","Currency=USD","Period=FY","BEST_FPERIOD_OVERRIDE=FY","FILING_STATUS=MR","SCALING_FORMAT=MLN","Sort=A","Dates=H","DateFormat=P","Fill=—","Direction=H","UseDPDF=Y")</f>
        <v>0</v>
      </c>
      <c r="J35" s="13">
        <f>_xll.BDH("MCHP US Equity","BS_DERIV_&amp;_HEDGING_ASSETS_LT","FY 2018","FY 2018","Currency=USD","Period=FY","BEST_FPERIOD_OVERRIDE=FY","FILING_STATUS=MR","SCALING_FORMAT=MLN","Sort=A","Dates=H","DateFormat=P","Fill=—","Direction=H","UseDPDF=Y")</f>
        <v>0</v>
      </c>
      <c r="K35" s="13">
        <f>_xll.BDH("MCHP US Equity","BS_DERIV_&amp;_HEDGING_ASSETS_LT","FY 2019","FY 2019","Currency=USD","Period=FY","BEST_FPERIOD_OVERRIDE=FY","FILING_STATUS=MR","SCALING_FORMAT=MLN","Sort=A","Dates=H","DateFormat=P","Fill=—","Direction=H","UseDPDF=Y")</f>
        <v>0</v>
      </c>
      <c r="L35" s="13">
        <f>_xll.BDH("MCHP US Equity","BS_DERIV_&amp;_HEDGING_ASSETS_LT","FY 2020","FY 2020","Currency=USD","Period=FY","BEST_FPERIOD_OVERRIDE=FY","FILING_STATUS=MR","SCALING_FORMAT=MLN","Sort=A","Dates=H","DateFormat=P","Fill=—","Direction=H","UseDPDF=Y")</f>
        <v>0</v>
      </c>
    </row>
    <row r="36" spans="1:12" x14ac:dyDescent="0.45">
      <c r="A36" s="10" t="s">
        <v>82</v>
      </c>
      <c r="B36" s="10" t="s">
        <v>83</v>
      </c>
      <c r="C36" s="13">
        <f>_xll.BDH("MCHP US Equity","OTHER_NONCURRENT_ASSETS_DETAILED","FY 2011","FY 2011","Currency=USD","Period=FY","BEST_FPERIOD_OVERRIDE=FY","FILING_STATUS=MR","SCALING_FORMAT=MLN","Sort=A","Dates=H","DateFormat=P","Fill=—","Direction=H","UseDPDF=Y")</f>
        <v>33.777000000000001</v>
      </c>
      <c r="D36" s="13">
        <f>_xll.BDH("MCHP US Equity","OTHER_NONCURRENT_ASSETS_DETAILED","FY 2012","FY 2012","Currency=USD","Period=FY","BEST_FPERIOD_OVERRIDE=FY","FILING_STATUS=MR","SCALING_FORMAT=MLN","Sort=A","Dates=H","DateFormat=P","Fill=—","Direction=H","UseDPDF=Y")</f>
        <v>38.768999999999998</v>
      </c>
      <c r="E36" s="13">
        <f>_xll.BDH("MCHP US Equity","OTHER_NONCURRENT_ASSETS_DETAILED","FY 2013","FY 2013","Currency=USD","Period=FY","BEST_FPERIOD_OVERRIDE=FY","FILING_STATUS=MR","SCALING_FORMAT=MLN","Sort=A","Dates=H","DateFormat=P","Fill=—","Direction=H","UseDPDF=Y")</f>
        <v>41.557000000000002</v>
      </c>
      <c r="F36" s="13">
        <f>_xll.BDH("MCHP US Equity","OTHER_NONCURRENT_ASSETS_DETAILED","FY 2014","FY 2014","Currency=USD","Period=FY","BEST_FPERIOD_OVERRIDE=FY","FILING_STATUS=MR","SCALING_FORMAT=MLN","Sort=A","Dates=H","DateFormat=P","Fill=—","Direction=H","UseDPDF=Y")</f>
        <v>45.956000000000003</v>
      </c>
      <c r="G36" s="13">
        <f>_xll.BDH("MCHP US Equity","OTHER_NONCURRENT_ASSETS_DETAILED","FY 2015","FY 2015","Currency=USD","Period=FY","BEST_FPERIOD_OVERRIDE=FY","FILING_STATUS=MR","SCALING_FORMAT=MLN","Sort=A","Dates=H","DateFormat=P","Fill=—","Direction=H","UseDPDF=Y")</f>
        <v>75.510000000000005</v>
      </c>
      <c r="H36" s="13">
        <f>_xll.BDH("MCHP US Equity","OTHER_NONCURRENT_ASSETS_DETAILED","FY 2016","FY 2016","Currency=USD","Period=FY","BEST_FPERIOD_OVERRIDE=FY","FILING_STATUS=MR","SCALING_FORMAT=MLN","Sort=A","Dates=H","DateFormat=P","Fill=—","Direction=H","UseDPDF=Y")</f>
        <v>79.393000000000001</v>
      </c>
      <c r="I36" s="13">
        <f>_xll.BDH("MCHP US Equity","OTHER_NONCURRENT_ASSETS_DETAILED","FY 2017","FY 2017","Currency=USD","Period=FY","BEST_FPERIOD_OVERRIDE=FY","FILING_STATUS=MR","SCALING_FORMAT=MLN","Sort=A","Dates=H","DateFormat=P","Fill=—","Direction=H","UseDPDF=Y")</f>
        <v>75.099999999999994</v>
      </c>
      <c r="J36" s="13">
        <f>_xll.BDH("MCHP US Equity","OTHER_NONCURRENT_ASSETS_DETAILED","FY 2018","FY 2018","Currency=USD","Period=FY","BEST_FPERIOD_OVERRIDE=FY","FILING_STATUS=MR","SCALING_FORMAT=MLN","Sort=A","Dates=H","DateFormat=P","Fill=—","Direction=H","UseDPDF=Y")</f>
        <v>71.8</v>
      </c>
      <c r="K36" s="13">
        <f>_xll.BDH("MCHP US Equity","OTHER_NONCURRENT_ASSETS_DETAILED","FY 2019","FY 2019","Currency=USD","Period=FY","BEST_FPERIOD_OVERRIDE=FY","FILING_STATUS=MR","SCALING_FORMAT=MLN","Sort=A","Dates=H","DateFormat=P","Fill=—","Direction=H","UseDPDF=Y")</f>
        <v>111.8</v>
      </c>
      <c r="L36" s="13">
        <f>_xll.BDH("MCHP US Equity","OTHER_NONCURRENT_ASSETS_DETAILED","FY 2020","FY 2020","Currency=USD","Period=FY","BEST_FPERIOD_OVERRIDE=FY","FILING_STATUS=MR","SCALING_FORMAT=MLN","Sort=A","Dates=H","DateFormat=P","Fill=—","Direction=H","UseDPDF=Y")</f>
        <v>97.7</v>
      </c>
    </row>
    <row r="37" spans="1:12" x14ac:dyDescent="0.45">
      <c r="A37" s="6" t="s">
        <v>84</v>
      </c>
      <c r="B37" s="6" t="s">
        <v>85</v>
      </c>
      <c r="C37" s="16">
        <f>_xll.BDH("MCHP US Equity","BS_TOT_NON_CUR_ASSET","FY 2011","FY 2011","Currency=USD","Period=FY","BEST_FPERIOD_OVERRIDE=FY","FILING_STATUS=MR","SCALING_FORMAT=MLN","Sort=A","Dates=H","DateFormat=P","Fill=—","Direction=H","UseDPDF=Y")</f>
        <v>1193.075</v>
      </c>
      <c r="D37" s="16">
        <f>_xll.BDH("MCHP US Equity","BS_TOT_NON_CUR_ASSET","FY 2012","FY 2012","Currency=USD","Period=FY","BEST_FPERIOD_OVERRIDE=FY","FILING_STATUS=MR","SCALING_FORMAT=MLN","Sort=A","Dates=H","DateFormat=P","Fill=—","Direction=H","UseDPDF=Y")</f>
        <v>1067.915</v>
      </c>
      <c r="E37" s="16">
        <f>_xll.BDH("MCHP US Equity","BS_TOT_NON_CUR_ASSET","FY 2013","FY 2013","Currency=USD","Period=FY","BEST_FPERIOD_OVERRIDE=FY","FILING_STATUS=MR","SCALING_FORMAT=MLN","Sort=A","Dates=H","DateFormat=P","Fill=—","Direction=H","UseDPDF=Y")</f>
        <v>1615.0350000000001</v>
      </c>
      <c r="F37" s="16">
        <f>_xll.BDH("MCHP US Equity","BS_TOT_NON_CUR_ASSET","FY 2014","FY 2014","Currency=USD","Period=FY","BEST_FPERIOD_OVERRIDE=FY","FILING_STATUS=MR","SCALING_FORMAT=MLN","Sort=A","Dates=H","DateFormat=P","Fill=—","Direction=H","UseDPDF=Y")</f>
        <v>2098.2310000000002</v>
      </c>
      <c r="G37" s="16">
        <f>_xll.BDH("MCHP US Equity","BS_TOT_NON_CUR_ASSET","FY 2015","FY 2015","Currency=USD","Period=FY","BEST_FPERIOD_OVERRIDE=FY","FILING_STATUS=MR","SCALING_FORMAT=MLN","Sort=A","Dates=H","DateFormat=P","Fill=—","Direction=H","UseDPDF=Y")</f>
        <v>2116.096</v>
      </c>
      <c r="H37" s="16">
        <f>_xll.BDH("MCHP US Equity","BS_TOT_NON_CUR_ASSET","FY 2016","FY 2016","Currency=USD","Period=FY","BEST_FPERIOD_OVERRIDE=FY","FILING_STATUS=MR","SCALING_FORMAT=MLN","Sort=A","Dates=H","DateFormat=P","Fill=—","Direction=H","UseDPDF=Y")</f>
        <v>2441.17</v>
      </c>
      <c r="I37" s="16">
        <f>_xll.BDH("MCHP US Equity","BS_TOT_NON_CUR_ASSET","FY 2017","FY 2017","Currency=USD","Period=FY","BEST_FPERIOD_OVERRIDE=FY","FILING_STATUS=MR","SCALING_FORMAT=MLN","Sort=A","Dates=H","DateFormat=P","Fill=—","Direction=H","UseDPDF=Y")</f>
        <v>5381.9</v>
      </c>
      <c r="J37" s="16">
        <f>_xll.BDH("MCHP US Equity","BS_TOT_NON_CUR_ASSET","FY 2018","FY 2018","Currency=USD","Period=FY","BEST_FPERIOD_OVERRIDE=FY","FILING_STATUS=MR","SCALING_FORMAT=MLN","Sort=A","Dates=H","DateFormat=P","Fill=—","Direction=H","UseDPDF=Y")</f>
        <v>4900.8999999999996</v>
      </c>
      <c r="K37" s="16">
        <f>_xll.BDH("MCHP US Equity","BS_TOT_NON_CUR_ASSET","FY 2019","FY 2019","Currency=USD","Period=FY","BEST_FPERIOD_OVERRIDE=FY","FILING_STATUS=MR","SCALING_FORMAT=MLN","Sort=A","Dates=H","DateFormat=P","Fill=—","Direction=H","UseDPDF=Y")</f>
        <v>16135.2</v>
      </c>
      <c r="L37" s="16">
        <f>_xll.BDH("MCHP US Equity","BS_TOT_NON_CUR_ASSET","FY 2020","FY 2020","Currency=USD","Period=FY","BEST_FPERIOD_OVERRIDE=FY","FILING_STATUS=MR","SCALING_FORMAT=MLN","Sort=A","Dates=H","DateFormat=P","Fill=—","Direction=H","UseDPDF=Y")</f>
        <v>15208.9</v>
      </c>
    </row>
    <row r="38" spans="1:12" x14ac:dyDescent="0.45">
      <c r="A38" s="6" t="s">
        <v>25</v>
      </c>
      <c r="B38" s="6" t="s">
        <v>86</v>
      </c>
      <c r="C38" s="16">
        <f>_xll.BDH("MCHP US Equity","BS_TOT_ASSET","FY 2011","FY 2011","Currency=USD","Period=FY","BEST_FPERIOD_OVERRIDE=FY","FILING_STATUS=MR","SCALING_FORMAT=MLN","Sort=A","Dates=H","DateFormat=P","Fill=—","Direction=H","UseDPDF=Y")</f>
        <v>2968.058</v>
      </c>
      <c r="D38" s="16">
        <f>_xll.BDH("MCHP US Equity","BS_TOT_ASSET","FY 2012","FY 2012","Currency=USD","Period=FY","BEST_FPERIOD_OVERRIDE=FY","FILING_STATUS=MR","SCALING_FORMAT=MLN","Sort=A","Dates=H","DateFormat=P","Fill=—","Direction=H","UseDPDF=Y")</f>
        <v>3083.7759999999998</v>
      </c>
      <c r="E38" s="16">
        <f>_xll.BDH("MCHP US Equity","BS_TOT_ASSET","FY 2013","FY 2013","Currency=USD","Period=FY","BEST_FPERIOD_OVERRIDE=FY","FILING_STATUS=MR","SCALING_FORMAT=MLN","Sort=A","Dates=H","DateFormat=P","Fill=—","Direction=H","UseDPDF=Y")</f>
        <v>3851.4050000000002</v>
      </c>
      <c r="F38" s="16">
        <f>_xll.BDH("MCHP US Equity","BS_TOT_ASSET","FY 2014","FY 2014","Currency=USD","Period=FY","BEST_FPERIOD_OVERRIDE=FY","FILING_STATUS=MR","SCALING_FORMAT=MLN","Sort=A","Dates=H","DateFormat=P","Fill=—","Direction=H","UseDPDF=Y")</f>
        <v>4067.63</v>
      </c>
      <c r="G38" s="16">
        <f>_xll.BDH("MCHP US Equity","BS_TOT_ASSET","FY 2015","FY 2015","Currency=USD","Period=FY","BEST_FPERIOD_OVERRIDE=FY","FILING_STATUS=MR","SCALING_FORMAT=MLN","Sort=A","Dates=H","DateFormat=P","Fill=—","Direction=H","UseDPDF=Y")</f>
        <v>4780.7129999999997</v>
      </c>
      <c r="H38" s="16">
        <f>_xll.BDH("MCHP US Equity","BS_TOT_ASSET","FY 2016","FY 2016","Currency=USD","Period=FY","BEST_FPERIOD_OVERRIDE=FY","FILING_STATUS=MR","SCALING_FORMAT=MLN","Sort=A","Dates=H","DateFormat=P","Fill=—","Direction=H","UseDPDF=Y")</f>
        <v>5537.8829999999998</v>
      </c>
      <c r="I38" s="16">
        <f>_xll.BDH("MCHP US Equity","BS_TOT_ASSET","FY 2017","FY 2017","Currency=USD","Period=FY","BEST_FPERIOD_OVERRIDE=FY","FILING_STATUS=MR","SCALING_FORMAT=MLN","Sort=A","Dates=H","DateFormat=P","Fill=—","Direction=H","UseDPDF=Y")</f>
        <v>7686.9</v>
      </c>
      <c r="J38" s="16">
        <f>_xll.BDH("MCHP US Equity","BS_TOT_ASSET","FY 2018","FY 2018","Currency=USD","Period=FY","BEST_FPERIOD_OVERRIDE=FY","FILING_STATUS=MR","SCALING_FORMAT=MLN","Sort=A","Dates=H","DateFormat=P","Fill=—","Direction=H","UseDPDF=Y")</f>
        <v>8257.2000000000007</v>
      </c>
      <c r="K38" s="16">
        <f>_xll.BDH("MCHP US Equity","BS_TOT_ASSET","FY 2019","FY 2019","Currency=USD","Period=FY","BEST_FPERIOD_OVERRIDE=FY","FILING_STATUS=MR","SCALING_FORMAT=MLN","Sort=A","Dates=H","DateFormat=P","Fill=—","Direction=H","UseDPDF=Y")</f>
        <v>18350</v>
      </c>
      <c r="L38" s="16">
        <f>_xll.BDH("MCHP US Equity","BS_TOT_ASSET","FY 2020","FY 2020","Currency=USD","Period=FY","BEST_FPERIOD_OVERRIDE=FY","FILING_STATUS=MR","SCALING_FORMAT=MLN","Sort=A","Dates=H","DateFormat=P","Fill=—","Direction=H","UseDPDF=Y")</f>
        <v>17426.099999999999</v>
      </c>
    </row>
    <row r="39" spans="1:12" x14ac:dyDescent="0.45">
      <c r="A39" s="6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45">
      <c r="A40" s="6" t="s">
        <v>87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45">
      <c r="A41" s="10" t="s">
        <v>88</v>
      </c>
      <c r="B41" s="10" t="s">
        <v>89</v>
      </c>
      <c r="C41" s="13">
        <f>_xll.BDH("MCHP US Equity","ACCT_PAYABLE_&amp;_ACCRUALS_DETAILED","FY 2011","FY 2011","Currency=USD","Period=FY","BEST_FPERIOD_OVERRIDE=FY","FILING_STATUS=MR","SCALING_FORMAT=MLN","Sort=A","Dates=H","DateFormat=P","Fill=—","Direction=H","UseDPDF=Y")</f>
        <v>200.27199999999999</v>
      </c>
      <c r="D41" s="13">
        <f>_xll.BDH("MCHP US Equity","ACCT_PAYABLE_&amp;_ACCRUALS_DETAILED","FY 2012","FY 2012","Currency=USD","Period=FY","BEST_FPERIOD_OVERRIDE=FY","FILING_STATUS=MR","SCALING_FORMAT=MLN","Sort=A","Dates=H","DateFormat=P","Fill=—","Direction=H","UseDPDF=Y")</f>
        <v>139.16399999999999</v>
      </c>
      <c r="E41" s="13">
        <f>_xll.BDH("MCHP US Equity","ACCT_PAYABLE_&amp;_ACCRUALS_DETAILED","FY 2013","FY 2013","Currency=USD","Period=FY","BEST_FPERIOD_OVERRIDE=FY","FILING_STATUS=MR","SCALING_FORMAT=MLN","Sort=A","Dates=H","DateFormat=P","Fill=—","Direction=H","UseDPDF=Y")</f>
        <v>202.65899999999999</v>
      </c>
      <c r="F41" s="13">
        <f>_xll.BDH("MCHP US Equity","ACCT_PAYABLE_&amp;_ACCRUALS_DETAILED","FY 2014","FY 2014","Currency=USD","Period=FY","BEST_FPERIOD_OVERRIDE=FY","FILING_STATUS=MR","SCALING_FORMAT=MLN","Sort=A","Dates=H","DateFormat=P","Fill=—","Direction=H","UseDPDF=Y")</f>
        <v>170.78100000000001</v>
      </c>
      <c r="G41" s="13">
        <f>_xll.BDH("MCHP US Equity","ACCT_PAYABLE_&amp;_ACCRUALS_DETAILED","FY 2015","FY 2015","Currency=USD","Period=FY","BEST_FPERIOD_OVERRIDE=FY","FILING_STATUS=MR","SCALING_FORMAT=MLN","Sort=A","Dates=H","DateFormat=P","Fill=—","Direction=H","UseDPDF=Y")</f>
        <v>187.84399999999999</v>
      </c>
      <c r="H41" s="13">
        <f>_xll.BDH("MCHP US Equity","ACCT_PAYABLE_&amp;_ACCRUALS_DETAILED","FY 2016","FY 2016","Currency=USD","Period=FY","BEST_FPERIOD_OVERRIDE=FY","FILING_STATUS=MR","SCALING_FORMAT=MLN","Sort=A","Dates=H","DateFormat=P","Fill=—","Direction=H","UseDPDF=Y")</f>
        <v>198.577</v>
      </c>
      <c r="I41" s="13">
        <f>_xll.BDH("MCHP US Equity","ACCT_PAYABLE_&amp;_ACCRUALS_DETAILED","FY 2017","FY 2017","Currency=USD","Period=FY","BEST_FPERIOD_OVERRIDE=FY","FILING_STATUS=MR","SCALING_FORMAT=MLN","Sort=A","Dates=H","DateFormat=P","Fill=—","Direction=H","UseDPDF=Y")</f>
        <v>361.7</v>
      </c>
      <c r="J41" s="13">
        <f>_xll.BDH("MCHP US Equity","ACCT_PAYABLE_&amp;_ACCRUALS_DETAILED","FY 2018","FY 2018","Currency=USD","Period=FY","BEST_FPERIOD_OVERRIDE=FY","FILING_STATUS=MR","SCALING_FORMAT=MLN","Sort=A","Dates=H","DateFormat=P","Fill=—","Direction=H","UseDPDF=Y")</f>
        <v>373.7</v>
      </c>
      <c r="K41" s="13">
        <f>_xll.BDH("MCHP US Equity","ACCT_PAYABLE_&amp;_ACCRUALS_DETAILED","FY 2019","FY 2019","Currency=USD","Period=FY","BEST_FPERIOD_OVERRIDE=FY","FILING_STATUS=MR","SCALING_FORMAT=MLN","Sort=A","Dates=H","DateFormat=P","Fill=—","Direction=H","UseDPDF=Y")</f>
        <v>1013.7</v>
      </c>
      <c r="L41" s="13">
        <f>_xll.BDH("MCHP US Equity","ACCT_PAYABLE_&amp;_ACCRUALS_DETAILED","FY 2020","FY 2020","Currency=USD","Period=FY","BEST_FPERIOD_OVERRIDE=FY","FILING_STATUS=MR","SCALING_FORMAT=MLN","Sort=A","Dates=H","DateFormat=P","Fill=—","Direction=H","UseDPDF=Y")</f>
        <v>984.1</v>
      </c>
    </row>
    <row r="42" spans="1:12" x14ac:dyDescent="0.45">
      <c r="A42" s="10" t="s">
        <v>90</v>
      </c>
      <c r="B42" s="10" t="s">
        <v>91</v>
      </c>
      <c r="C42" s="13">
        <f>_xll.BDH("MCHP US Equity","BS_ACCT_PAYABLE","FY 2011","FY 2011","Currency=USD","Period=FY","BEST_FPERIOD_OVERRIDE=FY","FILING_STATUS=MR","SCALING_FORMAT=MLN","Sort=A","Dates=H","DateFormat=P","Fill=—","Direction=H","UseDPDF=Y")</f>
        <v>68.433000000000007</v>
      </c>
      <c r="D42" s="13">
        <f>_xll.BDH("MCHP US Equity","BS_ACCT_PAYABLE","FY 2012","FY 2012","Currency=USD","Period=FY","BEST_FPERIOD_OVERRIDE=FY","FILING_STATUS=MR","SCALING_FORMAT=MLN","Sort=A","Dates=H","DateFormat=P","Fill=—","Direction=H","UseDPDF=Y")</f>
        <v>50.286999999999999</v>
      </c>
      <c r="E42" s="13">
        <f>_xll.BDH("MCHP US Equity","BS_ACCT_PAYABLE","FY 2013","FY 2013","Currency=USD","Period=FY","BEST_FPERIOD_OVERRIDE=FY","FILING_STATUS=MR","SCALING_FORMAT=MLN","Sort=A","Dates=H","DateFormat=P","Fill=—","Direction=H","UseDPDF=Y")</f>
        <v>75.551000000000002</v>
      </c>
      <c r="F42" s="13">
        <f>_xll.BDH("MCHP US Equity","BS_ACCT_PAYABLE","FY 2014","FY 2014","Currency=USD","Period=FY","BEST_FPERIOD_OVERRIDE=FY","FILING_STATUS=MR","SCALING_FORMAT=MLN","Sort=A","Dates=H","DateFormat=P","Fill=—","Direction=H","UseDPDF=Y")</f>
        <v>74.05</v>
      </c>
      <c r="G42" s="13">
        <f>_xll.BDH("MCHP US Equity","BS_ACCT_PAYABLE","FY 2015","FY 2015","Currency=USD","Period=FY","BEST_FPERIOD_OVERRIDE=FY","FILING_STATUS=MR","SCALING_FORMAT=MLN","Sort=A","Dates=H","DateFormat=P","Fill=—","Direction=H","UseDPDF=Y")</f>
        <v>86.866</v>
      </c>
      <c r="H42" s="13">
        <f>_xll.BDH("MCHP US Equity","BS_ACCT_PAYABLE","FY 2016","FY 2016","Currency=USD","Period=FY","BEST_FPERIOD_OVERRIDE=FY","FILING_STATUS=MR","SCALING_FORMAT=MLN","Sort=A","Dates=H","DateFormat=P","Fill=—","Direction=H","UseDPDF=Y")</f>
        <v>79.311999999999998</v>
      </c>
      <c r="I42" s="13">
        <f>_xll.BDH("MCHP US Equity","BS_ACCT_PAYABLE","FY 2017","FY 2017","Currency=USD","Period=FY","BEST_FPERIOD_OVERRIDE=FY","FILING_STATUS=MR","SCALING_FORMAT=MLN","Sort=A","Dates=H","DateFormat=P","Fill=—","Direction=H","UseDPDF=Y")</f>
        <v>149.19999999999999</v>
      </c>
      <c r="J42" s="13">
        <f>_xll.BDH("MCHP US Equity","BS_ACCT_PAYABLE","FY 2018","FY 2018","Currency=USD","Period=FY","BEST_FPERIOD_OVERRIDE=FY","FILING_STATUS=MR","SCALING_FORMAT=MLN","Sort=A","Dates=H","DateFormat=P","Fill=—","Direction=H","UseDPDF=Y")</f>
        <v>144.1</v>
      </c>
      <c r="K42" s="13">
        <f>_xll.BDH("MCHP US Equity","BS_ACCT_PAYABLE","FY 2019","FY 2019","Currency=USD","Period=FY","BEST_FPERIOD_OVERRIDE=FY","FILING_STATUS=MR","SCALING_FORMAT=MLN","Sort=A","Dates=H","DateFormat=P","Fill=—","Direction=H","UseDPDF=Y")</f>
        <v>226.4</v>
      </c>
      <c r="L42" s="13">
        <f>_xll.BDH("MCHP US Equity","BS_ACCT_PAYABLE","FY 2020","FY 2020","Currency=USD","Period=FY","BEST_FPERIOD_OVERRIDE=FY","FILING_STATUS=MR","SCALING_FORMAT=MLN","Sort=A","Dates=H","DateFormat=P","Fill=—","Direction=H","UseDPDF=Y")</f>
        <v>246.8</v>
      </c>
    </row>
    <row r="43" spans="1:12" x14ac:dyDescent="0.45">
      <c r="A43" s="10" t="s">
        <v>92</v>
      </c>
      <c r="B43" s="10" t="s">
        <v>93</v>
      </c>
      <c r="C43" s="13">
        <f>_xll.BDH("MCHP US Equity","BS_TAXES_PAYABLE","FY 2011","FY 2011","Currency=USD","Period=FY","BEST_FPERIOD_OVERRIDE=FY","FILING_STATUS=MR","SCALING_FORMAT=MLN","Sort=A","Dates=H","DateFormat=P","Fill=—","Direction=H","UseDPDF=Y")</f>
        <v>0</v>
      </c>
      <c r="D43" s="13">
        <f>_xll.BDH("MCHP US Equity","BS_TAXES_PAYABLE","FY 2012","FY 2012","Currency=USD","Period=FY","BEST_FPERIOD_OVERRIDE=FY","FILING_STATUS=MR","SCALING_FORMAT=MLN","Sort=A","Dates=H","DateFormat=P","Fill=—","Direction=H","UseDPDF=Y")</f>
        <v>0</v>
      </c>
      <c r="E43" s="13">
        <f>_xll.BDH("MCHP US Equity","BS_TAXES_PAYABLE","FY 2013","FY 2013","Currency=USD","Period=FY","BEST_FPERIOD_OVERRIDE=FY","FILING_STATUS=MR","SCALING_FORMAT=MLN","Sort=A","Dates=H","DateFormat=P","Fill=—","Direction=H","UseDPDF=Y")</f>
        <v>0</v>
      </c>
      <c r="F43" s="13" t="str">
        <f>_xll.BDH("MCHP US Equity","BS_TAXES_PAYABLE","FY 2014","FY 2014","Currency=USD","Period=FY","BEST_FPERIOD_OVERRIDE=FY","FILING_STATUS=MR","SCALING_FORMAT=MLN","Sort=A","Dates=H","DateFormat=P","Fill=—","Direction=H","UseDPDF=Y")</f>
        <v>—</v>
      </c>
      <c r="G43" s="13" t="str">
        <f>_xll.BDH("MCHP US Equity","BS_TAXES_PAYABLE","FY 2015","FY 2015","Currency=USD","Period=FY","BEST_FPERIOD_OVERRIDE=FY","FILING_STATUS=MR","SCALING_FORMAT=MLN","Sort=A","Dates=H","DateFormat=P","Fill=—","Direction=H","UseDPDF=Y")</f>
        <v>—</v>
      </c>
      <c r="H43" s="13" t="str">
        <f>_xll.BDH("MCHP US Equity","BS_TAXES_PAYABLE","FY 2016","FY 2016","Currency=USD","Period=FY","BEST_FPERIOD_OVERRIDE=FY","FILING_STATUS=MR","SCALING_FORMAT=MLN","Sort=A","Dates=H","DateFormat=P","Fill=—","Direction=H","UseDPDF=Y")</f>
        <v>—</v>
      </c>
      <c r="I43" s="13" t="str">
        <f>_xll.BDH("MCHP US Equity","BS_TAXES_PAYABLE","FY 2017","FY 2017","Currency=USD","Period=FY","BEST_FPERIOD_OVERRIDE=FY","FILING_STATUS=MR","SCALING_FORMAT=MLN","Sort=A","Dates=H","DateFormat=P","Fill=—","Direction=H","UseDPDF=Y")</f>
        <v>—</v>
      </c>
      <c r="J43" s="13" t="str">
        <f>_xll.BDH("MCHP US Equity","BS_TAXES_PAYABLE","FY 2018","FY 2018","Currency=USD","Period=FY","BEST_FPERIOD_OVERRIDE=FY","FILING_STATUS=MR","SCALING_FORMAT=MLN","Sort=A","Dates=H","DateFormat=P","Fill=—","Direction=H","UseDPDF=Y")</f>
        <v>—</v>
      </c>
      <c r="K43" s="13" t="str">
        <f>_xll.BDH("MCHP US Equity","BS_TAXES_PAYABLE","FY 2019","FY 2019","Currency=USD","Period=FY","BEST_FPERIOD_OVERRIDE=FY","FILING_STATUS=MR","SCALING_FORMAT=MLN","Sort=A","Dates=H","DateFormat=P","Fill=—","Direction=H","UseDPDF=Y")</f>
        <v>—</v>
      </c>
      <c r="L43" s="13" t="str">
        <f>_xll.BDH("MCHP US Equity","BS_TAXES_PAYABLE","FY 2020","FY 2020","Currency=USD","Period=FY","BEST_FPERIOD_OVERRIDE=FY","FILING_STATUS=MR","SCALING_FORMAT=MLN","Sort=A","Dates=H","DateFormat=P","Fill=—","Direction=H","UseDPDF=Y")</f>
        <v>—</v>
      </c>
    </row>
    <row r="44" spans="1:12" x14ac:dyDescent="0.45">
      <c r="A44" s="10" t="s">
        <v>94</v>
      </c>
      <c r="B44" s="10" t="s">
        <v>95</v>
      </c>
      <c r="C44" s="13">
        <f>_xll.BDH("MCHP US Equity","BS_INTEREST_&amp;_DIVIDENDS_PAYABLE","FY 2011","FY 2011","Currency=USD","Period=FY","BEST_FPERIOD_OVERRIDE=FY","FILING_STATUS=MR","SCALING_FORMAT=MLN","Sort=A","Dates=H","DateFormat=P","Fill=—","Direction=H","UseDPDF=Y")</f>
        <v>0</v>
      </c>
      <c r="D44" s="13">
        <f>_xll.BDH("MCHP US Equity","BS_INTEREST_&amp;_DIVIDENDS_PAYABLE","FY 2012","FY 2012","Currency=USD","Period=FY","BEST_FPERIOD_OVERRIDE=FY","FILING_STATUS=MR","SCALING_FORMAT=MLN","Sort=A","Dates=H","DateFormat=P","Fill=—","Direction=H","UseDPDF=Y")</f>
        <v>0</v>
      </c>
      <c r="E44" s="13">
        <f>_xll.BDH("MCHP US Equity","BS_INTEREST_&amp;_DIVIDENDS_PAYABLE","FY 2013","FY 2013","Currency=USD","Period=FY","BEST_FPERIOD_OVERRIDE=FY","FILING_STATUS=MR","SCALING_FORMAT=MLN","Sort=A","Dates=H","DateFormat=P","Fill=—","Direction=H","UseDPDF=Y")</f>
        <v>0</v>
      </c>
      <c r="F44" s="13" t="str">
        <f>_xll.BDH("MCHP US Equity","BS_INTEREST_&amp;_DIVIDENDS_PAYABLE","FY 2014","FY 2014","Currency=USD","Period=FY","BEST_FPERIOD_OVERRIDE=FY","FILING_STATUS=MR","SCALING_FORMAT=MLN","Sort=A","Dates=H","DateFormat=P","Fill=—","Direction=H","UseDPDF=Y")</f>
        <v>—</v>
      </c>
      <c r="G44" s="13" t="str">
        <f>_xll.BDH("MCHP US Equity","BS_INTEREST_&amp;_DIVIDENDS_PAYABLE","FY 2015","FY 2015","Currency=USD","Period=FY","BEST_FPERIOD_OVERRIDE=FY","FILING_STATUS=MR","SCALING_FORMAT=MLN","Sort=A","Dates=H","DateFormat=P","Fill=—","Direction=H","UseDPDF=Y")</f>
        <v>—</v>
      </c>
      <c r="H44" s="13" t="str">
        <f>_xll.BDH("MCHP US Equity","BS_INTEREST_&amp;_DIVIDENDS_PAYABLE","FY 2016","FY 2016","Currency=USD","Period=FY","BEST_FPERIOD_OVERRIDE=FY","FILING_STATUS=MR","SCALING_FORMAT=MLN","Sort=A","Dates=H","DateFormat=P","Fill=—","Direction=H","UseDPDF=Y")</f>
        <v>—</v>
      </c>
      <c r="I44" s="13" t="str">
        <f>_xll.BDH("MCHP US Equity","BS_INTEREST_&amp;_DIVIDENDS_PAYABLE","FY 2017","FY 2017","Currency=USD","Period=FY","BEST_FPERIOD_OVERRIDE=FY","FILING_STATUS=MR","SCALING_FORMAT=MLN","Sort=A","Dates=H","DateFormat=P","Fill=—","Direction=H","UseDPDF=Y")</f>
        <v>—</v>
      </c>
      <c r="J44" s="13" t="str">
        <f>_xll.BDH("MCHP US Equity","BS_INTEREST_&amp;_DIVIDENDS_PAYABLE","FY 2018","FY 2018","Currency=USD","Period=FY","BEST_FPERIOD_OVERRIDE=FY","FILING_STATUS=MR","SCALING_FORMAT=MLN","Sort=A","Dates=H","DateFormat=P","Fill=—","Direction=H","UseDPDF=Y")</f>
        <v>—</v>
      </c>
      <c r="K44" s="13" t="str">
        <f>_xll.BDH("MCHP US Equity","BS_INTEREST_&amp;_DIVIDENDS_PAYABLE","FY 2019","FY 2019","Currency=USD","Period=FY","BEST_FPERIOD_OVERRIDE=FY","FILING_STATUS=MR","SCALING_FORMAT=MLN","Sort=A","Dates=H","DateFormat=P","Fill=—","Direction=H","UseDPDF=Y")</f>
        <v>—</v>
      </c>
      <c r="L44" s="13" t="str">
        <f>_xll.BDH("MCHP US Equity","BS_INTEREST_&amp;_DIVIDENDS_PAYABLE","FY 2020","FY 2020","Currency=USD","Period=FY","BEST_FPERIOD_OVERRIDE=FY","FILING_STATUS=MR","SCALING_FORMAT=MLN","Sort=A","Dates=H","DateFormat=P","Fill=—","Direction=H","UseDPDF=Y")</f>
        <v>—</v>
      </c>
    </row>
    <row r="45" spans="1:12" x14ac:dyDescent="0.45">
      <c r="A45" s="10" t="s">
        <v>96</v>
      </c>
      <c r="B45" s="10" t="s">
        <v>97</v>
      </c>
      <c r="C45" s="13">
        <f>_xll.BDH("MCHP US Equity","BS_ACCRUAL","FY 2011","FY 2011","Currency=USD","Period=FY","BEST_FPERIOD_OVERRIDE=FY","FILING_STATUS=MR","SCALING_FORMAT=MLN","Sort=A","Dates=H","DateFormat=P","Fill=—","Direction=H","UseDPDF=Y")</f>
        <v>131.839</v>
      </c>
      <c r="D45" s="13">
        <f>_xll.BDH("MCHP US Equity","BS_ACCRUAL","FY 2012","FY 2012","Currency=USD","Period=FY","BEST_FPERIOD_OVERRIDE=FY","FILING_STATUS=MR","SCALING_FORMAT=MLN","Sort=A","Dates=H","DateFormat=P","Fill=—","Direction=H","UseDPDF=Y")</f>
        <v>88.876999999999995</v>
      </c>
      <c r="E45" s="13">
        <f>_xll.BDH("MCHP US Equity","BS_ACCRUAL","FY 2013","FY 2013","Currency=USD","Period=FY","BEST_FPERIOD_OVERRIDE=FY","FILING_STATUS=MR","SCALING_FORMAT=MLN","Sort=A","Dates=H","DateFormat=P","Fill=—","Direction=H","UseDPDF=Y")</f>
        <v>127.108</v>
      </c>
      <c r="F45" s="13">
        <f>_xll.BDH("MCHP US Equity","BS_ACCRUAL","FY 2014","FY 2014","Currency=USD","Period=FY","BEST_FPERIOD_OVERRIDE=FY","FILING_STATUS=MR","SCALING_FORMAT=MLN","Sort=A","Dates=H","DateFormat=P","Fill=—","Direction=H","UseDPDF=Y")</f>
        <v>96.730999999999995</v>
      </c>
      <c r="G45" s="13">
        <f>_xll.BDH("MCHP US Equity","BS_ACCRUAL","FY 2015","FY 2015","Currency=USD","Period=FY","BEST_FPERIOD_OVERRIDE=FY","FILING_STATUS=MR","SCALING_FORMAT=MLN","Sort=A","Dates=H","DateFormat=P","Fill=—","Direction=H","UseDPDF=Y")</f>
        <v>100.97799999999999</v>
      </c>
      <c r="H45" s="13">
        <f>_xll.BDH("MCHP US Equity","BS_ACCRUAL","FY 2016","FY 2016","Currency=USD","Period=FY","BEST_FPERIOD_OVERRIDE=FY","FILING_STATUS=MR","SCALING_FORMAT=MLN","Sort=A","Dates=H","DateFormat=P","Fill=—","Direction=H","UseDPDF=Y")</f>
        <v>119.265</v>
      </c>
      <c r="I45" s="13">
        <f>_xll.BDH("MCHP US Equity","BS_ACCRUAL","FY 2017","FY 2017","Currency=USD","Period=FY","BEST_FPERIOD_OVERRIDE=FY","FILING_STATUS=MR","SCALING_FORMAT=MLN","Sort=A","Dates=H","DateFormat=P","Fill=—","Direction=H","UseDPDF=Y")</f>
        <v>212.5</v>
      </c>
      <c r="J45" s="13">
        <f>_xll.BDH("MCHP US Equity","BS_ACCRUAL","FY 2018","FY 2018","Currency=USD","Period=FY","BEST_FPERIOD_OVERRIDE=FY","FILING_STATUS=MR","SCALING_FORMAT=MLN","Sort=A","Dates=H","DateFormat=P","Fill=—","Direction=H","UseDPDF=Y")</f>
        <v>229.6</v>
      </c>
      <c r="K45" s="13">
        <f>_xll.BDH("MCHP US Equity","BS_ACCRUAL","FY 2019","FY 2019","Currency=USD","Period=FY","BEST_FPERIOD_OVERRIDE=FY","FILING_STATUS=MR","SCALING_FORMAT=MLN","Sort=A","Dates=H","DateFormat=P","Fill=—","Direction=H","UseDPDF=Y")</f>
        <v>787.3</v>
      </c>
      <c r="L45" s="13">
        <f>_xll.BDH("MCHP US Equity","BS_ACCRUAL","FY 2020","FY 2020","Currency=USD","Period=FY","BEST_FPERIOD_OVERRIDE=FY","FILING_STATUS=MR","SCALING_FORMAT=MLN","Sort=A","Dates=H","DateFormat=P","Fill=—","Direction=H","UseDPDF=Y")</f>
        <v>737.3</v>
      </c>
    </row>
    <row r="46" spans="1:12" x14ac:dyDescent="0.45">
      <c r="A46" s="10" t="s">
        <v>98</v>
      </c>
      <c r="B46" s="10" t="s">
        <v>99</v>
      </c>
      <c r="C46" s="13">
        <f>_xll.BDH("MCHP US Equity","BS_ST_BORROW","FY 2011","FY 2011","Currency=USD","Period=FY","BEST_FPERIOD_OVERRIDE=FY","FILING_STATUS=MR","SCALING_FORMAT=MLN","Sort=A","Dates=H","DateFormat=P","Fill=—","Direction=H","UseDPDF=Y")</f>
        <v>0</v>
      </c>
      <c r="D46" s="13">
        <f>_xll.BDH("MCHP US Equity","BS_ST_BORROW","FY 2012","FY 2012","Currency=USD","Period=FY","BEST_FPERIOD_OVERRIDE=FY","FILING_STATUS=MR","SCALING_FORMAT=MLN","Sort=A","Dates=H","DateFormat=P","Fill=—","Direction=H","UseDPDF=Y")</f>
        <v>0</v>
      </c>
      <c r="E46" s="13">
        <f>_xll.BDH("MCHP US Equity","BS_ST_BORROW","FY 2013","FY 2013","Currency=USD","Period=FY","BEST_FPERIOD_OVERRIDE=FY","FILING_STATUS=MR","SCALING_FORMAT=MLN","Sort=A","Dates=H","DateFormat=P","Fill=—","Direction=H","UseDPDF=Y")</f>
        <v>0</v>
      </c>
      <c r="F46" s="13">
        <f>_xll.BDH("MCHP US Equity","BS_ST_BORROW","FY 2014","FY 2014","Currency=USD","Period=FY","BEST_FPERIOD_OVERRIDE=FY","FILING_STATUS=MR","SCALING_FORMAT=MLN","Sort=A","Dates=H","DateFormat=P","Fill=—","Direction=H","UseDPDF=Y")</f>
        <v>17.5</v>
      </c>
      <c r="G46" s="13">
        <f>_xll.BDH("MCHP US Equity","BS_ST_BORROW","FY 2015","FY 2015","Currency=USD","Period=FY","BEST_FPERIOD_OVERRIDE=FY","FILING_STATUS=MR","SCALING_FORMAT=MLN","Sort=A","Dates=H","DateFormat=P","Fill=—","Direction=H","UseDPDF=Y")</f>
        <v>0</v>
      </c>
      <c r="H46" s="13">
        <f>_xll.BDH("MCHP US Equity","BS_ST_BORROW","FY 2016","FY 2016","Currency=USD","Period=FY","BEST_FPERIOD_OVERRIDE=FY","FILING_STATUS=MR","SCALING_FORMAT=MLN","Sort=A","Dates=H","DateFormat=P","Fill=—","Direction=H","UseDPDF=Y")</f>
        <v>0</v>
      </c>
      <c r="I46" s="13">
        <f>_xll.BDH("MCHP US Equity","BS_ST_BORROW","FY 2017","FY 2017","Currency=USD","Period=FY","BEST_FPERIOD_OVERRIDE=FY","FILING_STATUS=MR","SCALING_FORMAT=MLN","Sort=A","Dates=H","DateFormat=P","Fill=—","Direction=H","UseDPDF=Y")</f>
        <v>50</v>
      </c>
      <c r="J46" s="13">
        <f>_xll.BDH("MCHP US Equity","BS_ST_BORROW","FY 2018","FY 2018","Currency=USD","Period=FY","BEST_FPERIOD_OVERRIDE=FY","FILING_STATUS=MR","SCALING_FORMAT=MLN","Sort=A","Dates=H","DateFormat=P","Fill=—","Direction=H","UseDPDF=Y")</f>
        <v>1309.9000000000001</v>
      </c>
      <c r="K46" s="13">
        <f>_xll.BDH("MCHP US Equity","BS_ST_BORROW","FY 2019","FY 2019","Currency=USD","Period=FY","BEST_FPERIOD_OVERRIDE=FY","FILING_STATUS=MR","SCALING_FORMAT=MLN","Sort=A","Dates=H","DateFormat=P","Fill=—","Direction=H","UseDPDF=Y")</f>
        <v>1360.8</v>
      </c>
      <c r="L46" s="13">
        <f>_xll.BDH("MCHP US Equity","BS_ST_BORROW","FY 2020","FY 2020","Currency=USD","Period=FY","BEST_FPERIOD_OVERRIDE=FY","FILING_STATUS=MR","SCALING_FORMAT=MLN","Sort=A","Dates=H","DateFormat=P","Fill=—","Direction=H","UseDPDF=Y")</f>
        <v>653.29999999999995</v>
      </c>
    </row>
    <row r="47" spans="1:12" x14ac:dyDescent="0.45">
      <c r="A47" s="10" t="s">
        <v>100</v>
      </c>
      <c r="B47" s="10" t="s">
        <v>101</v>
      </c>
      <c r="C47" s="13">
        <f>_xll.BDH("MCHP US Equity","SHORT_TERM_DEBT_DETAILED","FY 2011","FY 2011","Currency=USD","Period=FY","BEST_FPERIOD_OVERRIDE=FY","FILING_STATUS=MR","SCALING_FORMAT=MLN","Sort=A","Dates=H","DateFormat=P","Fill=—","Direction=H","UseDPDF=Y")</f>
        <v>0</v>
      </c>
      <c r="D47" s="13">
        <f>_xll.BDH("MCHP US Equity","SHORT_TERM_DEBT_DETAILED","FY 2012","FY 2012","Currency=USD","Period=FY","BEST_FPERIOD_OVERRIDE=FY","FILING_STATUS=MR","SCALING_FORMAT=MLN","Sort=A","Dates=H","DateFormat=P","Fill=—","Direction=H","UseDPDF=Y")</f>
        <v>0</v>
      </c>
      <c r="E47" s="13">
        <f>_xll.BDH("MCHP US Equity","SHORT_TERM_DEBT_DETAILED","FY 2013","FY 2013","Currency=USD","Period=FY","BEST_FPERIOD_OVERRIDE=FY","FILING_STATUS=MR","SCALING_FORMAT=MLN","Sort=A","Dates=H","DateFormat=P","Fill=—","Direction=H","UseDPDF=Y")</f>
        <v>0</v>
      </c>
      <c r="F47" s="13">
        <f>_xll.BDH("MCHP US Equity","SHORT_TERM_DEBT_DETAILED","FY 2014","FY 2014","Currency=USD","Period=FY","BEST_FPERIOD_OVERRIDE=FY","FILING_STATUS=MR","SCALING_FORMAT=MLN","Sort=A","Dates=H","DateFormat=P","Fill=—","Direction=H","UseDPDF=Y")</f>
        <v>17.5</v>
      </c>
      <c r="G47" s="13">
        <f>_xll.BDH("MCHP US Equity","SHORT_TERM_DEBT_DETAILED","FY 2015","FY 2015","Currency=USD","Period=FY","BEST_FPERIOD_OVERRIDE=FY","FILING_STATUS=MR","SCALING_FORMAT=MLN","Sort=A","Dates=H","DateFormat=P","Fill=—","Direction=H","UseDPDF=Y")</f>
        <v>0</v>
      </c>
      <c r="H47" s="13">
        <f>_xll.BDH("MCHP US Equity","SHORT_TERM_DEBT_DETAILED","FY 2016","FY 2016","Currency=USD","Period=FY","BEST_FPERIOD_OVERRIDE=FY","FILING_STATUS=MR","SCALING_FORMAT=MLN","Sort=A","Dates=H","DateFormat=P","Fill=—","Direction=H","UseDPDF=Y")</f>
        <v>0</v>
      </c>
      <c r="I47" s="13">
        <f>_xll.BDH("MCHP US Equity","SHORT_TERM_DEBT_DETAILED","FY 2017","FY 2017","Currency=USD","Period=FY","BEST_FPERIOD_OVERRIDE=FY","FILING_STATUS=MR","SCALING_FORMAT=MLN","Sort=A","Dates=H","DateFormat=P","Fill=—","Direction=H","UseDPDF=Y")</f>
        <v>0</v>
      </c>
      <c r="J47" s="13">
        <f>_xll.BDH("MCHP US Equity","SHORT_TERM_DEBT_DETAILED","FY 2018","FY 2018","Currency=USD","Period=FY","BEST_FPERIOD_OVERRIDE=FY","FILING_STATUS=MR","SCALING_FORMAT=MLN","Sort=A","Dates=H","DateFormat=P","Fill=—","Direction=H","UseDPDF=Y")</f>
        <v>0</v>
      </c>
      <c r="K47" s="13">
        <f>_xll.BDH("MCHP US Equity","SHORT_TERM_DEBT_DETAILED","FY 2019","FY 2019","Currency=USD","Period=FY","BEST_FPERIOD_OVERRIDE=FY","FILING_STATUS=MR","SCALING_FORMAT=MLN","Sort=A","Dates=H","DateFormat=P","Fill=—","Direction=H","UseDPDF=Y")</f>
        <v>0</v>
      </c>
      <c r="L47" s="13">
        <f>_xll.BDH("MCHP US Equity","SHORT_TERM_DEBT_DETAILED","FY 2020","FY 2020","Currency=USD","Period=FY","BEST_FPERIOD_OVERRIDE=FY","FILING_STATUS=MR","SCALING_FORMAT=MLN","Sort=A","Dates=H","DateFormat=P","Fill=—","Direction=H","UseDPDF=Y")</f>
        <v>0</v>
      </c>
    </row>
    <row r="48" spans="1:12" x14ac:dyDescent="0.45">
      <c r="A48" s="10" t="s">
        <v>102</v>
      </c>
      <c r="B48" s="10" t="s">
        <v>103</v>
      </c>
      <c r="C48" s="13">
        <f>_xll.BDH("MCHP US Equity","ST_CAPITALIZED_LEASE_LIABILITIES","FY 2011","FY 2011","Currency=USD","Period=FY","BEST_FPERIOD_OVERRIDE=FY","FILING_STATUS=MR","SCALING_FORMAT=MLN","Sort=A","Dates=H","DateFormat=P","Fill=—","Direction=H","UseDPDF=Y")</f>
        <v>0</v>
      </c>
      <c r="D48" s="13">
        <f>_xll.BDH("MCHP US Equity","ST_CAPITALIZED_LEASE_LIABILITIES","FY 2012","FY 2012","Currency=USD","Period=FY","BEST_FPERIOD_OVERRIDE=FY","FILING_STATUS=MR","SCALING_FORMAT=MLN","Sort=A","Dates=H","DateFormat=P","Fill=—","Direction=H","UseDPDF=Y")</f>
        <v>0</v>
      </c>
      <c r="E48" s="13">
        <f>_xll.BDH("MCHP US Equity","ST_CAPITALIZED_LEASE_LIABILITIES","FY 2013","FY 2013","Currency=USD","Period=FY","BEST_FPERIOD_OVERRIDE=FY","FILING_STATUS=MR","SCALING_FORMAT=MLN","Sort=A","Dates=H","DateFormat=P","Fill=—","Direction=H","UseDPDF=Y")</f>
        <v>0</v>
      </c>
      <c r="F48" s="13">
        <f>_xll.BDH("MCHP US Equity","ST_CAPITALIZED_LEASE_LIABILITIES","FY 2014","FY 2014","Currency=USD","Period=FY","BEST_FPERIOD_OVERRIDE=FY","FILING_STATUS=MR","SCALING_FORMAT=MLN","Sort=A","Dates=H","DateFormat=P","Fill=—","Direction=H","UseDPDF=Y")</f>
        <v>0</v>
      </c>
      <c r="G48" s="13">
        <f>_xll.BDH("MCHP US Equity","ST_CAPITALIZED_LEASE_LIABILITIES","FY 2015","FY 2015","Currency=USD","Period=FY","BEST_FPERIOD_OVERRIDE=FY","FILING_STATUS=MR","SCALING_FORMAT=MLN","Sort=A","Dates=H","DateFormat=P","Fill=—","Direction=H","UseDPDF=Y")</f>
        <v>0</v>
      </c>
      <c r="H48" s="13">
        <f>_xll.BDH("MCHP US Equity","ST_CAPITALIZED_LEASE_LIABILITIES","FY 2016","FY 2016","Currency=USD","Period=FY","BEST_FPERIOD_OVERRIDE=FY","FILING_STATUS=MR","SCALING_FORMAT=MLN","Sort=A","Dates=H","DateFormat=P","Fill=—","Direction=H","UseDPDF=Y")</f>
        <v>0</v>
      </c>
      <c r="I48" s="13">
        <f>_xll.BDH("MCHP US Equity","ST_CAPITALIZED_LEASE_LIABILITIES","FY 2017","FY 2017","Currency=USD","Period=FY","BEST_FPERIOD_OVERRIDE=FY","FILING_STATUS=MR","SCALING_FORMAT=MLN","Sort=A","Dates=H","DateFormat=P","Fill=—","Direction=H","UseDPDF=Y")</f>
        <v>0</v>
      </c>
      <c r="J48" s="13">
        <f>_xll.BDH("MCHP US Equity","ST_CAPITALIZED_LEASE_LIABILITIES","FY 2018","FY 2018","Currency=USD","Period=FY","BEST_FPERIOD_OVERRIDE=FY","FILING_STATUS=MR","SCALING_FORMAT=MLN","Sort=A","Dates=H","DateFormat=P","Fill=—","Direction=H","UseDPDF=Y")</f>
        <v>0</v>
      </c>
      <c r="K48" s="13">
        <f>_xll.BDH("MCHP US Equity","ST_CAPITALIZED_LEASE_LIABILITIES","FY 2019","FY 2019","Currency=USD","Period=FY","BEST_FPERIOD_OVERRIDE=FY","FILING_STATUS=MR","SCALING_FORMAT=MLN","Sort=A","Dates=H","DateFormat=P","Fill=—","Direction=H","UseDPDF=Y")</f>
        <v>0</v>
      </c>
      <c r="L48" s="13">
        <f>_xll.BDH("MCHP US Equity","ST_CAPITALIZED_LEASE_LIABILITIES","FY 2020","FY 2020","Currency=USD","Period=FY","BEST_FPERIOD_OVERRIDE=FY","FILING_STATUS=MR","SCALING_FORMAT=MLN","Sort=A","Dates=H","DateFormat=P","Fill=—","Direction=H","UseDPDF=Y")</f>
        <v>44.5</v>
      </c>
    </row>
    <row r="49" spans="1:12" x14ac:dyDescent="0.45">
      <c r="A49" s="11" t="s">
        <v>104</v>
      </c>
      <c r="B49" s="11" t="s">
        <v>105</v>
      </c>
      <c r="C49" s="17">
        <f>_xll.BDH("MCHP US Equity","ST_CAPITAL_LEASE_OBLIGATIONS","FY 2011","FY 2011","Currency=USD","Period=FY","BEST_FPERIOD_OVERRIDE=FY","FILING_STATUS=MR","SCALING_FORMAT=MLN","Sort=A","Dates=H","DateFormat=P","Fill=—","Direction=H","UseDPDF=Y")</f>
        <v>0</v>
      </c>
      <c r="D49" s="17">
        <f>_xll.BDH("MCHP US Equity","ST_CAPITAL_LEASE_OBLIGATIONS","FY 2012","FY 2012","Currency=USD","Period=FY","BEST_FPERIOD_OVERRIDE=FY","FILING_STATUS=MR","SCALING_FORMAT=MLN","Sort=A","Dates=H","DateFormat=P","Fill=—","Direction=H","UseDPDF=Y")</f>
        <v>0</v>
      </c>
      <c r="E49" s="17">
        <f>_xll.BDH("MCHP US Equity","ST_CAPITAL_LEASE_OBLIGATIONS","FY 2013","FY 2013","Currency=USD","Period=FY","BEST_FPERIOD_OVERRIDE=FY","FILING_STATUS=MR","SCALING_FORMAT=MLN","Sort=A","Dates=H","DateFormat=P","Fill=—","Direction=H","UseDPDF=Y")</f>
        <v>0</v>
      </c>
      <c r="F49" s="17">
        <f>_xll.BDH("MCHP US Equity","ST_CAPITAL_LEASE_OBLIGATIONS","FY 2014","FY 2014","Currency=USD","Period=FY","BEST_FPERIOD_OVERRIDE=FY","FILING_STATUS=MR","SCALING_FORMAT=MLN","Sort=A","Dates=H","DateFormat=P","Fill=—","Direction=H","UseDPDF=Y")</f>
        <v>0</v>
      </c>
      <c r="G49" s="17">
        <f>_xll.BDH("MCHP US Equity","ST_CAPITAL_LEASE_OBLIGATIONS","FY 2015","FY 2015","Currency=USD","Period=FY","BEST_FPERIOD_OVERRIDE=FY","FILING_STATUS=MR","SCALING_FORMAT=MLN","Sort=A","Dates=H","DateFormat=P","Fill=—","Direction=H","UseDPDF=Y")</f>
        <v>0</v>
      </c>
      <c r="H49" s="17">
        <f>_xll.BDH("MCHP US Equity","ST_CAPITAL_LEASE_OBLIGATIONS","FY 2016","FY 2016","Currency=USD","Period=FY","BEST_FPERIOD_OVERRIDE=FY","FILING_STATUS=MR","SCALING_FORMAT=MLN","Sort=A","Dates=H","DateFormat=P","Fill=—","Direction=H","UseDPDF=Y")</f>
        <v>0</v>
      </c>
      <c r="I49" s="17">
        <f>_xll.BDH("MCHP US Equity","ST_CAPITAL_LEASE_OBLIGATIONS","FY 2017","FY 2017","Currency=USD","Period=FY","BEST_FPERIOD_OVERRIDE=FY","FILING_STATUS=MR","SCALING_FORMAT=MLN","Sort=A","Dates=H","DateFormat=P","Fill=—","Direction=H","UseDPDF=Y")</f>
        <v>0</v>
      </c>
      <c r="J49" s="17">
        <f>_xll.BDH("MCHP US Equity","ST_CAPITAL_LEASE_OBLIGATIONS","FY 2018","FY 2018","Currency=USD","Period=FY","BEST_FPERIOD_OVERRIDE=FY","FILING_STATUS=MR","SCALING_FORMAT=MLN","Sort=A","Dates=H","DateFormat=P","Fill=—","Direction=H","UseDPDF=Y")</f>
        <v>0</v>
      </c>
      <c r="K49" s="17">
        <f>_xll.BDH("MCHP US Equity","ST_CAPITAL_LEASE_OBLIGATIONS","FY 2019","FY 2019","Currency=USD","Period=FY","BEST_FPERIOD_OVERRIDE=FY","FILING_STATUS=MR","SCALING_FORMAT=MLN","Sort=A","Dates=H","DateFormat=P","Fill=—","Direction=H","UseDPDF=Y")</f>
        <v>0</v>
      </c>
      <c r="L49" s="17">
        <f>_xll.BDH("MCHP US Equity","ST_CAPITAL_LEASE_OBLIGATIONS","FY 2020","FY 2020","Currency=USD","Period=FY","BEST_FPERIOD_OVERRIDE=FY","FILING_STATUS=MR","SCALING_FORMAT=MLN","Sort=A","Dates=H","DateFormat=P","Fill=—","Direction=H","UseDPDF=Y")</f>
        <v>0</v>
      </c>
    </row>
    <row r="50" spans="1:12" x14ac:dyDescent="0.45">
      <c r="A50" s="11" t="s">
        <v>106</v>
      </c>
      <c r="B50" s="11" t="s">
        <v>107</v>
      </c>
      <c r="C50" s="17" t="str">
        <f>_xll.BDH("MCHP US Equity","BS_ST_OPERATING_LEASE_LIABS","FY 2011","FY 2011","Currency=USD","Period=FY","BEST_FPERIOD_OVERRIDE=FY","FILING_STATUS=MR","SCALING_FORMAT=MLN","Sort=A","Dates=H","DateFormat=P","Fill=—","Direction=H","UseDPDF=Y")</f>
        <v>—</v>
      </c>
      <c r="D50" s="17" t="str">
        <f>_xll.BDH("MCHP US Equity","BS_ST_OPERATING_LEASE_LIABS","FY 2012","FY 2012","Currency=USD","Period=FY","BEST_FPERIOD_OVERRIDE=FY","FILING_STATUS=MR","SCALING_FORMAT=MLN","Sort=A","Dates=H","DateFormat=P","Fill=—","Direction=H","UseDPDF=Y")</f>
        <v>—</v>
      </c>
      <c r="E50" s="17" t="str">
        <f>_xll.BDH("MCHP US Equity","BS_ST_OPERATING_LEASE_LIABS","FY 2013","FY 2013","Currency=USD","Period=FY","BEST_FPERIOD_OVERRIDE=FY","FILING_STATUS=MR","SCALING_FORMAT=MLN","Sort=A","Dates=H","DateFormat=P","Fill=—","Direction=H","UseDPDF=Y")</f>
        <v>—</v>
      </c>
      <c r="F50" s="17" t="str">
        <f>_xll.BDH("MCHP US Equity","BS_ST_OPERATING_LEASE_LIABS","FY 2014","FY 2014","Currency=USD","Period=FY","BEST_FPERIOD_OVERRIDE=FY","FILING_STATUS=MR","SCALING_FORMAT=MLN","Sort=A","Dates=H","DateFormat=P","Fill=—","Direction=H","UseDPDF=Y")</f>
        <v>—</v>
      </c>
      <c r="G50" s="17" t="str">
        <f>_xll.BDH("MCHP US Equity","BS_ST_OPERATING_LEASE_LIABS","FY 2015","FY 2015","Currency=USD","Period=FY","BEST_FPERIOD_OVERRIDE=FY","FILING_STATUS=MR","SCALING_FORMAT=MLN","Sort=A","Dates=H","DateFormat=P","Fill=—","Direction=H","UseDPDF=Y")</f>
        <v>—</v>
      </c>
      <c r="H50" s="17" t="str">
        <f>_xll.BDH("MCHP US Equity","BS_ST_OPERATING_LEASE_LIABS","FY 2016","FY 2016","Currency=USD","Period=FY","BEST_FPERIOD_OVERRIDE=FY","FILING_STATUS=MR","SCALING_FORMAT=MLN","Sort=A","Dates=H","DateFormat=P","Fill=—","Direction=H","UseDPDF=Y")</f>
        <v>—</v>
      </c>
      <c r="I50" s="17" t="str">
        <f>_xll.BDH("MCHP US Equity","BS_ST_OPERATING_LEASE_LIABS","FY 2017","FY 2017","Currency=USD","Period=FY","BEST_FPERIOD_OVERRIDE=FY","FILING_STATUS=MR","SCALING_FORMAT=MLN","Sort=A","Dates=H","DateFormat=P","Fill=—","Direction=H","UseDPDF=Y")</f>
        <v>—</v>
      </c>
      <c r="J50" s="17" t="str">
        <f>_xll.BDH("MCHP US Equity","BS_ST_OPERATING_LEASE_LIABS","FY 2018","FY 2018","Currency=USD","Period=FY","BEST_FPERIOD_OVERRIDE=FY","FILING_STATUS=MR","SCALING_FORMAT=MLN","Sort=A","Dates=H","DateFormat=P","Fill=—","Direction=H","UseDPDF=Y")</f>
        <v>—</v>
      </c>
      <c r="K50" s="17" t="str">
        <f>_xll.BDH("MCHP US Equity","BS_ST_OPERATING_LEASE_LIABS","FY 2019","FY 2019","Currency=USD","Period=FY","BEST_FPERIOD_OVERRIDE=FY","FILING_STATUS=MR","SCALING_FORMAT=MLN","Sort=A","Dates=H","DateFormat=P","Fill=—","Direction=H","UseDPDF=Y")</f>
        <v>—</v>
      </c>
      <c r="L50" s="17">
        <f>_xll.BDH("MCHP US Equity","BS_ST_OPERATING_LEASE_LIABS","FY 2020","FY 2020","Currency=USD","Period=FY","BEST_FPERIOD_OVERRIDE=FY","FILING_STATUS=MR","SCALING_FORMAT=MLN","Sort=A","Dates=H","DateFormat=P","Fill=—","Direction=H","UseDPDF=Y")</f>
        <v>44.5</v>
      </c>
    </row>
    <row r="51" spans="1:12" x14ac:dyDescent="0.45">
      <c r="A51" s="10" t="s">
        <v>108</v>
      </c>
      <c r="B51" s="10" t="s">
        <v>109</v>
      </c>
      <c r="C51" s="13" t="str">
        <f>_xll.BDH("MCHP US Equity","BS_CURR_PORTION_LT_DEBT","FY 2011","FY 2011","Currency=USD","Period=FY","BEST_FPERIOD_OVERRIDE=FY","FILING_STATUS=MR","SCALING_FORMAT=MLN","Sort=A","Dates=H","DateFormat=P","Fill=—","Direction=H","UseDPDF=Y")</f>
        <v>—</v>
      </c>
      <c r="D51" s="13" t="str">
        <f>_xll.BDH("MCHP US Equity","BS_CURR_PORTION_LT_DEBT","FY 2012","FY 2012","Currency=USD","Period=FY","BEST_FPERIOD_OVERRIDE=FY","FILING_STATUS=MR","SCALING_FORMAT=MLN","Sort=A","Dates=H","DateFormat=P","Fill=—","Direction=H","UseDPDF=Y")</f>
        <v>—</v>
      </c>
      <c r="E51" s="13" t="str">
        <f>_xll.BDH("MCHP US Equity","BS_CURR_PORTION_LT_DEBT","FY 2013","FY 2013","Currency=USD","Period=FY","BEST_FPERIOD_OVERRIDE=FY","FILING_STATUS=MR","SCALING_FORMAT=MLN","Sort=A","Dates=H","DateFormat=P","Fill=—","Direction=H","UseDPDF=Y")</f>
        <v>—</v>
      </c>
      <c r="F51" s="13" t="str">
        <f>_xll.BDH("MCHP US Equity","BS_CURR_PORTION_LT_DEBT","FY 2014","FY 2014","Currency=USD","Period=FY","BEST_FPERIOD_OVERRIDE=FY","FILING_STATUS=MR","SCALING_FORMAT=MLN","Sort=A","Dates=H","DateFormat=P","Fill=—","Direction=H","UseDPDF=Y")</f>
        <v>—</v>
      </c>
      <c r="G51" s="13">
        <f>_xll.BDH("MCHP US Equity","BS_CURR_PORTION_LT_DEBT","FY 2015","FY 2015","Currency=USD","Period=FY","BEST_FPERIOD_OVERRIDE=FY","FILING_STATUS=MR","SCALING_FORMAT=MLN","Sort=A","Dates=H","DateFormat=P","Fill=—","Direction=H","UseDPDF=Y")</f>
        <v>0</v>
      </c>
      <c r="H51" s="13">
        <f>_xll.BDH("MCHP US Equity","BS_CURR_PORTION_LT_DEBT","FY 2016","FY 2016","Currency=USD","Period=FY","BEST_FPERIOD_OVERRIDE=FY","FILING_STATUS=MR","SCALING_FORMAT=MLN","Sort=A","Dates=H","DateFormat=P","Fill=—","Direction=H","UseDPDF=Y")</f>
        <v>0</v>
      </c>
      <c r="I51" s="13">
        <f>_xll.BDH("MCHP US Equity","BS_CURR_PORTION_LT_DEBT","FY 2017","FY 2017","Currency=USD","Period=FY","BEST_FPERIOD_OVERRIDE=FY","FILING_STATUS=MR","SCALING_FORMAT=MLN","Sort=A","Dates=H","DateFormat=P","Fill=—","Direction=H","UseDPDF=Y")</f>
        <v>50</v>
      </c>
      <c r="J51" s="13">
        <f>_xll.BDH("MCHP US Equity","BS_CURR_PORTION_LT_DEBT","FY 2018","FY 2018","Currency=USD","Period=FY","BEST_FPERIOD_OVERRIDE=FY","FILING_STATUS=MR","SCALING_FORMAT=MLN","Sort=A","Dates=H","DateFormat=P","Fill=—","Direction=H","UseDPDF=Y")</f>
        <v>1309.9000000000001</v>
      </c>
      <c r="K51" s="13">
        <f>_xll.BDH("MCHP US Equity","BS_CURR_PORTION_LT_DEBT","FY 2019","FY 2019","Currency=USD","Period=FY","BEST_FPERIOD_OVERRIDE=FY","FILING_STATUS=MR","SCALING_FORMAT=MLN","Sort=A","Dates=H","DateFormat=P","Fill=—","Direction=H","UseDPDF=Y")</f>
        <v>1360.8</v>
      </c>
      <c r="L51" s="13">
        <f>_xll.BDH("MCHP US Equity","BS_CURR_PORTION_LT_DEBT","FY 2020","FY 2020","Currency=USD","Period=FY","BEST_FPERIOD_OVERRIDE=FY","FILING_STATUS=MR","SCALING_FORMAT=MLN","Sort=A","Dates=H","DateFormat=P","Fill=—","Direction=H","UseDPDF=Y")</f>
        <v>608.79999999999995</v>
      </c>
    </row>
    <row r="52" spans="1:12" x14ac:dyDescent="0.45">
      <c r="A52" s="10" t="s">
        <v>110</v>
      </c>
      <c r="B52" s="10" t="s">
        <v>111</v>
      </c>
      <c r="C52" s="13">
        <f>_xll.BDH("MCHP US Equity","OTHER_CURRENT_LIABS_SUB_DETAILED","FY 2011","FY 2011","Currency=USD","Period=FY","BEST_FPERIOD_OVERRIDE=FY","FILING_STATUS=MR","SCALING_FORMAT=MLN","Sort=A","Dates=H","DateFormat=P","Fill=—","Direction=H","UseDPDF=Y")</f>
        <v>140.04400000000001</v>
      </c>
      <c r="D52" s="13">
        <f>_xll.BDH("MCHP US Equity","OTHER_CURRENT_LIABS_SUB_DETAILED","FY 2012","FY 2012","Currency=USD","Period=FY","BEST_FPERIOD_OVERRIDE=FY","FILING_STATUS=MR","SCALING_FORMAT=MLN","Sort=A","Dates=H","DateFormat=P","Fill=—","Direction=H","UseDPDF=Y")</f>
        <v>108.709</v>
      </c>
      <c r="E52" s="13">
        <f>_xll.BDH("MCHP US Equity","OTHER_CURRENT_LIABS_SUB_DETAILED","FY 2013","FY 2013","Currency=USD","Period=FY","BEST_FPERIOD_OVERRIDE=FY","FILING_STATUS=MR","SCALING_FORMAT=MLN","Sort=A","Dates=H","DateFormat=P","Fill=—","Direction=H","UseDPDF=Y")</f>
        <v>138.952</v>
      </c>
      <c r="F52" s="13">
        <f>_xll.BDH("MCHP US Equity","OTHER_CURRENT_LIABS_SUB_DETAILED","FY 2014","FY 2014","Currency=USD","Period=FY","BEST_FPERIOD_OVERRIDE=FY","FILING_STATUS=MR","SCALING_FORMAT=MLN","Sort=A","Dates=H","DateFormat=P","Fill=—","Direction=H","UseDPDF=Y")</f>
        <v>147.798</v>
      </c>
      <c r="G52" s="13">
        <f>_xll.BDH("MCHP US Equity","OTHER_CURRENT_LIABS_SUB_DETAILED","FY 2015","FY 2015","Currency=USD","Period=FY","BEST_FPERIOD_OVERRIDE=FY","FILING_STATUS=MR","SCALING_FORMAT=MLN","Sort=A","Dates=H","DateFormat=P","Fill=—","Direction=H","UseDPDF=Y")</f>
        <v>166.12799999999999</v>
      </c>
      <c r="H52" s="13">
        <f>_xll.BDH("MCHP US Equity","OTHER_CURRENT_LIABS_SUB_DETAILED","FY 2016","FY 2016","Currency=USD","Period=FY","BEST_FPERIOD_OVERRIDE=FY","FILING_STATUS=MR","SCALING_FORMAT=MLN","Sort=A","Dates=H","DateFormat=P","Fill=—","Direction=H","UseDPDF=Y")</f>
        <v>183.43199999999999</v>
      </c>
      <c r="I52" s="13">
        <f>_xll.BDH("MCHP US Equity","OTHER_CURRENT_LIABS_SUB_DETAILED","FY 2017","FY 2017","Currency=USD","Period=FY","BEST_FPERIOD_OVERRIDE=FY","FILING_STATUS=MR","SCALING_FORMAT=MLN","Sort=A","Dates=H","DateFormat=P","Fill=—","Direction=H","UseDPDF=Y")</f>
        <v>292.8</v>
      </c>
      <c r="J52" s="13">
        <f>_xll.BDH("MCHP US Equity","OTHER_CURRENT_LIABS_SUB_DETAILED","FY 2018","FY 2018","Currency=USD","Period=FY","BEST_FPERIOD_OVERRIDE=FY","FILING_STATUS=MR","SCALING_FORMAT=MLN","Sort=A","Dates=H","DateFormat=P","Fill=—","Direction=H","UseDPDF=Y")</f>
        <v>333.8</v>
      </c>
      <c r="K52" s="13">
        <f>_xll.BDH("MCHP US Equity","OTHER_CURRENT_LIABS_SUB_DETAILED","FY 2019","FY 2019","Currency=USD","Period=FY","BEST_FPERIOD_OVERRIDE=FY","FILING_STATUS=MR","SCALING_FORMAT=MLN","Sort=A","Dates=H","DateFormat=P","Fill=—","Direction=H","UseDPDF=Y")</f>
        <v>0</v>
      </c>
      <c r="L52" s="13">
        <f>_xll.BDH("MCHP US Equity","OTHER_CURRENT_LIABS_SUB_DETAILED","FY 2020","FY 2020","Currency=USD","Period=FY","BEST_FPERIOD_OVERRIDE=FY","FILING_STATUS=MR","SCALING_FORMAT=MLN","Sort=A","Dates=H","DateFormat=P","Fill=—","Direction=H","UseDPDF=Y")</f>
        <v>0</v>
      </c>
    </row>
    <row r="53" spans="1:12" x14ac:dyDescent="0.45">
      <c r="A53" s="10" t="s">
        <v>112</v>
      </c>
      <c r="B53" s="10" t="s">
        <v>113</v>
      </c>
      <c r="C53" s="13">
        <f>_xll.BDH("MCHP US Equity","ST_DEFERRED_REVENUE","FY 2011","FY 2011","Currency=USD","Period=FY","BEST_FPERIOD_OVERRIDE=FY","FILING_STATUS=MR","SCALING_FORMAT=MLN","Sort=A","Dates=H","DateFormat=P","Fill=—","Direction=H","UseDPDF=Y")</f>
        <v>140.04400000000001</v>
      </c>
      <c r="D53" s="13">
        <f>_xll.BDH("MCHP US Equity","ST_DEFERRED_REVENUE","FY 2012","FY 2012","Currency=USD","Period=FY","BEST_FPERIOD_OVERRIDE=FY","FILING_STATUS=MR","SCALING_FORMAT=MLN","Sort=A","Dates=H","DateFormat=P","Fill=—","Direction=H","UseDPDF=Y")</f>
        <v>108.709</v>
      </c>
      <c r="E53" s="13">
        <f>_xll.BDH("MCHP US Equity","ST_DEFERRED_REVENUE","FY 2013","FY 2013","Currency=USD","Period=FY","BEST_FPERIOD_OVERRIDE=FY","FILING_STATUS=MR","SCALING_FORMAT=MLN","Sort=A","Dates=H","DateFormat=P","Fill=—","Direction=H","UseDPDF=Y")</f>
        <v>138.952</v>
      </c>
      <c r="F53" s="13">
        <f>_xll.BDH("MCHP US Equity","ST_DEFERRED_REVENUE","FY 2014","FY 2014","Currency=USD","Period=FY","BEST_FPERIOD_OVERRIDE=FY","FILING_STATUS=MR","SCALING_FORMAT=MLN","Sort=A","Dates=H","DateFormat=P","Fill=—","Direction=H","UseDPDF=Y")</f>
        <v>147.798</v>
      </c>
      <c r="G53" s="13">
        <f>_xll.BDH("MCHP US Equity","ST_DEFERRED_REVENUE","FY 2015","FY 2015","Currency=USD","Period=FY","BEST_FPERIOD_OVERRIDE=FY","FILING_STATUS=MR","SCALING_FORMAT=MLN","Sort=A","Dates=H","DateFormat=P","Fill=—","Direction=H","UseDPDF=Y")</f>
        <v>166.12799999999999</v>
      </c>
      <c r="H53" s="13">
        <f>_xll.BDH("MCHP US Equity","ST_DEFERRED_REVENUE","FY 2016","FY 2016","Currency=USD","Period=FY","BEST_FPERIOD_OVERRIDE=FY","FILING_STATUS=MR","SCALING_FORMAT=MLN","Sort=A","Dates=H","DateFormat=P","Fill=—","Direction=H","UseDPDF=Y")</f>
        <v>183.43199999999999</v>
      </c>
      <c r="I53" s="13">
        <f>_xll.BDH("MCHP US Equity","ST_DEFERRED_REVENUE","FY 2017","FY 2017","Currency=USD","Period=FY","BEST_FPERIOD_OVERRIDE=FY","FILING_STATUS=MR","SCALING_FORMAT=MLN","Sort=A","Dates=H","DateFormat=P","Fill=—","Direction=H","UseDPDF=Y")</f>
        <v>292.8</v>
      </c>
      <c r="J53" s="13">
        <f>_xll.BDH("MCHP US Equity","ST_DEFERRED_REVENUE","FY 2018","FY 2018","Currency=USD","Period=FY","BEST_FPERIOD_OVERRIDE=FY","FILING_STATUS=MR","SCALING_FORMAT=MLN","Sort=A","Dates=H","DateFormat=P","Fill=—","Direction=H","UseDPDF=Y")</f>
        <v>333.8</v>
      </c>
      <c r="K53" s="13">
        <f>_xll.BDH("MCHP US Equity","ST_DEFERRED_REVENUE","FY 2019","FY 2019","Currency=USD","Period=FY","BEST_FPERIOD_OVERRIDE=FY","FILING_STATUS=MR","SCALING_FORMAT=MLN","Sort=A","Dates=H","DateFormat=P","Fill=—","Direction=H","UseDPDF=Y")</f>
        <v>0</v>
      </c>
      <c r="L53" s="13">
        <f>_xll.BDH("MCHP US Equity","ST_DEFERRED_REVENUE","FY 2020","FY 2020","Currency=USD","Period=FY","BEST_FPERIOD_OVERRIDE=FY","FILING_STATUS=MR","SCALING_FORMAT=MLN","Sort=A","Dates=H","DateFormat=P","Fill=—","Direction=H","UseDPDF=Y")</f>
        <v>0</v>
      </c>
    </row>
    <row r="54" spans="1:12" x14ac:dyDescent="0.45">
      <c r="A54" s="10" t="s">
        <v>114</v>
      </c>
      <c r="B54" s="10" t="s">
        <v>115</v>
      </c>
      <c r="C54" s="13">
        <f>_xll.BDH("MCHP US Equity","BS_DERIVATIVE_&amp;_HEDGING_LIABS_ST","FY 2011","FY 2011","Currency=USD","Period=FY","BEST_FPERIOD_OVERRIDE=FY","FILING_STATUS=MR","SCALING_FORMAT=MLN","Sort=A","Dates=H","DateFormat=P","Fill=—","Direction=H","UseDPDF=Y")</f>
        <v>0</v>
      </c>
      <c r="D54" s="13">
        <f>_xll.BDH("MCHP US Equity","BS_DERIVATIVE_&amp;_HEDGING_LIABS_ST","FY 2012","FY 2012","Currency=USD","Period=FY","BEST_FPERIOD_OVERRIDE=FY","FILING_STATUS=MR","SCALING_FORMAT=MLN","Sort=A","Dates=H","DateFormat=P","Fill=—","Direction=H","UseDPDF=Y")</f>
        <v>0</v>
      </c>
      <c r="E54" s="13">
        <f>_xll.BDH("MCHP US Equity","BS_DERIVATIVE_&amp;_HEDGING_LIABS_ST","FY 2013","FY 2013","Currency=USD","Period=FY","BEST_FPERIOD_OVERRIDE=FY","FILING_STATUS=MR","SCALING_FORMAT=MLN","Sort=A","Dates=H","DateFormat=P","Fill=—","Direction=H","UseDPDF=Y")</f>
        <v>0</v>
      </c>
      <c r="F54" s="13">
        <f>_xll.BDH("MCHP US Equity","BS_DERIVATIVE_&amp;_HEDGING_LIABS_ST","FY 2014","FY 2014","Currency=USD","Period=FY","BEST_FPERIOD_OVERRIDE=FY","FILING_STATUS=MR","SCALING_FORMAT=MLN","Sort=A","Dates=H","DateFormat=P","Fill=—","Direction=H","UseDPDF=Y")</f>
        <v>0</v>
      </c>
      <c r="G54" s="13">
        <f>_xll.BDH("MCHP US Equity","BS_DERIVATIVE_&amp;_HEDGING_LIABS_ST","FY 2015","FY 2015","Currency=USD","Period=FY","BEST_FPERIOD_OVERRIDE=FY","FILING_STATUS=MR","SCALING_FORMAT=MLN","Sort=A","Dates=H","DateFormat=P","Fill=—","Direction=H","UseDPDF=Y")</f>
        <v>0</v>
      </c>
      <c r="H54" s="13">
        <f>_xll.BDH("MCHP US Equity","BS_DERIVATIVE_&amp;_HEDGING_LIABS_ST","FY 2016","FY 2016","Currency=USD","Period=FY","BEST_FPERIOD_OVERRIDE=FY","FILING_STATUS=MR","SCALING_FORMAT=MLN","Sort=A","Dates=H","DateFormat=P","Fill=—","Direction=H","UseDPDF=Y")</f>
        <v>0</v>
      </c>
      <c r="I54" s="13">
        <f>_xll.BDH("MCHP US Equity","BS_DERIVATIVE_&amp;_HEDGING_LIABS_ST","FY 2017","FY 2017","Currency=USD","Period=FY","BEST_FPERIOD_OVERRIDE=FY","FILING_STATUS=MR","SCALING_FORMAT=MLN","Sort=A","Dates=H","DateFormat=P","Fill=—","Direction=H","UseDPDF=Y")</f>
        <v>0</v>
      </c>
      <c r="J54" s="13">
        <f>_xll.BDH("MCHP US Equity","BS_DERIVATIVE_&amp;_HEDGING_LIABS_ST","FY 2018","FY 2018","Currency=USD","Period=FY","BEST_FPERIOD_OVERRIDE=FY","FILING_STATUS=MR","SCALING_FORMAT=MLN","Sort=A","Dates=H","DateFormat=P","Fill=—","Direction=H","UseDPDF=Y")</f>
        <v>0</v>
      </c>
      <c r="K54" s="13">
        <f>_xll.BDH("MCHP US Equity","BS_DERIVATIVE_&amp;_HEDGING_LIABS_ST","FY 2019","FY 2019","Currency=USD","Period=FY","BEST_FPERIOD_OVERRIDE=FY","FILING_STATUS=MR","SCALING_FORMAT=MLN","Sort=A","Dates=H","DateFormat=P","Fill=—","Direction=H","UseDPDF=Y")</f>
        <v>0</v>
      </c>
      <c r="L54" s="13">
        <f>_xll.BDH("MCHP US Equity","BS_DERIVATIVE_&amp;_HEDGING_LIABS_ST","FY 2020","FY 2020","Currency=USD","Period=FY","BEST_FPERIOD_OVERRIDE=FY","FILING_STATUS=MR","SCALING_FORMAT=MLN","Sort=A","Dates=H","DateFormat=P","Fill=—","Direction=H","UseDPDF=Y")</f>
        <v>0</v>
      </c>
    </row>
    <row r="55" spans="1:12" x14ac:dyDescent="0.45">
      <c r="A55" s="10" t="s">
        <v>116</v>
      </c>
      <c r="B55" s="10" t="s">
        <v>117</v>
      </c>
      <c r="C55" s="13">
        <f>_xll.BDH("MCHP US Equity","OTHER_CURRENT_LIABS_DETAILED","FY 2011","FY 2011","Currency=USD","Period=FY","BEST_FPERIOD_OVERRIDE=FY","FILING_STATUS=MR","SCALING_FORMAT=MLN","Sort=A","Dates=H","DateFormat=P","Fill=—","Direction=H","UseDPDF=Y")</f>
        <v>0</v>
      </c>
      <c r="D55" s="13">
        <f>_xll.BDH("MCHP US Equity","OTHER_CURRENT_LIABS_DETAILED","FY 2012","FY 2012","Currency=USD","Period=FY","BEST_FPERIOD_OVERRIDE=FY","FILING_STATUS=MR","SCALING_FORMAT=MLN","Sort=A","Dates=H","DateFormat=P","Fill=—","Direction=H","UseDPDF=Y")</f>
        <v>0</v>
      </c>
      <c r="E55" s="13">
        <f>_xll.BDH("MCHP US Equity","OTHER_CURRENT_LIABS_DETAILED","FY 2013","FY 2013","Currency=USD","Period=FY","BEST_FPERIOD_OVERRIDE=FY","FILING_STATUS=MR","SCALING_FORMAT=MLN","Sort=A","Dates=H","DateFormat=P","Fill=—","Direction=H","UseDPDF=Y")</f>
        <v>0</v>
      </c>
      <c r="F55" s="13">
        <f>_xll.BDH("MCHP US Equity","OTHER_CURRENT_LIABS_DETAILED","FY 2014","FY 2014","Currency=USD","Period=FY","BEST_FPERIOD_OVERRIDE=FY","FILING_STATUS=MR","SCALING_FORMAT=MLN","Sort=A","Dates=H","DateFormat=P","Fill=—","Direction=H","UseDPDF=Y")</f>
        <v>0</v>
      </c>
      <c r="G55" s="13">
        <f>_xll.BDH("MCHP US Equity","OTHER_CURRENT_LIABS_DETAILED","FY 2015","FY 2015","Currency=USD","Period=FY","BEST_FPERIOD_OVERRIDE=FY","FILING_STATUS=MR","SCALING_FORMAT=MLN","Sort=A","Dates=H","DateFormat=P","Fill=—","Direction=H","UseDPDF=Y")</f>
        <v>0</v>
      </c>
      <c r="H55" s="13">
        <f>_xll.BDH("MCHP US Equity","OTHER_CURRENT_LIABS_DETAILED","FY 2016","FY 2016","Currency=USD","Period=FY","BEST_FPERIOD_OVERRIDE=FY","FILING_STATUS=MR","SCALING_FORMAT=MLN","Sort=A","Dates=H","DateFormat=P","Fill=—","Direction=H","UseDPDF=Y")</f>
        <v>0</v>
      </c>
      <c r="I55" s="13">
        <f>_xll.BDH("MCHP US Equity","OTHER_CURRENT_LIABS_DETAILED","FY 2017","FY 2017","Currency=USD","Period=FY","BEST_FPERIOD_OVERRIDE=FY","FILING_STATUS=MR","SCALING_FORMAT=MLN","Sort=A","Dates=H","DateFormat=P","Fill=—","Direction=H","UseDPDF=Y")</f>
        <v>0</v>
      </c>
      <c r="J55" s="13">
        <f>_xll.BDH("MCHP US Equity","OTHER_CURRENT_LIABS_DETAILED","FY 2018","FY 2018","Currency=USD","Period=FY","BEST_FPERIOD_OVERRIDE=FY","FILING_STATUS=MR","SCALING_FORMAT=MLN","Sort=A","Dates=H","DateFormat=P","Fill=—","Direction=H","UseDPDF=Y")</f>
        <v>0</v>
      </c>
      <c r="K55" s="13">
        <f>_xll.BDH("MCHP US Equity","OTHER_CURRENT_LIABS_DETAILED","FY 2019","FY 2019","Currency=USD","Period=FY","BEST_FPERIOD_OVERRIDE=FY","FILING_STATUS=MR","SCALING_FORMAT=MLN","Sort=A","Dates=H","DateFormat=P","Fill=—","Direction=H","UseDPDF=Y")</f>
        <v>0</v>
      </c>
      <c r="L55" s="13">
        <f>_xll.BDH("MCHP US Equity","OTHER_CURRENT_LIABS_DETAILED","FY 2020","FY 2020","Currency=USD","Period=FY","BEST_FPERIOD_OVERRIDE=FY","FILING_STATUS=MR","SCALING_FORMAT=MLN","Sort=A","Dates=H","DateFormat=P","Fill=—","Direction=H","UseDPDF=Y")</f>
        <v>0</v>
      </c>
    </row>
    <row r="56" spans="1:12" x14ac:dyDescent="0.45">
      <c r="A56" s="6" t="s">
        <v>118</v>
      </c>
      <c r="B56" s="6" t="s">
        <v>119</v>
      </c>
      <c r="C56" s="16">
        <f>_xll.BDH("MCHP US Equity","BS_CUR_LIAB","FY 2011","FY 2011","Currency=USD","Period=FY","BEST_FPERIOD_OVERRIDE=FY","FILING_STATUS=MR","SCALING_FORMAT=MLN","Sort=A","Dates=H","DateFormat=P","Fill=—","Direction=H","UseDPDF=Y")</f>
        <v>340.31599999999997</v>
      </c>
      <c r="D56" s="16">
        <f>_xll.BDH("MCHP US Equity","BS_CUR_LIAB","FY 2012","FY 2012","Currency=USD","Period=FY","BEST_FPERIOD_OVERRIDE=FY","FILING_STATUS=MR","SCALING_FORMAT=MLN","Sort=A","Dates=H","DateFormat=P","Fill=—","Direction=H","UseDPDF=Y")</f>
        <v>247.87299999999999</v>
      </c>
      <c r="E56" s="16">
        <f>_xll.BDH("MCHP US Equity","BS_CUR_LIAB","FY 2013","FY 2013","Currency=USD","Period=FY","BEST_FPERIOD_OVERRIDE=FY","FILING_STATUS=MR","SCALING_FORMAT=MLN","Sort=A","Dates=H","DateFormat=P","Fill=—","Direction=H","UseDPDF=Y")</f>
        <v>341.61099999999999</v>
      </c>
      <c r="F56" s="16">
        <f>_xll.BDH("MCHP US Equity","BS_CUR_LIAB","FY 2014","FY 2014","Currency=USD","Period=FY","BEST_FPERIOD_OVERRIDE=FY","FILING_STATUS=MR","SCALING_FORMAT=MLN","Sort=A","Dates=H","DateFormat=P","Fill=—","Direction=H","UseDPDF=Y")</f>
        <v>336.07900000000001</v>
      </c>
      <c r="G56" s="16">
        <f>_xll.BDH("MCHP US Equity","BS_CUR_LIAB","FY 2015","FY 2015","Currency=USD","Period=FY","BEST_FPERIOD_OVERRIDE=FY","FILING_STATUS=MR","SCALING_FORMAT=MLN","Sort=A","Dates=H","DateFormat=P","Fill=—","Direction=H","UseDPDF=Y")</f>
        <v>353.97199999999998</v>
      </c>
      <c r="H56" s="16">
        <f>_xll.BDH("MCHP US Equity","BS_CUR_LIAB","FY 2016","FY 2016","Currency=USD","Period=FY","BEST_FPERIOD_OVERRIDE=FY","FILING_STATUS=MR","SCALING_FORMAT=MLN","Sort=A","Dates=H","DateFormat=P","Fill=—","Direction=H","UseDPDF=Y")</f>
        <v>382.00900000000001</v>
      </c>
      <c r="I56" s="16">
        <f>_xll.BDH("MCHP US Equity","BS_CUR_LIAB","FY 2017","FY 2017","Currency=USD","Period=FY","BEST_FPERIOD_OVERRIDE=FY","FILING_STATUS=MR","SCALING_FORMAT=MLN","Sort=A","Dates=H","DateFormat=P","Fill=—","Direction=H","UseDPDF=Y")</f>
        <v>704.5</v>
      </c>
      <c r="J56" s="16">
        <f>_xll.BDH("MCHP US Equity","BS_CUR_LIAB","FY 2018","FY 2018","Currency=USD","Period=FY","BEST_FPERIOD_OVERRIDE=FY","FILING_STATUS=MR","SCALING_FORMAT=MLN","Sort=A","Dates=H","DateFormat=P","Fill=—","Direction=H","UseDPDF=Y")</f>
        <v>2017.4</v>
      </c>
      <c r="K56" s="16">
        <f>_xll.BDH("MCHP US Equity","BS_CUR_LIAB","FY 2019","FY 2019","Currency=USD","Period=FY","BEST_FPERIOD_OVERRIDE=FY","FILING_STATUS=MR","SCALING_FORMAT=MLN","Sort=A","Dates=H","DateFormat=P","Fill=—","Direction=H","UseDPDF=Y")</f>
        <v>2374.5</v>
      </c>
      <c r="L56" s="16">
        <f>_xll.BDH("MCHP US Equity","BS_CUR_LIAB","FY 2020","FY 2020","Currency=USD","Period=FY","BEST_FPERIOD_OVERRIDE=FY","FILING_STATUS=MR","SCALING_FORMAT=MLN","Sort=A","Dates=H","DateFormat=P","Fill=—","Direction=H","UseDPDF=Y")</f>
        <v>1637.4</v>
      </c>
    </row>
    <row r="57" spans="1:12" x14ac:dyDescent="0.45">
      <c r="A57" s="10" t="s">
        <v>120</v>
      </c>
      <c r="B57" s="10" t="s">
        <v>121</v>
      </c>
      <c r="C57" s="13">
        <f>_xll.BDH("MCHP US Equity","BS_LT_BORROW","FY 2011","FY 2011","Currency=USD","Period=FY","BEST_FPERIOD_OVERRIDE=FY","FILING_STATUS=MR","SCALING_FORMAT=MLN","Sort=A","Dates=H","DateFormat=P","Fill=—","Direction=H","UseDPDF=Y")</f>
        <v>347.334</v>
      </c>
      <c r="D57" s="13">
        <f>_xll.BDH("MCHP US Equity","BS_LT_BORROW","FY 2012","FY 2012","Currency=USD","Period=FY","BEST_FPERIOD_OVERRIDE=FY","FILING_STATUS=MR","SCALING_FORMAT=MLN","Sort=A","Dates=H","DateFormat=P","Fill=—","Direction=H","UseDPDF=Y")</f>
        <v>355.05</v>
      </c>
      <c r="E57" s="13">
        <f>_xll.BDH("MCHP US Equity","BS_LT_BORROW","FY 2013","FY 2013","Currency=USD","Period=FY","BEST_FPERIOD_OVERRIDE=FY","FILING_STATUS=MR","SCALING_FORMAT=MLN","Sort=A","Dates=H","DateFormat=P","Fill=—","Direction=H","UseDPDF=Y")</f>
        <v>983.38499999999999</v>
      </c>
      <c r="F57" s="13">
        <f>_xll.BDH("MCHP US Equity","BS_LT_BORROW","FY 2014","FY 2014","Currency=USD","Period=FY","BEST_FPERIOD_OVERRIDE=FY","FILING_STATUS=MR","SCALING_FORMAT=MLN","Sort=A","Dates=H","DateFormat=P","Fill=—","Direction=H","UseDPDF=Y")</f>
        <v>1003.258</v>
      </c>
      <c r="G57" s="13">
        <f>_xll.BDH("MCHP US Equity","BS_LT_BORROW","FY 2015","FY 2015","Currency=USD","Period=FY","BEST_FPERIOD_OVERRIDE=FY","FILING_STATUS=MR","SCALING_FORMAT=MLN","Sort=A","Dates=H","DateFormat=P","Fill=—","Direction=H","UseDPDF=Y")</f>
        <v>1826.8579999999999</v>
      </c>
      <c r="H57" s="13">
        <f>_xll.BDH("MCHP US Equity","BS_LT_BORROW","FY 2016","FY 2016","Currency=USD","Period=FY","BEST_FPERIOD_OVERRIDE=FY","FILING_STATUS=MR","SCALING_FORMAT=MLN","Sort=A","Dates=H","DateFormat=P","Fill=—","Direction=H","UseDPDF=Y")</f>
        <v>2453.4050000000002</v>
      </c>
      <c r="I57" s="13">
        <f>_xll.BDH("MCHP US Equity","BS_LT_BORROW","FY 2017","FY 2017","Currency=USD","Period=FY","BEST_FPERIOD_OVERRIDE=FY","FILING_STATUS=MR","SCALING_FORMAT=MLN","Sort=A","Dates=H","DateFormat=P","Fill=—","Direction=H","UseDPDF=Y")</f>
        <v>2900.5</v>
      </c>
      <c r="J57" s="13">
        <f>_xll.BDH("MCHP US Equity","BS_LT_BORROW","FY 2018","FY 2018","Currency=USD","Period=FY","BEST_FPERIOD_OVERRIDE=FY","FILING_STATUS=MR","SCALING_FORMAT=MLN","Sort=A","Dates=H","DateFormat=P","Fill=—","Direction=H","UseDPDF=Y")</f>
        <v>1758.4</v>
      </c>
      <c r="K57" s="13">
        <f>_xll.BDH("MCHP US Equity","BS_LT_BORROW","FY 2019","FY 2019","Currency=USD","Period=FY","BEST_FPERIOD_OVERRIDE=FY","FILING_STATUS=MR","SCALING_FORMAT=MLN","Sort=A","Dates=H","DateFormat=P","Fill=—","Direction=H","UseDPDF=Y")</f>
        <v>8946.2000000000007</v>
      </c>
      <c r="L57" s="13">
        <f>_xll.BDH("MCHP US Equity","BS_LT_BORROW","FY 2020","FY 2020","Currency=USD","Period=FY","BEST_FPERIOD_OVERRIDE=FY","FILING_STATUS=MR","SCALING_FORMAT=MLN","Sort=A","Dates=H","DateFormat=P","Fill=—","Direction=H","UseDPDF=Y")</f>
        <v>8968.1</v>
      </c>
    </row>
    <row r="58" spans="1:12" x14ac:dyDescent="0.45">
      <c r="A58" s="10" t="s">
        <v>122</v>
      </c>
      <c r="B58" s="10" t="s">
        <v>123</v>
      </c>
      <c r="C58" s="13">
        <f>_xll.BDH("MCHP US Equity","LONG_TERM_BORROWINGS_DETAILED","FY 2011","FY 2011","Currency=USD","Period=FY","BEST_FPERIOD_OVERRIDE=FY","FILING_STATUS=MR","SCALING_FORMAT=MLN","Sort=A","Dates=H","DateFormat=P","Fill=—","Direction=H","UseDPDF=Y")</f>
        <v>347.334</v>
      </c>
      <c r="D58" s="13">
        <f>_xll.BDH("MCHP US Equity","LONG_TERM_BORROWINGS_DETAILED","FY 2012","FY 2012","Currency=USD","Period=FY","BEST_FPERIOD_OVERRIDE=FY","FILING_STATUS=MR","SCALING_FORMAT=MLN","Sort=A","Dates=H","DateFormat=P","Fill=—","Direction=H","UseDPDF=Y")</f>
        <v>355.05</v>
      </c>
      <c r="E58" s="13">
        <f>_xll.BDH("MCHP US Equity","LONG_TERM_BORROWINGS_DETAILED","FY 2013","FY 2013","Currency=USD","Period=FY","BEST_FPERIOD_OVERRIDE=FY","FILING_STATUS=MR","SCALING_FORMAT=MLN","Sort=A","Dates=H","DateFormat=P","Fill=—","Direction=H","UseDPDF=Y")</f>
        <v>983.38499999999999</v>
      </c>
      <c r="F58" s="13">
        <f>_xll.BDH("MCHP US Equity","LONG_TERM_BORROWINGS_DETAILED","FY 2014","FY 2014","Currency=USD","Period=FY","BEST_FPERIOD_OVERRIDE=FY","FILING_STATUS=MR","SCALING_FORMAT=MLN","Sort=A","Dates=H","DateFormat=P","Fill=—","Direction=H","UseDPDF=Y")</f>
        <v>1003.258</v>
      </c>
      <c r="G58" s="13">
        <f>_xll.BDH("MCHP US Equity","LONG_TERM_BORROWINGS_DETAILED","FY 2015","FY 2015","Currency=USD","Period=FY","BEST_FPERIOD_OVERRIDE=FY","FILING_STATUS=MR","SCALING_FORMAT=MLN","Sort=A","Dates=H","DateFormat=P","Fill=—","Direction=H","UseDPDF=Y")</f>
        <v>1826.8579999999999</v>
      </c>
      <c r="H58" s="13">
        <f>_xll.BDH("MCHP US Equity","LONG_TERM_BORROWINGS_DETAILED","FY 2016","FY 2016","Currency=USD","Period=FY","BEST_FPERIOD_OVERRIDE=FY","FILING_STATUS=MR","SCALING_FORMAT=MLN","Sort=A","Dates=H","DateFormat=P","Fill=—","Direction=H","UseDPDF=Y")</f>
        <v>2453.4050000000002</v>
      </c>
      <c r="I58" s="13">
        <f>_xll.BDH("MCHP US Equity","LONG_TERM_BORROWINGS_DETAILED","FY 2017","FY 2017","Currency=USD","Period=FY","BEST_FPERIOD_OVERRIDE=FY","FILING_STATUS=MR","SCALING_FORMAT=MLN","Sort=A","Dates=H","DateFormat=P","Fill=—","Direction=H","UseDPDF=Y")</f>
        <v>2900.5</v>
      </c>
      <c r="J58" s="13">
        <f>_xll.BDH("MCHP US Equity","LONG_TERM_BORROWINGS_DETAILED","FY 2018","FY 2018","Currency=USD","Period=FY","BEST_FPERIOD_OVERRIDE=FY","FILING_STATUS=MR","SCALING_FORMAT=MLN","Sort=A","Dates=H","DateFormat=P","Fill=—","Direction=H","UseDPDF=Y")</f>
        <v>1758.4</v>
      </c>
      <c r="K58" s="13">
        <f>_xll.BDH("MCHP US Equity","LONG_TERM_BORROWINGS_DETAILED","FY 2019","FY 2019","Currency=USD","Period=FY","BEST_FPERIOD_OVERRIDE=FY","FILING_STATUS=MR","SCALING_FORMAT=MLN","Sort=A","Dates=H","DateFormat=P","Fill=—","Direction=H","UseDPDF=Y")</f>
        <v>8946.2000000000007</v>
      </c>
      <c r="L58" s="13">
        <f>_xll.BDH("MCHP US Equity","LONG_TERM_BORROWINGS_DETAILED","FY 2020","FY 2020","Currency=USD","Period=FY","BEST_FPERIOD_OVERRIDE=FY","FILING_STATUS=MR","SCALING_FORMAT=MLN","Sort=A","Dates=H","DateFormat=P","Fill=—","Direction=H","UseDPDF=Y")</f>
        <v>8873.4</v>
      </c>
    </row>
    <row r="59" spans="1:12" x14ac:dyDescent="0.45">
      <c r="A59" s="10" t="s">
        <v>124</v>
      </c>
      <c r="B59" s="10" t="s">
        <v>125</v>
      </c>
      <c r="C59" s="13">
        <f>_xll.BDH("MCHP US Equity","LT_CAPITALIZED_LEASE_LIABILITIES","FY 2011","FY 2011","Currency=USD","Period=FY","BEST_FPERIOD_OVERRIDE=FY","FILING_STATUS=MR","SCALING_FORMAT=MLN","Sort=A","Dates=H","DateFormat=P","Fill=—","Direction=H","UseDPDF=Y")</f>
        <v>0</v>
      </c>
      <c r="D59" s="13">
        <f>_xll.BDH("MCHP US Equity","LT_CAPITALIZED_LEASE_LIABILITIES","FY 2012","FY 2012","Currency=USD","Period=FY","BEST_FPERIOD_OVERRIDE=FY","FILING_STATUS=MR","SCALING_FORMAT=MLN","Sort=A","Dates=H","DateFormat=P","Fill=—","Direction=H","UseDPDF=Y")</f>
        <v>0</v>
      </c>
      <c r="E59" s="13">
        <f>_xll.BDH("MCHP US Equity","LT_CAPITALIZED_LEASE_LIABILITIES","FY 2013","FY 2013","Currency=USD","Period=FY","BEST_FPERIOD_OVERRIDE=FY","FILING_STATUS=MR","SCALING_FORMAT=MLN","Sort=A","Dates=H","DateFormat=P","Fill=—","Direction=H","UseDPDF=Y")</f>
        <v>0</v>
      </c>
      <c r="F59" s="13">
        <f>_xll.BDH("MCHP US Equity","LT_CAPITALIZED_LEASE_LIABILITIES","FY 2014","FY 2014","Currency=USD","Period=FY","BEST_FPERIOD_OVERRIDE=FY","FILING_STATUS=MR","SCALING_FORMAT=MLN","Sort=A","Dates=H","DateFormat=P","Fill=—","Direction=H","UseDPDF=Y")</f>
        <v>0</v>
      </c>
      <c r="G59" s="13">
        <f>_xll.BDH("MCHP US Equity","LT_CAPITALIZED_LEASE_LIABILITIES","FY 2015","FY 2015","Currency=USD","Period=FY","BEST_FPERIOD_OVERRIDE=FY","FILING_STATUS=MR","SCALING_FORMAT=MLN","Sort=A","Dates=H","DateFormat=P","Fill=—","Direction=H","UseDPDF=Y")</f>
        <v>0</v>
      </c>
      <c r="H59" s="13">
        <f>_xll.BDH("MCHP US Equity","LT_CAPITALIZED_LEASE_LIABILITIES","FY 2016","FY 2016","Currency=USD","Period=FY","BEST_FPERIOD_OVERRIDE=FY","FILING_STATUS=MR","SCALING_FORMAT=MLN","Sort=A","Dates=H","DateFormat=P","Fill=—","Direction=H","UseDPDF=Y")</f>
        <v>0</v>
      </c>
      <c r="I59" s="13">
        <f>_xll.BDH("MCHP US Equity","LT_CAPITALIZED_LEASE_LIABILITIES","FY 2017","FY 2017","Currency=USD","Period=FY","BEST_FPERIOD_OVERRIDE=FY","FILING_STATUS=MR","SCALING_FORMAT=MLN","Sort=A","Dates=H","DateFormat=P","Fill=—","Direction=H","UseDPDF=Y")</f>
        <v>0</v>
      </c>
      <c r="J59" s="13">
        <f>_xll.BDH("MCHP US Equity","LT_CAPITALIZED_LEASE_LIABILITIES","FY 2018","FY 2018","Currency=USD","Period=FY","BEST_FPERIOD_OVERRIDE=FY","FILING_STATUS=MR","SCALING_FORMAT=MLN","Sort=A","Dates=H","DateFormat=P","Fill=—","Direction=H","UseDPDF=Y")</f>
        <v>0</v>
      </c>
      <c r="K59" s="13">
        <f>_xll.BDH("MCHP US Equity","LT_CAPITALIZED_LEASE_LIABILITIES","FY 2019","FY 2019","Currency=USD","Period=FY","BEST_FPERIOD_OVERRIDE=FY","FILING_STATUS=MR","SCALING_FORMAT=MLN","Sort=A","Dates=H","DateFormat=P","Fill=—","Direction=H","UseDPDF=Y")</f>
        <v>0</v>
      </c>
      <c r="L59" s="13">
        <f>_xll.BDH("MCHP US Equity","LT_CAPITALIZED_LEASE_LIABILITIES","FY 2020","FY 2020","Currency=USD","Period=FY","BEST_FPERIOD_OVERRIDE=FY","FILING_STATUS=MR","SCALING_FORMAT=MLN","Sort=A","Dates=H","DateFormat=P","Fill=—","Direction=H","UseDPDF=Y")</f>
        <v>94.7</v>
      </c>
    </row>
    <row r="60" spans="1:12" x14ac:dyDescent="0.45">
      <c r="A60" s="11" t="s">
        <v>126</v>
      </c>
      <c r="B60" s="11" t="s">
        <v>127</v>
      </c>
      <c r="C60" s="17">
        <f>_xll.BDH("MCHP US Equity","LT_CAPITAL_LEASE_OBLIGATIONS","FY 2011","FY 2011","Currency=USD","Period=FY","BEST_FPERIOD_OVERRIDE=FY","FILING_STATUS=MR","SCALING_FORMAT=MLN","Sort=A","Dates=H","DateFormat=P","Fill=—","Direction=H","UseDPDF=Y")</f>
        <v>0</v>
      </c>
      <c r="D60" s="17">
        <f>_xll.BDH("MCHP US Equity","LT_CAPITAL_LEASE_OBLIGATIONS","FY 2012","FY 2012","Currency=USD","Period=FY","BEST_FPERIOD_OVERRIDE=FY","FILING_STATUS=MR","SCALING_FORMAT=MLN","Sort=A","Dates=H","DateFormat=P","Fill=—","Direction=H","UseDPDF=Y")</f>
        <v>0</v>
      </c>
      <c r="E60" s="17">
        <f>_xll.BDH("MCHP US Equity","LT_CAPITAL_LEASE_OBLIGATIONS","FY 2013","FY 2013","Currency=USD","Period=FY","BEST_FPERIOD_OVERRIDE=FY","FILING_STATUS=MR","SCALING_FORMAT=MLN","Sort=A","Dates=H","DateFormat=P","Fill=—","Direction=H","UseDPDF=Y")</f>
        <v>0</v>
      </c>
      <c r="F60" s="17">
        <f>_xll.BDH("MCHP US Equity","LT_CAPITAL_LEASE_OBLIGATIONS","FY 2014","FY 2014","Currency=USD","Period=FY","BEST_FPERIOD_OVERRIDE=FY","FILING_STATUS=MR","SCALING_FORMAT=MLN","Sort=A","Dates=H","DateFormat=P","Fill=—","Direction=H","UseDPDF=Y")</f>
        <v>0</v>
      </c>
      <c r="G60" s="17">
        <f>_xll.BDH("MCHP US Equity","LT_CAPITAL_LEASE_OBLIGATIONS","FY 2015","FY 2015","Currency=USD","Period=FY","BEST_FPERIOD_OVERRIDE=FY","FILING_STATUS=MR","SCALING_FORMAT=MLN","Sort=A","Dates=H","DateFormat=P","Fill=—","Direction=H","UseDPDF=Y")</f>
        <v>0</v>
      </c>
      <c r="H60" s="17">
        <f>_xll.BDH("MCHP US Equity","LT_CAPITAL_LEASE_OBLIGATIONS","FY 2016","FY 2016","Currency=USD","Period=FY","BEST_FPERIOD_OVERRIDE=FY","FILING_STATUS=MR","SCALING_FORMAT=MLN","Sort=A","Dates=H","DateFormat=P","Fill=—","Direction=H","UseDPDF=Y")</f>
        <v>0</v>
      </c>
      <c r="I60" s="17">
        <f>_xll.BDH("MCHP US Equity","LT_CAPITAL_LEASE_OBLIGATIONS","FY 2017","FY 2017","Currency=USD","Period=FY","BEST_FPERIOD_OVERRIDE=FY","FILING_STATUS=MR","SCALING_FORMAT=MLN","Sort=A","Dates=H","DateFormat=P","Fill=—","Direction=H","UseDPDF=Y")</f>
        <v>0</v>
      </c>
      <c r="J60" s="17">
        <f>_xll.BDH("MCHP US Equity","LT_CAPITAL_LEASE_OBLIGATIONS","FY 2018","FY 2018","Currency=USD","Period=FY","BEST_FPERIOD_OVERRIDE=FY","FILING_STATUS=MR","SCALING_FORMAT=MLN","Sort=A","Dates=H","DateFormat=P","Fill=—","Direction=H","UseDPDF=Y")</f>
        <v>0</v>
      </c>
      <c r="K60" s="17">
        <f>_xll.BDH("MCHP US Equity","LT_CAPITAL_LEASE_OBLIGATIONS","FY 2019","FY 2019","Currency=USD","Period=FY","BEST_FPERIOD_OVERRIDE=FY","FILING_STATUS=MR","SCALING_FORMAT=MLN","Sort=A","Dates=H","DateFormat=P","Fill=—","Direction=H","UseDPDF=Y")</f>
        <v>0</v>
      </c>
      <c r="L60" s="17">
        <f>_xll.BDH("MCHP US Equity","LT_CAPITAL_LEASE_OBLIGATIONS","FY 2020","FY 2020","Currency=USD","Period=FY","BEST_FPERIOD_OVERRIDE=FY","FILING_STATUS=MR","SCALING_FORMAT=MLN","Sort=A","Dates=H","DateFormat=P","Fill=—","Direction=H","UseDPDF=Y")</f>
        <v>0</v>
      </c>
    </row>
    <row r="61" spans="1:12" x14ac:dyDescent="0.45">
      <c r="A61" s="11" t="s">
        <v>128</v>
      </c>
      <c r="B61" s="11" t="s">
        <v>129</v>
      </c>
      <c r="C61" s="17" t="str">
        <f>_xll.BDH("MCHP US Equity","BS_LT_OPERATING_LEASE_LIABS","FY 2011","FY 2011","Currency=USD","Period=FY","BEST_FPERIOD_OVERRIDE=FY","FILING_STATUS=MR","SCALING_FORMAT=MLN","Sort=A","Dates=H","DateFormat=P","Fill=—","Direction=H","UseDPDF=Y")</f>
        <v>—</v>
      </c>
      <c r="D61" s="17" t="str">
        <f>_xll.BDH("MCHP US Equity","BS_LT_OPERATING_LEASE_LIABS","FY 2012","FY 2012","Currency=USD","Period=FY","BEST_FPERIOD_OVERRIDE=FY","FILING_STATUS=MR","SCALING_FORMAT=MLN","Sort=A","Dates=H","DateFormat=P","Fill=—","Direction=H","UseDPDF=Y")</f>
        <v>—</v>
      </c>
      <c r="E61" s="17" t="str">
        <f>_xll.BDH("MCHP US Equity","BS_LT_OPERATING_LEASE_LIABS","FY 2013","FY 2013","Currency=USD","Period=FY","BEST_FPERIOD_OVERRIDE=FY","FILING_STATUS=MR","SCALING_FORMAT=MLN","Sort=A","Dates=H","DateFormat=P","Fill=—","Direction=H","UseDPDF=Y")</f>
        <v>—</v>
      </c>
      <c r="F61" s="17" t="str">
        <f>_xll.BDH("MCHP US Equity","BS_LT_OPERATING_LEASE_LIABS","FY 2014","FY 2014","Currency=USD","Period=FY","BEST_FPERIOD_OVERRIDE=FY","FILING_STATUS=MR","SCALING_FORMAT=MLN","Sort=A","Dates=H","DateFormat=P","Fill=—","Direction=H","UseDPDF=Y")</f>
        <v>—</v>
      </c>
      <c r="G61" s="17" t="str">
        <f>_xll.BDH("MCHP US Equity","BS_LT_OPERATING_LEASE_LIABS","FY 2015","FY 2015","Currency=USD","Period=FY","BEST_FPERIOD_OVERRIDE=FY","FILING_STATUS=MR","SCALING_FORMAT=MLN","Sort=A","Dates=H","DateFormat=P","Fill=—","Direction=H","UseDPDF=Y")</f>
        <v>—</v>
      </c>
      <c r="H61" s="17" t="str">
        <f>_xll.BDH("MCHP US Equity","BS_LT_OPERATING_LEASE_LIABS","FY 2016","FY 2016","Currency=USD","Period=FY","BEST_FPERIOD_OVERRIDE=FY","FILING_STATUS=MR","SCALING_FORMAT=MLN","Sort=A","Dates=H","DateFormat=P","Fill=—","Direction=H","UseDPDF=Y")</f>
        <v>—</v>
      </c>
      <c r="I61" s="17" t="str">
        <f>_xll.BDH("MCHP US Equity","BS_LT_OPERATING_LEASE_LIABS","FY 2017","FY 2017","Currency=USD","Period=FY","BEST_FPERIOD_OVERRIDE=FY","FILING_STATUS=MR","SCALING_FORMAT=MLN","Sort=A","Dates=H","DateFormat=P","Fill=—","Direction=H","UseDPDF=Y")</f>
        <v>—</v>
      </c>
      <c r="J61" s="17" t="str">
        <f>_xll.BDH("MCHP US Equity","BS_LT_OPERATING_LEASE_LIABS","FY 2018","FY 2018","Currency=USD","Period=FY","BEST_FPERIOD_OVERRIDE=FY","FILING_STATUS=MR","SCALING_FORMAT=MLN","Sort=A","Dates=H","DateFormat=P","Fill=—","Direction=H","UseDPDF=Y")</f>
        <v>—</v>
      </c>
      <c r="K61" s="17" t="str">
        <f>_xll.BDH("MCHP US Equity","BS_LT_OPERATING_LEASE_LIABS","FY 2019","FY 2019","Currency=USD","Period=FY","BEST_FPERIOD_OVERRIDE=FY","FILING_STATUS=MR","SCALING_FORMAT=MLN","Sort=A","Dates=H","DateFormat=P","Fill=—","Direction=H","UseDPDF=Y")</f>
        <v>—</v>
      </c>
      <c r="L61" s="17">
        <f>_xll.BDH("MCHP US Equity","BS_LT_OPERATING_LEASE_LIABS","FY 2020","FY 2020","Currency=USD","Period=FY","BEST_FPERIOD_OVERRIDE=FY","FILING_STATUS=MR","SCALING_FORMAT=MLN","Sort=A","Dates=H","DateFormat=P","Fill=—","Direction=H","UseDPDF=Y")</f>
        <v>94.7</v>
      </c>
    </row>
    <row r="62" spans="1:12" x14ac:dyDescent="0.45">
      <c r="A62" s="10" t="s">
        <v>130</v>
      </c>
      <c r="B62" s="10" t="s">
        <v>131</v>
      </c>
      <c r="C62" s="13">
        <f>_xll.BDH("MCHP US Equity","OTHER_NONCUR_LIABS_SUB_DETAILED","FY 2011","FY 2011","Currency=USD","Period=FY","BEST_FPERIOD_OVERRIDE=FY","FILING_STATUS=MR","SCALING_FORMAT=MLN","Sort=A","Dates=H","DateFormat=P","Fill=—","Direction=H","UseDPDF=Y")</f>
        <v>467.97</v>
      </c>
      <c r="D62" s="13">
        <f>_xll.BDH("MCHP US Equity","OTHER_NONCUR_LIABS_SUB_DETAILED","FY 2012","FY 2012","Currency=USD","Period=FY","BEST_FPERIOD_OVERRIDE=FY","FILING_STATUS=MR","SCALING_FORMAT=MLN","Sort=A","Dates=H","DateFormat=P","Fill=—","Direction=H","UseDPDF=Y")</f>
        <v>490.18</v>
      </c>
      <c r="E62" s="13">
        <f>_xll.BDH("MCHP US Equity","OTHER_NONCUR_LIABS_SUB_DETAILED","FY 2013","FY 2013","Currency=USD","Period=FY","BEST_FPERIOD_OVERRIDE=FY","FILING_STATUS=MR","SCALING_FORMAT=MLN","Sort=A","Dates=H","DateFormat=P","Fill=—","Direction=H","UseDPDF=Y")</f>
        <v>592.93899999999996</v>
      </c>
      <c r="F62" s="13">
        <f>_xll.BDH("MCHP US Equity","OTHER_NONCUR_LIABS_SUB_DETAILED","FY 2014","FY 2014","Currency=USD","Period=FY","BEST_FPERIOD_OVERRIDE=FY","FILING_STATUS=MR","SCALING_FORMAT=MLN","Sort=A","Dates=H","DateFormat=P","Fill=—","Direction=H","UseDPDF=Y")</f>
        <v>592.83199999999999</v>
      </c>
      <c r="G62" s="13">
        <f>_xll.BDH("MCHP US Equity","OTHER_NONCUR_LIABS_SUB_DETAILED","FY 2015","FY 2015","Currency=USD","Period=FY","BEST_FPERIOD_OVERRIDE=FY","FILING_STATUS=MR","SCALING_FORMAT=MLN","Sort=A","Dates=H","DateFormat=P","Fill=—","Direction=H","UseDPDF=Y")</f>
        <v>538.85699999999997</v>
      </c>
      <c r="H62" s="13">
        <f>_xll.BDH("MCHP US Equity","OTHER_NONCUR_LIABS_SUB_DETAILED","FY 2016","FY 2016","Currency=USD","Period=FY","BEST_FPERIOD_OVERRIDE=FY","FILING_STATUS=MR","SCALING_FORMAT=MLN","Sort=A","Dates=H","DateFormat=P","Fill=—","Direction=H","UseDPDF=Y")</f>
        <v>551.54999999999995</v>
      </c>
      <c r="I62" s="13">
        <f>_xll.BDH("MCHP US Equity","OTHER_NONCUR_LIABS_SUB_DETAILED","FY 2017","FY 2017","Currency=USD","Period=FY","BEST_FPERIOD_OVERRIDE=FY","FILING_STATUS=MR","SCALING_FORMAT=MLN","Sort=A","Dates=H","DateFormat=P","Fill=—","Direction=H","UseDPDF=Y")</f>
        <v>811.2</v>
      </c>
      <c r="J62" s="13">
        <f>_xll.BDH("MCHP US Equity","OTHER_NONCUR_LIABS_SUB_DETAILED","FY 2018","FY 2018","Currency=USD","Period=FY","BEST_FPERIOD_OVERRIDE=FY","FILING_STATUS=MR","SCALING_FORMAT=MLN","Sort=A","Dates=H","DateFormat=P","Fill=—","Direction=H","UseDPDF=Y")</f>
        <v>1201.5999999999999</v>
      </c>
      <c r="K62" s="13">
        <f>_xll.BDH("MCHP US Equity","OTHER_NONCUR_LIABS_SUB_DETAILED","FY 2019","FY 2019","Currency=USD","Period=FY","BEST_FPERIOD_OVERRIDE=FY","FILING_STATUS=MR","SCALING_FORMAT=MLN","Sort=A","Dates=H","DateFormat=P","Fill=—","Direction=H","UseDPDF=Y")</f>
        <v>1741.8</v>
      </c>
      <c r="L62" s="13">
        <f>_xll.BDH("MCHP US Equity","OTHER_NONCUR_LIABS_SUB_DETAILED","FY 2020","FY 2020","Currency=USD","Period=FY","BEST_FPERIOD_OVERRIDE=FY","FILING_STATUS=MR","SCALING_FORMAT=MLN","Sort=A","Dates=H","DateFormat=P","Fill=—","Direction=H","UseDPDF=Y")</f>
        <v>1235.0999999999999</v>
      </c>
    </row>
    <row r="63" spans="1:12" x14ac:dyDescent="0.45">
      <c r="A63" s="10" t="s">
        <v>132</v>
      </c>
      <c r="B63" s="10" t="s">
        <v>133</v>
      </c>
      <c r="C63" s="13">
        <f>_xll.BDH("MCHP US Equity","BS_ACCRUED_LIABILITIES","FY 2011","FY 2011","Currency=USD","Period=FY","BEST_FPERIOD_OVERRIDE=FY","FILING_STATUS=MR","SCALING_FORMAT=MLN","Sort=A","Dates=H","DateFormat=P","Fill=—","Direction=H","UseDPDF=Y")</f>
        <v>0</v>
      </c>
      <c r="D63" s="13">
        <f>_xll.BDH("MCHP US Equity","BS_ACCRUED_LIABILITIES","FY 2012","FY 2012","Currency=USD","Period=FY","BEST_FPERIOD_OVERRIDE=FY","FILING_STATUS=MR","SCALING_FORMAT=MLN","Sort=A","Dates=H","DateFormat=P","Fill=—","Direction=H","UseDPDF=Y")</f>
        <v>0</v>
      </c>
      <c r="E63" s="13">
        <f>_xll.BDH("MCHP US Equity","BS_ACCRUED_LIABILITIES","FY 2013","FY 2013","Currency=USD","Period=FY","BEST_FPERIOD_OVERRIDE=FY","FILING_STATUS=MR","SCALING_FORMAT=MLN","Sort=A","Dates=H","DateFormat=P","Fill=—","Direction=H","UseDPDF=Y")</f>
        <v>0</v>
      </c>
      <c r="F63" s="13">
        <f>_xll.BDH("MCHP US Equity","BS_ACCRUED_LIABILITIES","FY 2014","FY 2014","Currency=USD","Period=FY","BEST_FPERIOD_OVERRIDE=FY","FILING_STATUS=MR","SCALING_FORMAT=MLN","Sort=A","Dates=H","DateFormat=P","Fill=—","Direction=H","UseDPDF=Y")</f>
        <v>0</v>
      </c>
      <c r="G63" s="13">
        <f>_xll.BDH("MCHP US Equity","BS_ACCRUED_LIABILITIES","FY 2015","FY 2015","Currency=USD","Period=FY","BEST_FPERIOD_OVERRIDE=FY","FILING_STATUS=MR","SCALING_FORMAT=MLN","Sort=A","Dates=H","DateFormat=P","Fill=—","Direction=H","UseDPDF=Y")</f>
        <v>0</v>
      </c>
      <c r="H63" s="13">
        <f>_xll.BDH("MCHP US Equity","BS_ACCRUED_LIABILITIES","FY 2016","FY 2016","Currency=USD","Period=FY","BEST_FPERIOD_OVERRIDE=FY","FILING_STATUS=MR","SCALING_FORMAT=MLN","Sort=A","Dates=H","DateFormat=P","Fill=—","Direction=H","UseDPDF=Y")</f>
        <v>0</v>
      </c>
      <c r="I63" s="13">
        <f>_xll.BDH("MCHP US Equity","BS_ACCRUED_LIABILITIES","FY 2017","FY 2017","Currency=USD","Period=FY","BEST_FPERIOD_OVERRIDE=FY","FILING_STATUS=MR","SCALING_FORMAT=MLN","Sort=A","Dates=H","DateFormat=P","Fill=—","Direction=H","UseDPDF=Y")</f>
        <v>0</v>
      </c>
      <c r="J63" s="13">
        <f>_xll.BDH("MCHP US Equity","BS_ACCRUED_LIABILITIES","FY 2018","FY 2018","Currency=USD","Period=FY","BEST_FPERIOD_OVERRIDE=FY","FILING_STATUS=MR","SCALING_FORMAT=MLN","Sort=A","Dates=H","DateFormat=P","Fill=—","Direction=H","UseDPDF=Y")</f>
        <v>0</v>
      </c>
      <c r="K63" s="13">
        <f>_xll.BDH("MCHP US Equity","BS_ACCRUED_LIABILITIES","FY 2019","FY 2019","Currency=USD","Period=FY","BEST_FPERIOD_OVERRIDE=FY","FILING_STATUS=MR","SCALING_FORMAT=MLN","Sort=A","Dates=H","DateFormat=P","Fill=—","Direction=H","UseDPDF=Y")</f>
        <v>0</v>
      </c>
      <c r="L63" s="13">
        <f>_xll.BDH("MCHP US Equity","BS_ACCRUED_LIABILITIES","FY 2020","FY 2020","Currency=USD","Period=FY","BEST_FPERIOD_OVERRIDE=FY","FILING_STATUS=MR","SCALING_FORMAT=MLN","Sort=A","Dates=H","DateFormat=P","Fill=—","Direction=H","UseDPDF=Y")</f>
        <v>0</v>
      </c>
    </row>
    <row r="64" spans="1:12" x14ac:dyDescent="0.45">
      <c r="A64" s="10" t="s">
        <v>134</v>
      </c>
      <c r="B64" s="10" t="s">
        <v>135</v>
      </c>
      <c r="C64" s="13">
        <f>_xll.BDH("MCHP US Equity","PENSION_LIABILITIES","FY 2011","FY 2011","Currency=USD","Period=FY","BEST_FPERIOD_OVERRIDE=FY","FILING_STATUS=MR","SCALING_FORMAT=MLN","Sort=A","Dates=H","DateFormat=P","Fill=—","Direction=H","UseDPDF=Y")</f>
        <v>0</v>
      </c>
      <c r="D64" s="13">
        <f>_xll.BDH("MCHP US Equity","PENSION_LIABILITIES","FY 2012","FY 2012","Currency=USD","Period=FY","BEST_FPERIOD_OVERRIDE=FY","FILING_STATUS=MR","SCALING_FORMAT=MLN","Sort=A","Dates=H","DateFormat=P","Fill=—","Direction=H","UseDPDF=Y")</f>
        <v>0</v>
      </c>
      <c r="E64" s="13">
        <f>_xll.BDH("MCHP US Equity","PENSION_LIABILITIES","FY 2013","FY 2013","Currency=USD","Period=FY","BEST_FPERIOD_OVERRIDE=FY","FILING_STATUS=MR","SCALING_FORMAT=MLN","Sort=A","Dates=H","DateFormat=P","Fill=—","Direction=H","UseDPDF=Y")</f>
        <v>0</v>
      </c>
      <c r="F64" s="13">
        <f>_xll.BDH("MCHP US Equity","PENSION_LIABILITIES","FY 2014","FY 2014","Currency=USD","Period=FY","BEST_FPERIOD_OVERRIDE=FY","FILING_STATUS=MR","SCALING_FORMAT=MLN","Sort=A","Dates=H","DateFormat=P","Fill=—","Direction=H","UseDPDF=Y")</f>
        <v>0</v>
      </c>
      <c r="G64" s="13">
        <f>_xll.BDH("MCHP US Equity","PENSION_LIABILITIES","FY 2015","FY 2015","Currency=USD","Period=FY","BEST_FPERIOD_OVERRIDE=FY","FILING_STATUS=MR","SCALING_FORMAT=MLN","Sort=A","Dates=H","DateFormat=P","Fill=—","Direction=H","UseDPDF=Y")</f>
        <v>0</v>
      </c>
      <c r="H64" s="13">
        <f>_xll.BDH("MCHP US Equity","PENSION_LIABILITIES","FY 2016","FY 2016","Currency=USD","Period=FY","BEST_FPERIOD_OVERRIDE=FY","FILING_STATUS=MR","SCALING_FORMAT=MLN","Sort=A","Dates=H","DateFormat=P","Fill=—","Direction=H","UseDPDF=Y")</f>
        <v>0</v>
      </c>
      <c r="I64" s="13">
        <f>_xll.BDH("MCHP US Equity","PENSION_LIABILITIES","FY 2017","FY 2017","Currency=USD","Period=FY","BEST_FPERIOD_OVERRIDE=FY","FILING_STATUS=MR","SCALING_FORMAT=MLN","Sort=A","Dates=H","DateFormat=P","Fill=—","Direction=H","UseDPDF=Y")</f>
        <v>0</v>
      </c>
      <c r="J64" s="13">
        <f>_xll.BDH("MCHP US Equity","PENSION_LIABILITIES","FY 2018","FY 2018","Currency=USD","Period=FY","BEST_FPERIOD_OVERRIDE=FY","FILING_STATUS=MR","SCALING_FORMAT=MLN","Sort=A","Dates=H","DateFormat=P","Fill=—","Direction=H","UseDPDF=Y")</f>
        <v>0</v>
      </c>
      <c r="K64" s="13">
        <f>_xll.BDH("MCHP US Equity","PENSION_LIABILITIES","FY 2019","FY 2019","Currency=USD","Period=FY","BEST_FPERIOD_OVERRIDE=FY","FILING_STATUS=MR","SCALING_FORMAT=MLN","Sort=A","Dates=H","DateFormat=P","Fill=—","Direction=H","UseDPDF=Y")</f>
        <v>0</v>
      </c>
      <c r="L64" s="13">
        <f>_xll.BDH("MCHP US Equity","PENSION_LIABILITIES","FY 2020","FY 2020","Currency=USD","Period=FY","BEST_FPERIOD_OVERRIDE=FY","FILING_STATUS=MR","SCALING_FORMAT=MLN","Sort=A","Dates=H","DateFormat=P","Fill=—","Direction=H","UseDPDF=Y")</f>
        <v>0</v>
      </c>
    </row>
    <row r="65" spans="1:12" x14ac:dyDescent="0.45">
      <c r="A65" s="11" t="s">
        <v>136</v>
      </c>
      <c r="B65" s="11" t="s">
        <v>137</v>
      </c>
      <c r="C65" s="17">
        <f>_xll.BDH("MCHP US Equity","BS_PENSIONS_LT_LIABS","FY 2011","FY 2011","Currency=USD","Period=FY","BEST_FPERIOD_OVERRIDE=FY","FILING_STATUS=MR","SCALING_FORMAT=MLN","Sort=A","Dates=H","DateFormat=P","Fill=—","Direction=H","UseDPDF=Y")</f>
        <v>0</v>
      </c>
      <c r="D65" s="17">
        <f>_xll.BDH("MCHP US Equity","BS_PENSIONS_LT_LIABS","FY 2012","FY 2012","Currency=USD","Period=FY","BEST_FPERIOD_OVERRIDE=FY","FILING_STATUS=MR","SCALING_FORMAT=MLN","Sort=A","Dates=H","DateFormat=P","Fill=—","Direction=H","UseDPDF=Y")</f>
        <v>0</v>
      </c>
      <c r="E65" s="17">
        <f>_xll.BDH("MCHP US Equity","BS_PENSIONS_LT_LIABS","FY 2013","FY 2013","Currency=USD","Period=FY","BEST_FPERIOD_OVERRIDE=FY","FILING_STATUS=MR","SCALING_FORMAT=MLN","Sort=A","Dates=H","DateFormat=P","Fill=—","Direction=H","UseDPDF=Y")</f>
        <v>0</v>
      </c>
      <c r="F65" s="17">
        <f>_xll.BDH("MCHP US Equity","BS_PENSIONS_LT_LIABS","FY 2014","FY 2014","Currency=USD","Period=FY","BEST_FPERIOD_OVERRIDE=FY","FILING_STATUS=MR","SCALING_FORMAT=MLN","Sort=A","Dates=H","DateFormat=P","Fill=—","Direction=H","UseDPDF=Y")</f>
        <v>0</v>
      </c>
      <c r="G65" s="17">
        <f>_xll.BDH("MCHP US Equity","BS_PENSIONS_LT_LIABS","FY 2015","FY 2015","Currency=USD","Period=FY","BEST_FPERIOD_OVERRIDE=FY","FILING_STATUS=MR","SCALING_FORMAT=MLN","Sort=A","Dates=H","DateFormat=P","Fill=—","Direction=H","UseDPDF=Y")</f>
        <v>0</v>
      </c>
      <c r="H65" s="17">
        <f>_xll.BDH("MCHP US Equity","BS_PENSIONS_LT_LIABS","FY 2016","FY 2016","Currency=USD","Period=FY","BEST_FPERIOD_OVERRIDE=FY","FILING_STATUS=MR","SCALING_FORMAT=MLN","Sort=A","Dates=H","DateFormat=P","Fill=—","Direction=H","UseDPDF=Y")</f>
        <v>0</v>
      </c>
      <c r="I65" s="17">
        <f>_xll.BDH("MCHP US Equity","BS_PENSIONS_LT_LIABS","FY 2017","FY 2017","Currency=USD","Period=FY","BEST_FPERIOD_OVERRIDE=FY","FILING_STATUS=MR","SCALING_FORMAT=MLN","Sort=A","Dates=H","DateFormat=P","Fill=—","Direction=H","UseDPDF=Y")</f>
        <v>0</v>
      </c>
      <c r="J65" s="17">
        <f>_xll.BDH("MCHP US Equity","BS_PENSIONS_LT_LIABS","FY 2018","FY 2018","Currency=USD","Period=FY","BEST_FPERIOD_OVERRIDE=FY","FILING_STATUS=MR","SCALING_FORMAT=MLN","Sort=A","Dates=H","DateFormat=P","Fill=—","Direction=H","UseDPDF=Y")</f>
        <v>0</v>
      </c>
      <c r="K65" s="17">
        <f>_xll.BDH("MCHP US Equity","BS_PENSIONS_LT_LIABS","FY 2019","FY 2019","Currency=USD","Period=FY","BEST_FPERIOD_OVERRIDE=FY","FILING_STATUS=MR","SCALING_FORMAT=MLN","Sort=A","Dates=H","DateFormat=P","Fill=—","Direction=H","UseDPDF=Y")</f>
        <v>0</v>
      </c>
      <c r="L65" s="17">
        <f>_xll.BDH("MCHP US Equity","BS_PENSIONS_LT_LIABS","FY 2020","FY 2020","Currency=USD","Period=FY","BEST_FPERIOD_OVERRIDE=FY","FILING_STATUS=MR","SCALING_FORMAT=MLN","Sort=A","Dates=H","DateFormat=P","Fill=—","Direction=H","UseDPDF=Y")</f>
        <v>0</v>
      </c>
    </row>
    <row r="66" spans="1:12" x14ac:dyDescent="0.45">
      <c r="A66" s="11" t="s">
        <v>138</v>
      </c>
      <c r="B66" s="11" t="s">
        <v>139</v>
      </c>
      <c r="C66" s="17">
        <f>_xll.BDH("MCHP US Equity","BS_OPRB_LT_LIABS","FY 2011","FY 2011","Currency=USD","Period=FY","BEST_FPERIOD_OVERRIDE=FY","FILING_STATUS=MR","SCALING_FORMAT=MLN","Sort=A","Dates=H","DateFormat=P","Fill=—","Direction=H","UseDPDF=Y")</f>
        <v>0</v>
      </c>
      <c r="D66" s="17">
        <f>_xll.BDH("MCHP US Equity","BS_OPRB_LT_LIABS","FY 2012","FY 2012","Currency=USD","Period=FY","BEST_FPERIOD_OVERRIDE=FY","FILING_STATUS=MR","SCALING_FORMAT=MLN","Sort=A","Dates=H","DateFormat=P","Fill=—","Direction=H","UseDPDF=Y")</f>
        <v>0</v>
      </c>
      <c r="E66" s="17">
        <f>_xll.BDH("MCHP US Equity","BS_OPRB_LT_LIABS","FY 2013","FY 2013","Currency=USD","Period=FY","BEST_FPERIOD_OVERRIDE=FY","FILING_STATUS=MR","SCALING_FORMAT=MLN","Sort=A","Dates=H","DateFormat=P","Fill=—","Direction=H","UseDPDF=Y")</f>
        <v>0</v>
      </c>
      <c r="F66" s="17">
        <f>_xll.BDH("MCHP US Equity","BS_OPRB_LT_LIABS","FY 2014","FY 2014","Currency=USD","Period=FY","BEST_FPERIOD_OVERRIDE=FY","FILING_STATUS=MR","SCALING_FORMAT=MLN","Sort=A","Dates=H","DateFormat=P","Fill=—","Direction=H","UseDPDF=Y")</f>
        <v>0</v>
      </c>
      <c r="G66" s="17">
        <f>_xll.BDH("MCHP US Equity","BS_OPRB_LT_LIABS","FY 2015","FY 2015","Currency=USD","Period=FY","BEST_FPERIOD_OVERRIDE=FY","FILING_STATUS=MR","SCALING_FORMAT=MLN","Sort=A","Dates=H","DateFormat=P","Fill=—","Direction=H","UseDPDF=Y")</f>
        <v>0</v>
      </c>
      <c r="H66" s="17">
        <f>_xll.BDH("MCHP US Equity","BS_OPRB_LT_LIABS","FY 2016","FY 2016","Currency=USD","Period=FY","BEST_FPERIOD_OVERRIDE=FY","FILING_STATUS=MR","SCALING_FORMAT=MLN","Sort=A","Dates=H","DateFormat=P","Fill=—","Direction=H","UseDPDF=Y")</f>
        <v>0</v>
      </c>
      <c r="I66" s="17">
        <f>_xll.BDH("MCHP US Equity","BS_OPRB_LT_LIABS","FY 2017","FY 2017","Currency=USD","Period=FY","BEST_FPERIOD_OVERRIDE=FY","FILING_STATUS=MR","SCALING_FORMAT=MLN","Sort=A","Dates=H","DateFormat=P","Fill=—","Direction=H","UseDPDF=Y")</f>
        <v>0</v>
      </c>
      <c r="J66" s="17">
        <f>_xll.BDH("MCHP US Equity","BS_OPRB_LT_LIABS","FY 2018","FY 2018","Currency=USD","Period=FY","BEST_FPERIOD_OVERRIDE=FY","FILING_STATUS=MR","SCALING_FORMAT=MLN","Sort=A","Dates=H","DateFormat=P","Fill=—","Direction=H","UseDPDF=Y")</f>
        <v>0</v>
      </c>
      <c r="K66" s="17">
        <f>_xll.BDH("MCHP US Equity","BS_OPRB_LT_LIABS","FY 2019","FY 2019","Currency=USD","Period=FY","BEST_FPERIOD_OVERRIDE=FY","FILING_STATUS=MR","SCALING_FORMAT=MLN","Sort=A","Dates=H","DateFormat=P","Fill=—","Direction=H","UseDPDF=Y")</f>
        <v>0</v>
      </c>
      <c r="L66" s="17">
        <f>_xll.BDH("MCHP US Equity","BS_OPRB_LT_LIABS","FY 2020","FY 2020","Currency=USD","Period=FY","BEST_FPERIOD_OVERRIDE=FY","FILING_STATUS=MR","SCALING_FORMAT=MLN","Sort=A","Dates=H","DateFormat=P","Fill=—","Direction=H","UseDPDF=Y")</f>
        <v>0</v>
      </c>
    </row>
    <row r="67" spans="1:12" x14ac:dyDescent="0.45">
      <c r="A67" s="10" t="s">
        <v>112</v>
      </c>
      <c r="B67" s="10" t="s">
        <v>140</v>
      </c>
      <c r="C67" s="13">
        <f>_xll.BDH("MCHP US Equity","LT_DEFERRED_REVENUE","FY 2011","FY 2011","Currency=USD","Period=FY","BEST_FPERIOD_OVERRIDE=FY","FILING_STATUS=MR","SCALING_FORMAT=MLN","Sort=A","Dates=H","DateFormat=P","Fill=—","Direction=H","UseDPDF=Y")</f>
        <v>0</v>
      </c>
      <c r="D67" s="13">
        <f>_xll.BDH("MCHP US Equity","LT_DEFERRED_REVENUE","FY 2012","FY 2012","Currency=USD","Period=FY","BEST_FPERIOD_OVERRIDE=FY","FILING_STATUS=MR","SCALING_FORMAT=MLN","Sort=A","Dates=H","DateFormat=P","Fill=—","Direction=H","UseDPDF=Y")</f>
        <v>0</v>
      </c>
      <c r="E67" s="13">
        <f>_xll.BDH("MCHP US Equity","LT_DEFERRED_REVENUE","FY 2013","FY 2013","Currency=USD","Period=FY","BEST_FPERIOD_OVERRIDE=FY","FILING_STATUS=MR","SCALING_FORMAT=MLN","Sort=A","Dates=H","DateFormat=P","Fill=—","Direction=H","UseDPDF=Y")</f>
        <v>0</v>
      </c>
      <c r="F67" s="13">
        <f>_xll.BDH("MCHP US Equity","LT_DEFERRED_REVENUE","FY 2014","FY 2014","Currency=USD","Period=FY","BEST_FPERIOD_OVERRIDE=FY","FILING_STATUS=MR","SCALING_FORMAT=MLN","Sort=A","Dates=H","DateFormat=P","Fill=—","Direction=H","UseDPDF=Y")</f>
        <v>0</v>
      </c>
      <c r="G67" s="13">
        <f>_xll.BDH("MCHP US Equity","LT_DEFERRED_REVENUE","FY 2015","FY 2015","Currency=USD","Period=FY","BEST_FPERIOD_OVERRIDE=FY","FILING_STATUS=MR","SCALING_FORMAT=MLN","Sort=A","Dates=H","DateFormat=P","Fill=—","Direction=H","UseDPDF=Y")</f>
        <v>0</v>
      </c>
      <c r="H67" s="13">
        <f>_xll.BDH("MCHP US Equity","LT_DEFERRED_REVENUE","FY 2016","FY 2016","Currency=USD","Period=FY","BEST_FPERIOD_OVERRIDE=FY","FILING_STATUS=MR","SCALING_FORMAT=MLN","Sort=A","Dates=H","DateFormat=P","Fill=—","Direction=H","UseDPDF=Y")</f>
        <v>0</v>
      </c>
      <c r="I67" s="13">
        <f>_xll.BDH("MCHP US Equity","LT_DEFERRED_REVENUE","FY 2017","FY 2017","Currency=USD","Period=FY","BEST_FPERIOD_OVERRIDE=FY","FILING_STATUS=MR","SCALING_FORMAT=MLN","Sort=A","Dates=H","DateFormat=P","Fill=—","Direction=H","UseDPDF=Y")</f>
        <v>0</v>
      </c>
      <c r="J67" s="13">
        <f>_xll.BDH("MCHP US Equity","LT_DEFERRED_REVENUE","FY 2018","FY 2018","Currency=USD","Period=FY","BEST_FPERIOD_OVERRIDE=FY","FILING_STATUS=MR","SCALING_FORMAT=MLN","Sort=A","Dates=H","DateFormat=P","Fill=—","Direction=H","UseDPDF=Y")</f>
        <v>0</v>
      </c>
      <c r="K67" s="13">
        <f>_xll.BDH("MCHP US Equity","LT_DEFERRED_REVENUE","FY 2019","FY 2019","Currency=USD","Period=FY","BEST_FPERIOD_OVERRIDE=FY","FILING_STATUS=MR","SCALING_FORMAT=MLN","Sort=A","Dates=H","DateFormat=P","Fill=—","Direction=H","UseDPDF=Y")</f>
        <v>0</v>
      </c>
      <c r="L67" s="13">
        <f>_xll.BDH("MCHP US Equity","LT_DEFERRED_REVENUE","FY 2020","FY 2020","Currency=USD","Period=FY","BEST_FPERIOD_OVERRIDE=FY","FILING_STATUS=MR","SCALING_FORMAT=MLN","Sort=A","Dates=H","DateFormat=P","Fill=—","Direction=H","UseDPDF=Y")</f>
        <v>0</v>
      </c>
    </row>
    <row r="68" spans="1:12" x14ac:dyDescent="0.45">
      <c r="A68" s="10" t="s">
        <v>141</v>
      </c>
      <c r="B68" s="10" t="s">
        <v>142</v>
      </c>
      <c r="C68" s="13">
        <f>_xll.BDH("MCHP US Equity","BS_DEFERRED_TAX_LIABILITIES_LT","FY 2011","FY 2011","Currency=USD","Period=FY","BEST_FPERIOD_OVERRIDE=FY","FILING_STATUS=MR","SCALING_FORMAT=MLN","Sort=A","Dates=H","DateFormat=P","Fill=—","Direction=H","UseDPDF=Y")</f>
        <v>399.52699999999999</v>
      </c>
      <c r="D68" s="13">
        <f>_xll.BDH("MCHP US Equity","BS_DEFERRED_TAX_LIABILITIES_LT","FY 2012","FY 2012","Currency=USD","Period=FY","BEST_FPERIOD_OVERRIDE=FY","FILING_STATUS=MR","SCALING_FORMAT=MLN","Sort=A","Dates=H","DateFormat=P","Fill=—","Direction=H","UseDPDF=Y")</f>
        <v>411.36799999999999</v>
      </c>
      <c r="E68" s="13">
        <f>_xll.BDH("MCHP US Equity","BS_DEFERRED_TAX_LIABILITIES_LT","FY 2013","FY 2013","Currency=USD","Period=FY","BEST_FPERIOD_OVERRIDE=FY","FILING_STATUS=MR","SCALING_FORMAT=MLN","Sort=A","Dates=H","DateFormat=P","Fill=—","Direction=H","UseDPDF=Y")</f>
        <v>388.25</v>
      </c>
      <c r="F68" s="13">
        <f>_xll.BDH("MCHP US Equity","BS_DEFERRED_TAX_LIABILITIES_LT","FY 2014","FY 2014","Currency=USD","Period=FY","BEST_FPERIOD_OVERRIDE=FY","FILING_STATUS=MR","SCALING_FORMAT=MLN","Sort=A","Dates=H","DateFormat=P","Fill=—","Direction=H","UseDPDF=Y")</f>
        <v>375.31599999999997</v>
      </c>
      <c r="G68" s="13">
        <f>_xll.BDH("MCHP US Equity","BS_DEFERRED_TAX_LIABILITIES_LT","FY 2015","FY 2015","Currency=USD","Period=FY","BEST_FPERIOD_OVERRIDE=FY","FILING_STATUS=MR","SCALING_FORMAT=MLN","Sort=A","Dates=H","DateFormat=P","Fill=—","Direction=H","UseDPDF=Y")</f>
        <v>381.19200000000001</v>
      </c>
      <c r="H68" s="13">
        <f>_xll.BDH("MCHP US Equity","BS_DEFERRED_TAX_LIABILITIES_LT","FY 2016","FY 2016","Currency=USD","Period=FY","BEST_FPERIOD_OVERRIDE=FY","FILING_STATUS=MR","SCALING_FORMAT=MLN","Sort=A","Dates=H","DateFormat=P","Fill=—","Direction=H","UseDPDF=Y")</f>
        <v>399.21800000000002</v>
      </c>
      <c r="I68" s="13">
        <f>_xll.BDH("MCHP US Equity","BS_DEFERRED_TAX_LIABILITIES_LT","FY 2017","FY 2017","Currency=USD","Period=FY","BEST_FPERIOD_OVERRIDE=FY","FILING_STATUS=MR","SCALING_FORMAT=MLN","Sort=A","Dates=H","DateFormat=P","Fill=—","Direction=H","UseDPDF=Y")</f>
        <v>409.1</v>
      </c>
      <c r="J68" s="13">
        <f>_xll.BDH("MCHP US Equity","BS_DEFERRED_TAX_LIABILITIES_LT","FY 2018","FY 2018","Currency=USD","Period=FY","BEST_FPERIOD_OVERRIDE=FY","FILING_STATUS=MR","SCALING_FORMAT=MLN","Sort=A","Dates=H","DateFormat=P","Fill=—","Direction=H","UseDPDF=Y")</f>
        <v>205.8</v>
      </c>
      <c r="K68" s="13">
        <f>_xll.BDH("MCHP US Equity","BS_DEFERRED_TAX_LIABILITIES_LT","FY 2019","FY 2019","Currency=USD","Period=FY","BEST_FPERIOD_OVERRIDE=FY","FILING_STATUS=MR","SCALING_FORMAT=MLN","Sort=A","Dates=H","DateFormat=P","Fill=—","Direction=H","UseDPDF=Y")</f>
        <v>706.1</v>
      </c>
      <c r="L68" s="13">
        <f>_xll.BDH("MCHP US Equity","BS_DEFERRED_TAX_LIABILITIES_LT","FY 2020","FY 2020","Currency=USD","Period=FY","BEST_FPERIOD_OVERRIDE=FY","FILING_STATUS=MR","SCALING_FORMAT=MLN","Sort=A","Dates=H","DateFormat=P","Fill=—","Direction=H","UseDPDF=Y")</f>
        <v>318.5</v>
      </c>
    </row>
    <row r="69" spans="1:12" x14ac:dyDescent="0.45">
      <c r="A69" s="10" t="s">
        <v>114</v>
      </c>
      <c r="B69" s="10" t="s">
        <v>143</v>
      </c>
      <c r="C69" s="13">
        <f>_xll.BDH("MCHP US Equity","BS_DERIVATIVE_&amp;_HEDGING_LIABS_LT","FY 2011","FY 2011","Currency=USD","Period=FY","BEST_FPERIOD_OVERRIDE=FY","FILING_STATUS=MR","SCALING_FORMAT=MLN","Sort=A","Dates=H","DateFormat=P","Fill=—","Direction=H","UseDPDF=Y")</f>
        <v>0</v>
      </c>
      <c r="D69" s="13">
        <f>_xll.BDH("MCHP US Equity","BS_DERIVATIVE_&amp;_HEDGING_LIABS_LT","FY 2012","FY 2012","Currency=USD","Period=FY","BEST_FPERIOD_OVERRIDE=FY","FILING_STATUS=MR","SCALING_FORMAT=MLN","Sort=A","Dates=H","DateFormat=P","Fill=—","Direction=H","UseDPDF=Y")</f>
        <v>0</v>
      </c>
      <c r="E69" s="13">
        <f>_xll.BDH("MCHP US Equity","BS_DERIVATIVE_&amp;_HEDGING_LIABS_LT","FY 2013","FY 2013","Currency=USD","Period=FY","BEST_FPERIOD_OVERRIDE=FY","FILING_STATUS=MR","SCALING_FORMAT=MLN","Sort=A","Dates=H","DateFormat=P","Fill=—","Direction=H","UseDPDF=Y")</f>
        <v>0</v>
      </c>
      <c r="F69" s="13">
        <f>_xll.BDH("MCHP US Equity","BS_DERIVATIVE_&amp;_HEDGING_LIABS_LT","FY 2014","FY 2014","Currency=USD","Period=FY","BEST_FPERIOD_OVERRIDE=FY","FILING_STATUS=MR","SCALING_FORMAT=MLN","Sort=A","Dates=H","DateFormat=P","Fill=—","Direction=H","UseDPDF=Y")</f>
        <v>0</v>
      </c>
      <c r="G69" s="13">
        <f>_xll.BDH("MCHP US Equity","BS_DERIVATIVE_&amp;_HEDGING_LIABS_LT","FY 2015","FY 2015","Currency=USD","Period=FY","BEST_FPERIOD_OVERRIDE=FY","FILING_STATUS=MR","SCALING_FORMAT=MLN","Sort=A","Dates=H","DateFormat=P","Fill=—","Direction=H","UseDPDF=Y")</f>
        <v>0</v>
      </c>
      <c r="H69" s="13">
        <f>_xll.BDH("MCHP US Equity","BS_DERIVATIVE_&amp;_HEDGING_LIABS_LT","FY 2016","FY 2016","Currency=USD","Period=FY","BEST_FPERIOD_OVERRIDE=FY","FILING_STATUS=MR","SCALING_FORMAT=MLN","Sort=A","Dates=H","DateFormat=P","Fill=—","Direction=H","UseDPDF=Y")</f>
        <v>0</v>
      </c>
      <c r="I69" s="13">
        <f>_xll.BDH("MCHP US Equity","BS_DERIVATIVE_&amp;_HEDGING_LIABS_LT","FY 2017","FY 2017","Currency=USD","Period=FY","BEST_FPERIOD_OVERRIDE=FY","FILING_STATUS=MR","SCALING_FORMAT=MLN","Sort=A","Dates=H","DateFormat=P","Fill=—","Direction=H","UseDPDF=Y")</f>
        <v>0</v>
      </c>
      <c r="J69" s="13">
        <f>_xll.BDH("MCHP US Equity","BS_DERIVATIVE_&amp;_HEDGING_LIABS_LT","FY 2018","FY 2018","Currency=USD","Period=FY","BEST_FPERIOD_OVERRIDE=FY","FILING_STATUS=MR","SCALING_FORMAT=MLN","Sort=A","Dates=H","DateFormat=P","Fill=—","Direction=H","UseDPDF=Y")</f>
        <v>0</v>
      </c>
      <c r="K69" s="13">
        <f>_xll.BDH("MCHP US Equity","BS_DERIVATIVE_&amp;_HEDGING_LIABS_LT","FY 2019","FY 2019","Currency=USD","Period=FY","BEST_FPERIOD_OVERRIDE=FY","FILING_STATUS=MR","SCALING_FORMAT=MLN","Sort=A","Dates=H","DateFormat=P","Fill=—","Direction=H","UseDPDF=Y")</f>
        <v>0</v>
      </c>
      <c r="L69" s="13">
        <f>_xll.BDH("MCHP US Equity","BS_DERIVATIVE_&amp;_HEDGING_LIABS_LT","FY 2020","FY 2020","Currency=USD","Period=FY","BEST_FPERIOD_OVERRIDE=FY","FILING_STATUS=MR","SCALING_FORMAT=MLN","Sort=A","Dates=H","DateFormat=P","Fill=—","Direction=H","UseDPDF=Y")</f>
        <v>0</v>
      </c>
    </row>
    <row r="70" spans="1:12" x14ac:dyDescent="0.45">
      <c r="A70" s="10" t="s">
        <v>144</v>
      </c>
      <c r="B70" s="10" t="s">
        <v>145</v>
      </c>
      <c r="C70" s="13">
        <f>_xll.BDH("MCHP US Equity","OTHER_NONCURRENT_LIABS_DETAILED","FY 2011","FY 2011","Currency=USD","Period=FY","BEST_FPERIOD_OVERRIDE=FY","FILING_STATUS=MR","SCALING_FORMAT=MLN","Sort=A","Dates=H","DateFormat=P","Fill=—","Direction=H","UseDPDF=Y")</f>
        <v>68.442999999999998</v>
      </c>
      <c r="D70" s="13">
        <f>_xll.BDH("MCHP US Equity","OTHER_NONCURRENT_LIABS_DETAILED","FY 2012","FY 2012","Currency=USD","Period=FY","BEST_FPERIOD_OVERRIDE=FY","FILING_STATUS=MR","SCALING_FORMAT=MLN","Sort=A","Dates=H","DateFormat=P","Fill=—","Direction=H","UseDPDF=Y")</f>
        <v>78.811999999999998</v>
      </c>
      <c r="E70" s="13">
        <f>_xll.BDH("MCHP US Equity","OTHER_NONCURRENT_LIABS_DETAILED","FY 2013","FY 2013","Currency=USD","Period=FY","BEST_FPERIOD_OVERRIDE=FY","FILING_STATUS=MR","SCALING_FORMAT=MLN","Sort=A","Dates=H","DateFormat=P","Fill=—","Direction=H","UseDPDF=Y")</f>
        <v>204.68899999999999</v>
      </c>
      <c r="F70" s="13">
        <f>_xll.BDH("MCHP US Equity","OTHER_NONCURRENT_LIABS_DETAILED","FY 2014","FY 2014","Currency=USD","Period=FY","BEST_FPERIOD_OVERRIDE=FY","FILING_STATUS=MR","SCALING_FORMAT=MLN","Sort=A","Dates=H","DateFormat=P","Fill=—","Direction=H","UseDPDF=Y")</f>
        <v>217.51599999999999</v>
      </c>
      <c r="G70" s="13">
        <f>_xll.BDH("MCHP US Equity","OTHER_NONCURRENT_LIABS_DETAILED","FY 2015","FY 2015","Currency=USD","Period=FY","BEST_FPERIOD_OVERRIDE=FY","FILING_STATUS=MR","SCALING_FORMAT=MLN","Sort=A","Dates=H","DateFormat=P","Fill=—","Direction=H","UseDPDF=Y")</f>
        <v>157.66499999999999</v>
      </c>
      <c r="H70" s="13">
        <f>_xll.BDH("MCHP US Equity","OTHER_NONCURRENT_LIABS_DETAILED","FY 2016","FY 2016","Currency=USD","Period=FY","BEST_FPERIOD_OVERRIDE=FY","FILING_STATUS=MR","SCALING_FORMAT=MLN","Sort=A","Dates=H","DateFormat=P","Fill=—","Direction=H","UseDPDF=Y")</f>
        <v>152.33199999999999</v>
      </c>
      <c r="I70" s="13">
        <f>_xll.BDH("MCHP US Equity","OTHER_NONCURRENT_LIABS_DETAILED","FY 2017","FY 2017","Currency=USD","Period=FY","BEST_FPERIOD_OVERRIDE=FY","FILING_STATUS=MR","SCALING_FORMAT=MLN","Sort=A","Dates=H","DateFormat=P","Fill=—","Direction=H","UseDPDF=Y")</f>
        <v>402.1</v>
      </c>
      <c r="J70" s="13">
        <f>_xll.BDH("MCHP US Equity","OTHER_NONCURRENT_LIABS_DETAILED","FY 2018","FY 2018","Currency=USD","Period=FY","BEST_FPERIOD_OVERRIDE=FY","FILING_STATUS=MR","SCALING_FORMAT=MLN","Sort=A","Dates=H","DateFormat=P","Fill=—","Direction=H","UseDPDF=Y")</f>
        <v>995.8</v>
      </c>
      <c r="K70" s="13">
        <f>_xll.BDH("MCHP US Equity","OTHER_NONCURRENT_LIABS_DETAILED","FY 2019","FY 2019","Currency=USD","Period=FY","BEST_FPERIOD_OVERRIDE=FY","FILING_STATUS=MR","SCALING_FORMAT=MLN","Sort=A","Dates=H","DateFormat=P","Fill=—","Direction=H","UseDPDF=Y")</f>
        <v>1035.7</v>
      </c>
      <c r="L70" s="13">
        <f>_xll.BDH("MCHP US Equity","OTHER_NONCURRENT_LIABS_DETAILED","FY 2020","FY 2020","Currency=USD","Period=FY","BEST_FPERIOD_OVERRIDE=FY","FILING_STATUS=MR","SCALING_FORMAT=MLN","Sort=A","Dates=H","DateFormat=P","Fill=—","Direction=H","UseDPDF=Y")</f>
        <v>916.6</v>
      </c>
    </row>
    <row r="71" spans="1:12" x14ac:dyDescent="0.45">
      <c r="A71" s="6" t="s">
        <v>146</v>
      </c>
      <c r="B71" s="6" t="s">
        <v>147</v>
      </c>
      <c r="C71" s="16">
        <f>_xll.BDH("MCHP US Equity","NON_CUR_LIAB","FY 2011","FY 2011","Currency=USD","Period=FY","BEST_FPERIOD_OVERRIDE=FY","FILING_STATUS=MR","SCALING_FORMAT=MLN","Sort=A","Dates=H","DateFormat=P","Fill=—","Direction=H","UseDPDF=Y")</f>
        <v>815.30399999999997</v>
      </c>
      <c r="D71" s="16">
        <f>_xll.BDH("MCHP US Equity","NON_CUR_LIAB","FY 2012","FY 2012","Currency=USD","Period=FY","BEST_FPERIOD_OVERRIDE=FY","FILING_STATUS=MR","SCALING_FORMAT=MLN","Sort=A","Dates=H","DateFormat=P","Fill=—","Direction=H","UseDPDF=Y")</f>
        <v>845.23</v>
      </c>
      <c r="E71" s="16">
        <f>_xll.BDH("MCHP US Equity","NON_CUR_LIAB","FY 2013","FY 2013","Currency=USD","Period=FY","BEST_FPERIOD_OVERRIDE=FY","FILING_STATUS=MR","SCALING_FORMAT=MLN","Sort=A","Dates=H","DateFormat=P","Fill=—","Direction=H","UseDPDF=Y")</f>
        <v>1576.3240000000001</v>
      </c>
      <c r="F71" s="16">
        <f>_xll.BDH("MCHP US Equity","NON_CUR_LIAB","FY 2014","FY 2014","Currency=USD","Period=FY","BEST_FPERIOD_OVERRIDE=FY","FILING_STATUS=MR","SCALING_FORMAT=MLN","Sort=A","Dates=H","DateFormat=P","Fill=—","Direction=H","UseDPDF=Y")</f>
        <v>1596.09</v>
      </c>
      <c r="G71" s="16">
        <f>_xll.BDH("MCHP US Equity","NON_CUR_LIAB","FY 2015","FY 2015","Currency=USD","Period=FY","BEST_FPERIOD_OVERRIDE=FY","FILING_STATUS=MR","SCALING_FORMAT=MLN","Sort=A","Dates=H","DateFormat=P","Fill=—","Direction=H","UseDPDF=Y")</f>
        <v>2365.7150000000001</v>
      </c>
      <c r="H71" s="16">
        <f>_xll.BDH("MCHP US Equity","NON_CUR_LIAB","FY 2016","FY 2016","Currency=USD","Period=FY","BEST_FPERIOD_OVERRIDE=FY","FILING_STATUS=MR","SCALING_FORMAT=MLN","Sort=A","Dates=H","DateFormat=P","Fill=—","Direction=H","UseDPDF=Y")</f>
        <v>3004.9549999999999</v>
      </c>
      <c r="I71" s="16">
        <f>_xll.BDH("MCHP US Equity","NON_CUR_LIAB","FY 2017","FY 2017","Currency=USD","Period=FY","BEST_FPERIOD_OVERRIDE=FY","FILING_STATUS=MR","SCALING_FORMAT=MLN","Sort=A","Dates=H","DateFormat=P","Fill=—","Direction=H","UseDPDF=Y")</f>
        <v>3711.7</v>
      </c>
      <c r="J71" s="16">
        <f>_xll.BDH("MCHP US Equity","NON_CUR_LIAB","FY 2018","FY 2018","Currency=USD","Period=FY","BEST_FPERIOD_OVERRIDE=FY","FILING_STATUS=MR","SCALING_FORMAT=MLN","Sort=A","Dates=H","DateFormat=P","Fill=—","Direction=H","UseDPDF=Y")</f>
        <v>2960</v>
      </c>
      <c r="K71" s="16">
        <f>_xll.BDH("MCHP US Equity","NON_CUR_LIAB","FY 2019","FY 2019","Currency=USD","Period=FY","BEST_FPERIOD_OVERRIDE=FY","FILING_STATUS=MR","SCALING_FORMAT=MLN","Sort=A","Dates=H","DateFormat=P","Fill=—","Direction=H","UseDPDF=Y")</f>
        <v>10688</v>
      </c>
      <c r="L71" s="16">
        <f>_xll.BDH("MCHP US Equity","NON_CUR_LIAB","FY 2020","FY 2020","Currency=USD","Period=FY","BEST_FPERIOD_OVERRIDE=FY","FILING_STATUS=MR","SCALING_FORMAT=MLN","Sort=A","Dates=H","DateFormat=P","Fill=—","Direction=H","UseDPDF=Y")</f>
        <v>10203.200000000001</v>
      </c>
    </row>
    <row r="72" spans="1:12" x14ac:dyDescent="0.45">
      <c r="A72" s="6" t="s">
        <v>148</v>
      </c>
      <c r="B72" s="6" t="s">
        <v>149</v>
      </c>
      <c r="C72" s="16">
        <f>_xll.BDH("MCHP US Equity","BS_TOT_LIAB2","FY 2011","FY 2011","Currency=USD","Period=FY","BEST_FPERIOD_OVERRIDE=FY","FILING_STATUS=MR","SCALING_FORMAT=MLN","Sort=A","Dates=H","DateFormat=P","Fill=—","Direction=H","UseDPDF=Y")</f>
        <v>1155.6199999999999</v>
      </c>
      <c r="D72" s="16">
        <f>_xll.BDH("MCHP US Equity","BS_TOT_LIAB2","FY 2012","FY 2012","Currency=USD","Period=FY","BEST_FPERIOD_OVERRIDE=FY","FILING_STATUS=MR","SCALING_FORMAT=MLN","Sort=A","Dates=H","DateFormat=P","Fill=—","Direction=H","UseDPDF=Y")</f>
        <v>1093.1030000000001</v>
      </c>
      <c r="E72" s="16">
        <f>_xll.BDH("MCHP US Equity","BS_TOT_LIAB2","FY 2013","FY 2013","Currency=USD","Period=FY","BEST_FPERIOD_OVERRIDE=FY","FILING_STATUS=MR","SCALING_FORMAT=MLN","Sort=A","Dates=H","DateFormat=P","Fill=—","Direction=H","UseDPDF=Y")</f>
        <v>1917.9349999999999</v>
      </c>
      <c r="F72" s="16">
        <f>_xll.BDH("MCHP US Equity","BS_TOT_LIAB2","FY 2014","FY 2014","Currency=USD","Period=FY","BEST_FPERIOD_OVERRIDE=FY","FILING_STATUS=MR","SCALING_FORMAT=MLN","Sort=A","Dates=H","DateFormat=P","Fill=—","Direction=H","UseDPDF=Y")</f>
        <v>1932.1690000000001</v>
      </c>
      <c r="G72" s="16">
        <f>_xll.BDH("MCHP US Equity","BS_TOT_LIAB2","FY 2015","FY 2015","Currency=USD","Period=FY","BEST_FPERIOD_OVERRIDE=FY","FILING_STATUS=MR","SCALING_FORMAT=MLN","Sort=A","Dates=H","DateFormat=P","Fill=—","Direction=H","UseDPDF=Y")</f>
        <v>2719.6869999999999</v>
      </c>
      <c r="H72" s="16">
        <f>_xll.BDH("MCHP US Equity","BS_TOT_LIAB2","FY 2016","FY 2016","Currency=USD","Period=FY","BEST_FPERIOD_OVERRIDE=FY","FILING_STATUS=MR","SCALING_FORMAT=MLN","Sort=A","Dates=H","DateFormat=P","Fill=—","Direction=H","UseDPDF=Y")</f>
        <v>3386.9639999999999</v>
      </c>
      <c r="I72" s="16">
        <f>_xll.BDH("MCHP US Equity","BS_TOT_LIAB2","FY 2017","FY 2017","Currency=USD","Period=FY","BEST_FPERIOD_OVERRIDE=FY","FILING_STATUS=MR","SCALING_FORMAT=MLN","Sort=A","Dates=H","DateFormat=P","Fill=—","Direction=H","UseDPDF=Y")</f>
        <v>4416.2</v>
      </c>
      <c r="J72" s="16">
        <f>_xll.BDH("MCHP US Equity","BS_TOT_LIAB2","FY 2018","FY 2018","Currency=USD","Period=FY","BEST_FPERIOD_OVERRIDE=FY","FILING_STATUS=MR","SCALING_FORMAT=MLN","Sort=A","Dates=H","DateFormat=P","Fill=—","Direction=H","UseDPDF=Y")</f>
        <v>4977.3999999999996</v>
      </c>
      <c r="K72" s="16">
        <f>_xll.BDH("MCHP US Equity","BS_TOT_LIAB2","FY 2019","FY 2019","Currency=USD","Period=FY","BEST_FPERIOD_OVERRIDE=FY","FILING_STATUS=MR","SCALING_FORMAT=MLN","Sort=A","Dates=H","DateFormat=P","Fill=—","Direction=H","UseDPDF=Y")</f>
        <v>13062.5</v>
      </c>
      <c r="L72" s="16">
        <f>_xll.BDH("MCHP US Equity","BS_TOT_LIAB2","FY 2020","FY 2020","Currency=USD","Period=FY","BEST_FPERIOD_OVERRIDE=FY","FILING_STATUS=MR","SCALING_FORMAT=MLN","Sort=A","Dates=H","DateFormat=P","Fill=—","Direction=H","UseDPDF=Y")</f>
        <v>11840.6</v>
      </c>
    </row>
    <row r="73" spans="1:12" x14ac:dyDescent="0.45">
      <c r="A73" s="10" t="s">
        <v>150</v>
      </c>
      <c r="B73" s="10" t="s">
        <v>151</v>
      </c>
      <c r="C73" s="13">
        <f>_xll.BDH("MCHP US Equity","BS_PFD_EQTY_&amp;_HYBRID_CPTL","FY 2011","FY 2011","Currency=USD","Period=FY","BEST_FPERIOD_OVERRIDE=FY","FILING_STATUS=MR","SCALING_FORMAT=MLN","Sort=A","Dates=H","DateFormat=P","Fill=—","Direction=H","UseDPDF=Y")</f>
        <v>0</v>
      </c>
      <c r="D73" s="13">
        <f>_xll.BDH("MCHP US Equity","BS_PFD_EQTY_&amp;_HYBRID_CPTL","FY 2012","FY 2012","Currency=USD","Period=FY","BEST_FPERIOD_OVERRIDE=FY","FILING_STATUS=MR","SCALING_FORMAT=MLN","Sort=A","Dates=H","DateFormat=P","Fill=—","Direction=H","UseDPDF=Y")</f>
        <v>0</v>
      </c>
      <c r="E73" s="13">
        <f>_xll.BDH("MCHP US Equity","BS_PFD_EQTY_&amp;_HYBRID_CPTL","FY 2013","FY 2013","Currency=USD","Period=FY","BEST_FPERIOD_OVERRIDE=FY","FILING_STATUS=MR","SCALING_FORMAT=MLN","Sort=A","Dates=H","DateFormat=P","Fill=—","Direction=H","UseDPDF=Y")</f>
        <v>0</v>
      </c>
      <c r="F73" s="13">
        <f>_xll.BDH("MCHP US Equity","BS_PFD_EQTY_&amp;_HYBRID_CPTL","FY 2014","FY 2014","Currency=USD","Period=FY","BEST_FPERIOD_OVERRIDE=FY","FILING_STATUS=MR","SCALING_FORMAT=MLN","Sort=A","Dates=H","DateFormat=P","Fill=—","Direction=H","UseDPDF=Y")</f>
        <v>0</v>
      </c>
      <c r="G73" s="13">
        <f>_xll.BDH("MCHP US Equity","BS_PFD_EQTY_&amp;_HYBRID_CPTL","FY 2015","FY 2015","Currency=USD","Period=FY","BEST_FPERIOD_OVERRIDE=FY","FILING_STATUS=MR","SCALING_FORMAT=MLN","Sort=A","Dates=H","DateFormat=P","Fill=—","Direction=H","UseDPDF=Y")</f>
        <v>0</v>
      </c>
      <c r="H73" s="13">
        <f>_xll.BDH("MCHP US Equity","BS_PFD_EQTY_&amp;_HYBRID_CPTL","FY 2016","FY 2016","Currency=USD","Period=FY","BEST_FPERIOD_OVERRIDE=FY","FILING_STATUS=MR","SCALING_FORMAT=MLN","Sort=A","Dates=H","DateFormat=P","Fill=—","Direction=H","UseDPDF=Y")</f>
        <v>0</v>
      </c>
      <c r="I73" s="13">
        <f>_xll.BDH("MCHP US Equity","BS_PFD_EQTY_&amp;_HYBRID_CPTL","FY 2017","FY 2017","Currency=USD","Period=FY","BEST_FPERIOD_OVERRIDE=FY","FILING_STATUS=MR","SCALING_FORMAT=MLN","Sort=A","Dates=H","DateFormat=P","Fill=—","Direction=H","UseDPDF=Y")</f>
        <v>0</v>
      </c>
      <c r="J73" s="13">
        <f>_xll.BDH("MCHP US Equity","BS_PFD_EQTY_&amp;_HYBRID_CPTL","FY 2018","FY 2018","Currency=USD","Period=FY","BEST_FPERIOD_OVERRIDE=FY","FILING_STATUS=MR","SCALING_FORMAT=MLN","Sort=A","Dates=H","DateFormat=P","Fill=—","Direction=H","UseDPDF=Y")</f>
        <v>0</v>
      </c>
      <c r="K73" s="13">
        <f>_xll.BDH("MCHP US Equity","BS_PFD_EQTY_&amp;_HYBRID_CPTL","FY 2019","FY 2019","Currency=USD","Period=FY","BEST_FPERIOD_OVERRIDE=FY","FILING_STATUS=MR","SCALING_FORMAT=MLN","Sort=A","Dates=H","DateFormat=P","Fill=—","Direction=H","UseDPDF=Y")</f>
        <v>0</v>
      </c>
      <c r="L73" s="13">
        <f>_xll.BDH("MCHP US Equity","BS_PFD_EQTY_&amp;_HYBRID_CPTL","FY 2020","FY 2020","Currency=USD","Period=FY","BEST_FPERIOD_OVERRIDE=FY","FILING_STATUS=MR","SCALING_FORMAT=MLN","Sort=A","Dates=H","DateFormat=P","Fill=—","Direction=H","UseDPDF=Y")</f>
        <v>0</v>
      </c>
    </row>
    <row r="74" spans="1:12" x14ac:dyDescent="0.45">
      <c r="A74" s="10" t="s">
        <v>152</v>
      </c>
      <c r="B74" s="10" t="s">
        <v>153</v>
      </c>
      <c r="C74" s="13">
        <f>_xll.BDH("MCHP US Equity","BS_SH_CAP_AND_APIC","FY 2011","FY 2011","Currency=USD","Period=FY","BEST_FPERIOD_OVERRIDE=FY","FILING_STATUS=MR","SCALING_FORMAT=MLN","Sort=A","Dates=H","DateFormat=P","Fill=—","Direction=H","UseDPDF=Y")</f>
        <v>1268.318</v>
      </c>
      <c r="D74" s="13">
        <f>_xll.BDH("MCHP US Equity","BS_SH_CAP_AND_APIC","FY 2012","FY 2012","Currency=USD","Period=FY","BEST_FPERIOD_OVERRIDE=FY","FILING_STATUS=MR","SCALING_FORMAT=MLN","Sort=A","Dates=H","DateFormat=P","Fill=—","Direction=H","UseDPDF=Y")</f>
        <v>1269.0999999999999</v>
      </c>
      <c r="E74" s="13">
        <f>_xll.BDH("MCHP US Equity","BS_SH_CAP_AND_APIC","FY 2013","FY 2013","Currency=USD","Period=FY","BEST_FPERIOD_OVERRIDE=FY","FILING_STATUS=MR","SCALING_FORMAT=MLN","Sort=A","Dates=H","DateFormat=P","Fill=—","Direction=H","UseDPDF=Y")</f>
        <v>1255.8230000000001</v>
      </c>
      <c r="F74" s="13">
        <f>_xll.BDH("MCHP US Equity","BS_SH_CAP_AND_APIC","FY 2014","FY 2014","Currency=USD","Period=FY","BEST_FPERIOD_OVERRIDE=FY","FILING_STATUS=MR","SCALING_FORMAT=MLN","Sort=A","Dates=H","DateFormat=P","Fill=—","Direction=H","UseDPDF=Y")</f>
        <v>1244.7829999999999</v>
      </c>
      <c r="G74" s="13">
        <f>_xll.BDH("MCHP US Equity","BS_SH_CAP_AND_APIC","FY 2015","FY 2015","Currency=USD","Period=FY","BEST_FPERIOD_OVERRIDE=FY","FILING_STATUS=MR","SCALING_FORMAT=MLN","Sort=A","Dates=H","DateFormat=P","Fill=—","Direction=H","UseDPDF=Y")</f>
        <v>999.71699999999998</v>
      </c>
      <c r="H74" s="13">
        <f>_xll.BDH("MCHP US Equity","BS_SH_CAP_AND_APIC","FY 2016","FY 2016","Currency=USD","Period=FY","BEST_FPERIOD_OVERRIDE=FY","FILING_STATUS=MR","SCALING_FORMAT=MLN","Sort=A","Dates=H","DateFormat=P","Fill=—","Direction=H","UseDPDF=Y")</f>
        <v>1391.7570000000001</v>
      </c>
      <c r="I74" s="13">
        <f>_xll.BDH("MCHP US Equity","BS_SH_CAP_AND_APIC","FY 2017","FY 2017","Currency=USD","Period=FY","BEST_FPERIOD_OVERRIDE=FY","FILING_STATUS=MR","SCALING_FORMAT=MLN","Sort=A","Dates=H","DateFormat=P","Fill=—","Direction=H","UseDPDF=Y")</f>
        <v>2537.6</v>
      </c>
      <c r="J74" s="13">
        <f>_xll.BDH("MCHP US Equity","BS_SH_CAP_AND_APIC","FY 2018","FY 2018","Currency=USD","Period=FY","BEST_FPERIOD_OVERRIDE=FY","FILING_STATUS=MR","SCALING_FORMAT=MLN","Sort=A","Dates=H","DateFormat=P","Fill=—","Direction=H","UseDPDF=Y")</f>
        <v>2562.6999999999998</v>
      </c>
      <c r="K74" s="13">
        <f>_xll.BDH("MCHP US Equity","BS_SH_CAP_AND_APIC","FY 2019","FY 2019","Currency=USD","Period=FY","BEST_FPERIOD_OVERRIDE=FY","FILING_STATUS=MR","SCALING_FORMAT=MLN","Sort=A","Dates=H","DateFormat=P","Fill=—","Direction=H","UseDPDF=Y")</f>
        <v>2679.8</v>
      </c>
      <c r="L74" s="13">
        <f>_xll.BDH("MCHP US Equity","BS_SH_CAP_AND_APIC","FY 2020","FY 2020","Currency=USD","Period=FY","BEST_FPERIOD_OVERRIDE=FY","FILING_STATUS=MR","SCALING_FORMAT=MLN","Sort=A","Dates=H","DateFormat=P","Fill=—","Direction=H","UseDPDF=Y")</f>
        <v>2675.3</v>
      </c>
    </row>
    <row r="75" spans="1:12" x14ac:dyDescent="0.45">
      <c r="A75" s="10" t="s">
        <v>154</v>
      </c>
      <c r="B75" s="10" t="s">
        <v>155</v>
      </c>
      <c r="C75" s="13">
        <f>_xll.BDH("MCHP US Equity","BS_COMMON_STOCK","FY 2011","FY 2011","Currency=USD","Period=FY","BEST_FPERIOD_OVERRIDE=FY","FILING_STATUS=MR","SCALING_FORMAT=MLN","Sort=A","Dates=H","DateFormat=P","Fill=—","Direction=H","UseDPDF=Y")</f>
        <v>0.19</v>
      </c>
      <c r="D75" s="13">
        <f>_xll.BDH("MCHP US Equity","BS_COMMON_STOCK","FY 2012","FY 2012","Currency=USD","Period=FY","BEST_FPERIOD_OVERRIDE=FY","FILING_STATUS=MR","SCALING_FORMAT=MLN","Sort=A","Dates=H","DateFormat=P","Fill=—","Direction=H","UseDPDF=Y")</f>
        <v>0.193</v>
      </c>
      <c r="E75" s="13">
        <f>_xll.BDH("MCHP US Equity","BS_COMMON_STOCK","FY 2013","FY 2013","Currency=USD","Period=FY","BEST_FPERIOD_OVERRIDE=FY","FILING_STATUS=MR","SCALING_FORMAT=MLN","Sort=A","Dates=H","DateFormat=P","Fill=—","Direction=H","UseDPDF=Y")</f>
        <v>0.19600000000000001</v>
      </c>
      <c r="F75" s="13">
        <f>_xll.BDH("MCHP US Equity","BS_COMMON_STOCK","FY 2014","FY 2014","Currency=USD","Period=FY","BEST_FPERIOD_OVERRIDE=FY","FILING_STATUS=MR","SCALING_FORMAT=MLN","Sort=A","Dates=H","DateFormat=P","Fill=—","Direction=H","UseDPDF=Y")</f>
        <v>0.2</v>
      </c>
      <c r="G75" s="13">
        <f>_xll.BDH("MCHP US Equity","BS_COMMON_STOCK","FY 2015","FY 2015","Currency=USD","Period=FY","BEST_FPERIOD_OVERRIDE=FY","FILING_STATUS=MR","SCALING_FORMAT=MLN","Sort=A","Dates=H","DateFormat=P","Fill=—","Direction=H","UseDPDF=Y")</f>
        <v>0.20200000000000001</v>
      </c>
      <c r="H75" s="13">
        <f>_xll.BDH("MCHP US Equity","BS_COMMON_STOCK","FY 2016","FY 2016","Currency=USD","Period=FY","BEST_FPERIOD_OVERRIDE=FY","FILING_STATUS=MR","SCALING_FORMAT=MLN","Sort=A","Dates=H","DateFormat=P","Fill=—","Direction=H","UseDPDF=Y")</f>
        <v>0.20399999999999999</v>
      </c>
      <c r="I75" s="13">
        <f>_xll.BDH("MCHP US Equity","BS_COMMON_STOCK","FY 2017","FY 2017","Currency=USD","Period=FY","BEST_FPERIOD_OVERRIDE=FY","FILING_STATUS=MR","SCALING_FORMAT=MLN","Sort=A","Dates=H","DateFormat=P","Fill=—","Direction=H","UseDPDF=Y")</f>
        <v>0.2</v>
      </c>
      <c r="J75" s="13">
        <f>_xll.BDH("MCHP US Equity","BS_COMMON_STOCK","FY 2018","FY 2018","Currency=USD","Period=FY","BEST_FPERIOD_OVERRIDE=FY","FILING_STATUS=MR","SCALING_FORMAT=MLN","Sort=A","Dates=H","DateFormat=P","Fill=—","Direction=H","UseDPDF=Y")</f>
        <v>0.2</v>
      </c>
      <c r="K75" s="13">
        <f>_xll.BDH("MCHP US Equity","BS_COMMON_STOCK","FY 2019","FY 2019","Currency=USD","Period=FY","BEST_FPERIOD_OVERRIDE=FY","FILING_STATUS=MR","SCALING_FORMAT=MLN","Sort=A","Dates=H","DateFormat=P","Fill=—","Direction=H","UseDPDF=Y")</f>
        <v>0.2</v>
      </c>
      <c r="L75" s="13">
        <f>_xll.BDH("MCHP US Equity","BS_COMMON_STOCK","FY 2020","FY 2020","Currency=USD","Period=FY","BEST_FPERIOD_OVERRIDE=FY","FILING_STATUS=MR","SCALING_FORMAT=MLN","Sort=A","Dates=H","DateFormat=P","Fill=—","Direction=H","UseDPDF=Y")</f>
        <v>0.2</v>
      </c>
    </row>
    <row r="76" spans="1:12" x14ac:dyDescent="0.45">
      <c r="A76" s="10" t="s">
        <v>156</v>
      </c>
      <c r="B76" s="10" t="s">
        <v>157</v>
      </c>
      <c r="C76" s="13">
        <f>_xll.BDH("MCHP US Equity","BS_ADD_PAID_IN_CAP","FY 2011","FY 2011","Currency=USD","Period=FY","BEST_FPERIOD_OVERRIDE=FY","FILING_STATUS=MR","SCALING_FORMAT=MLN","Sort=A","Dates=H","DateFormat=P","Fill=—","Direction=H","UseDPDF=Y")</f>
        <v>1268.1279999999999</v>
      </c>
      <c r="D76" s="13">
        <f>_xll.BDH("MCHP US Equity","BS_ADD_PAID_IN_CAP","FY 2012","FY 2012","Currency=USD","Period=FY","BEST_FPERIOD_OVERRIDE=FY","FILING_STATUS=MR","SCALING_FORMAT=MLN","Sort=A","Dates=H","DateFormat=P","Fill=—","Direction=H","UseDPDF=Y")</f>
        <v>1268.9069999999999</v>
      </c>
      <c r="E76" s="13">
        <f>_xll.BDH("MCHP US Equity","BS_ADD_PAID_IN_CAP","FY 2013","FY 2013","Currency=USD","Period=FY","BEST_FPERIOD_OVERRIDE=FY","FILING_STATUS=MR","SCALING_FORMAT=MLN","Sort=A","Dates=H","DateFormat=P","Fill=—","Direction=H","UseDPDF=Y")</f>
        <v>1255.627</v>
      </c>
      <c r="F76" s="13">
        <f>_xll.BDH("MCHP US Equity","BS_ADD_PAID_IN_CAP","FY 2014","FY 2014","Currency=USD","Period=FY","BEST_FPERIOD_OVERRIDE=FY","FILING_STATUS=MR","SCALING_FORMAT=MLN","Sort=A","Dates=H","DateFormat=P","Fill=—","Direction=H","UseDPDF=Y")</f>
        <v>1244.5830000000001</v>
      </c>
      <c r="G76" s="13">
        <f>_xll.BDH("MCHP US Equity","BS_ADD_PAID_IN_CAP","FY 2015","FY 2015","Currency=USD","Period=FY","BEST_FPERIOD_OVERRIDE=FY","FILING_STATUS=MR","SCALING_FORMAT=MLN","Sort=A","Dates=H","DateFormat=P","Fill=—","Direction=H","UseDPDF=Y")</f>
        <v>999.51499999999999</v>
      </c>
      <c r="H76" s="13">
        <f>_xll.BDH("MCHP US Equity","BS_ADD_PAID_IN_CAP","FY 2016","FY 2016","Currency=USD","Period=FY","BEST_FPERIOD_OVERRIDE=FY","FILING_STATUS=MR","SCALING_FORMAT=MLN","Sort=A","Dates=H","DateFormat=P","Fill=—","Direction=H","UseDPDF=Y")</f>
        <v>1391.5530000000001</v>
      </c>
      <c r="I76" s="13">
        <f>_xll.BDH("MCHP US Equity","BS_ADD_PAID_IN_CAP","FY 2017","FY 2017","Currency=USD","Period=FY","BEST_FPERIOD_OVERRIDE=FY","FILING_STATUS=MR","SCALING_FORMAT=MLN","Sort=A","Dates=H","DateFormat=P","Fill=—","Direction=H","UseDPDF=Y")</f>
        <v>2537.4</v>
      </c>
      <c r="J76" s="13">
        <f>_xll.BDH("MCHP US Equity","BS_ADD_PAID_IN_CAP","FY 2018","FY 2018","Currency=USD","Period=FY","BEST_FPERIOD_OVERRIDE=FY","FILING_STATUS=MR","SCALING_FORMAT=MLN","Sort=A","Dates=H","DateFormat=P","Fill=—","Direction=H","UseDPDF=Y")</f>
        <v>2562.5</v>
      </c>
      <c r="K76" s="13">
        <f>_xll.BDH("MCHP US Equity","BS_ADD_PAID_IN_CAP","FY 2019","FY 2019","Currency=USD","Period=FY","BEST_FPERIOD_OVERRIDE=FY","FILING_STATUS=MR","SCALING_FORMAT=MLN","Sort=A","Dates=H","DateFormat=P","Fill=—","Direction=H","UseDPDF=Y")</f>
        <v>2679.6</v>
      </c>
      <c r="L76" s="13">
        <f>_xll.BDH("MCHP US Equity","BS_ADD_PAID_IN_CAP","FY 2020","FY 2020","Currency=USD","Period=FY","BEST_FPERIOD_OVERRIDE=FY","FILING_STATUS=MR","SCALING_FORMAT=MLN","Sort=A","Dates=H","DateFormat=P","Fill=—","Direction=H","UseDPDF=Y")</f>
        <v>2675.1</v>
      </c>
    </row>
    <row r="77" spans="1:12" x14ac:dyDescent="0.45">
      <c r="A77" s="10" t="s">
        <v>158</v>
      </c>
      <c r="B77" s="10" t="s">
        <v>159</v>
      </c>
      <c r="C77" s="13">
        <f>_xll.BDH("MCHP US Equity","BS_AMT_OF_TSY_STOCK","FY 2011","FY 2011","Currency=USD","Period=FY","BEST_FPERIOD_OVERRIDE=FY","FILING_STATUS=MR","SCALING_FORMAT=MLN","Sort=A","Dates=H","DateFormat=P","Fill=—","Direction=H","UseDPDF=Y")</f>
        <v>888.07500000000005</v>
      </c>
      <c r="D77" s="13">
        <f>_xll.BDH("MCHP US Equity","BS_AMT_OF_TSY_STOCK","FY 2012","FY 2012","Currency=USD","Period=FY","BEST_FPERIOD_OVERRIDE=FY","FILING_STATUS=MR","SCALING_FORMAT=MLN","Sort=A","Dates=H","DateFormat=P","Fill=—","Direction=H","UseDPDF=Y")</f>
        <v>780.89300000000003</v>
      </c>
      <c r="E77" s="13">
        <f>_xll.BDH("MCHP US Equity","BS_AMT_OF_TSY_STOCK","FY 2013","FY 2013","Currency=USD","Period=FY","BEST_FPERIOD_OVERRIDE=FY","FILING_STATUS=MR","SCALING_FORMAT=MLN","Sort=A","Dates=H","DateFormat=P","Fill=—","Direction=H","UseDPDF=Y")</f>
        <v>682.22</v>
      </c>
      <c r="F77" s="13">
        <f>_xll.BDH("MCHP US Equity","BS_AMT_OF_TSY_STOCK","FY 2014","FY 2014","Currency=USD","Period=FY","BEST_FPERIOD_OVERRIDE=FY","FILING_STATUS=MR","SCALING_FORMAT=MLN","Sort=A","Dates=H","DateFormat=P","Fill=—","Direction=H","UseDPDF=Y")</f>
        <v>577.38199999999995</v>
      </c>
      <c r="G77" s="13">
        <f>_xll.BDH("MCHP US Equity","BS_AMT_OF_TSY_STOCK","FY 2015","FY 2015","Currency=USD","Period=FY","BEST_FPERIOD_OVERRIDE=FY","FILING_STATUS=MR","SCALING_FORMAT=MLN","Sort=A","Dates=H","DateFormat=P","Fill=—","Direction=H","UseDPDF=Y")</f>
        <v>515.67899999999997</v>
      </c>
      <c r="H77" s="13">
        <f>_xll.BDH("MCHP US Equity","BS_AMT_OF_TSY_STOCK","FY 2016","FY 2016","Currency=USD","Period=FY","BEST_FPERIOD_OVERRIDE=FY","FILING_STATUS=MR","SCALING_FORMAT=MLN","Sort=A","Dates=H","DateFormat=P","Fill=—","Direction=H","UseDPDF=Y")</f>
        <v>820.06600000000003</v>
      </c>
      <c r="I77" s="13">
        <f>_xll.BDH("MCHP US Equity","BS_AMT_OF_TSY_STOCK","FY 2017","FY 2017","Currency=USD","Period=FY","BEST_FPERIOD_OVERRIDE=FY","FILING_STATUS=MR","SCALING_FORMAT=MLN","Sort=A","Dates=H","DateFormat=P","Fill=—","Direction=H","UseDPDF=Y")</f>
        <v>731.9</v>
      </c>
      <c r="J77" s="13">
        <f>_xll.BDH("MCHP US Equity","BS_AMT_OF_TSY_STOCK","FY 2018","FY 2018","Currency=USD","Period=FY","BEST_FPERIOD_OVERRIDE=FY","FILING_STATUS=MR","SCALING_FORMAT=MLN","Sort=A","Dates=H","DateFormat=P","Fill=—","Direction=H","UseDPDF=Y")</f>
        <v>662.6</v>
      </c>
      <c r="K77" s="13">
        <f>_xll.BDH("MCHP US Equity","BS_AMT_OF_TSY_STOCK","FY 2019","FY 2019","Currency=USD","Period=FY","BEST_FPERIOD_OVERRIDE=FY","FILING_STATUS=MR","SCALING_FORMAT=MLN","Sort=A","Dates=H","DateFormat=P","Fill=—","Direction=H","UseDPDF=Y")</f>
        <v>582.20000000000005</v>
      </c>
      <c r="L77" s="13">
        <f>_xll.BDH("MCHP US Equity","BS_AMT_OF_TSY_STOCK","FY 2020","FY 2020","Currency=USD","Period=FY","BEST_FPERIOD_OVERRIDE=FY","FILING_STATUS=MR","SCALING_FORMAT=MLN","Sort=A","Dates=H","DateFormat=P","Fill=—","Direction=H","UseDPDF=Y")</f>
        <v>500.6</v>
      </c>
    </row>
    <row r="78" spans="1:12" x14ac:dyDescent="0.45">
      <c r="A78" s="10" t="s">
        <v>160</v>
      </c>
      <c r="B78" s="10" t="s">
        <v>161</v>
      </c>
      <c r="C78" s="13">
        <f>_xll.BDH("MCHP US Equity","BS_PURE_RETAINED_EARNINGS","FY 2011","FY 2011","Currency=USD","Period=FY","BEST_FPERIOD_OVERRIDE=FY","FILING_STATUS=MR","SCALING_FORMAT=MLN","Sort=A","Dates=H","DateFormat=P","Fill=—","Direction=H","UseDPDF=Y")</f>
        <v>1428.838</v>
      </c>
      <c r="D78" s="13">
        <f>_xll.BDH("MCHP US Equity","BS_PURE_RETAINED_EARNINGS","FY 2012","FY 2012","Currency=USD","Period=FY","BEST_FPERIOD_OVERRIDE=FY","FILING_STATUS=MR","SCALING_FORMAT=MLN","Sort=A","Dates=H","DateFormat=P","Fill=—","Direction=H","UseDPDF=Y")</f>
        <v>1499.365</v>
      </c>
      <c r="E78" s="13">
        <f>_xll.BDH("MCHP US Equity","BS_PURE_RETAINED_EARNINGS","FY 2013","FY 2013","Currency=USD","Period=FY","BEST_FPERIOD_OVERRIDE=FY","FILING_STATUS=MR","SCALING_FORMAT=MLN","Sort=A","Dates=H","DateFormat=P","Fill=—","Direction=H","UseDPDF=Y")</f>
        <v>1352.932</v>
      </c>
      <c r="F78" s="13">
        <f>_xll.BDH("MCHP US Equity","BS_PURE_RETAINED_EARNINGS","FY 2014","FY 2014","Currency=USD","Period=FY","BEST_FPERIOD_OVERRIDE=FY","FILING_STATUS=MR","SCALING_FORMAT=MLN","Sort=A","Dates=H","DateFormat=P","Fill=—","Direction=H","UseDPDF=Y")</f>
        <v>1467.009</v>
      </c>
      <c r="G78" s="13">
        <f>_xll.BDH("MCHP US Equity","BS_PURE_RETAINED_EARNINGS","FY 2015","FY 2015","Currency=USD","Period=FY","BEST_FPERIOD_OVERRIDE=FY","FILING_STATUS=MR","SCALING_FORMAT=MLN","Sort=A","Dates=H","DateFormat=P","Fill=—","Direction=H","UseDPDF=Y")</f>
        <v>1549.54</v>
      </c>
      <c r="H78" s="13">
        <f>_xll.BDH("MCHP US Equity","BS_PURE_RETAINED_EARNINGS","FY 2016","FY 2016","Currency=USD","Period=FY","BEST_FPERIOD_OVERRIDE=FY","FILING_STATUS=MR","SCALING_FORMAT=MLN","Sort=A","Dates=H","DateFormat=P","Fill=—","Direction=H","UseDPDF=Y")</f>
        <v>1582.585</v>
      </c>
      <c r="I78" s="13">
        <f>_xll.BDH("MCHP US Equity","BS_PURE_RETAINED_EARNINGS","FY 2017","FY 2017","Currency=USD","Period=FY","BEST_FPERIOD_OVERRIDE=FY","FILING_STATUS=MR","SCALING_FORMAT=MLN","Sort=A","Dates=H","DateFormat=P","Fill=—","Direction=H","UseDPDF=Y")</f>
        <v>1479.4</v>
      </c>
      <c r="J78" s="13">
        <f>_xll.BDH("MCHP US Equity","BS_PURE_RETAINED_EARNINGS","FY 2018","FY 2018","Currency=USD","Period=FY","BEST_FPERIOD_OVERRIDE=FY","FILING_STATUS=MR","SCALING_FORMAT=MLN","Sort=A","Dates=H","DateFormat=P","Fill=—","Direction=H","UseDPDF=Y")</f>
        <v>1397.3</v>
      </c>
      <c r="K78" s="13">
        <f>_xll.BDH("MCHP US Equity","BS_PURE_RETAINED_EARNINGS","FY 2019","FY 2019","Currency=USD","Period=FY","BEST_FPERIOD_OVERRIDE=FY","FILING_STATUS=MR","SCALING_FORMAT=MLN","Sort=A","Dates=H","DateFormat=P","Fill=—","Direction=H","UseDPDF=Y")</f>
        <v>3210.6</v>
      </c>
      <c r="L78" s="13">
        <f>_xll.BDH("MCHP US Equity","BS_PURE_RETAINED_EARNINGS","FY 2020","FY 2020","Currency=USD","Period=FY","BEST_FPERIOD_OVERRIDE=FY","FILING_STATUS=MR","SCALING_FORMAT=MLN","Sort=A","Dates=H","DateFormat=P","Fill=—","Direction=H","UseDPDF=Y")</f>
        <v>3432.4</v>
      </c>
    </row>
    <row r="79" spans="1:12" x14ac:dyDescent="0.45">
      <c r="A79" s="10" t="s">
        <v>162</v>
      </c>
      <c r="B79" s="10" t="s">
        <v>163</v>
      </c>
      <c r="C79" s="13">
        <f>_xll.BDH("MCHP US Equity","OTHER_EQUITY_RATIO","FY 2011","FY 2011","Currency=USD","Period=FY","BEST_FPERIOD_OVERRIDE=FY","FILING_STATUS=MR","SCALING_FORMAT=MLN","Sort=A","Dates=H","DateFormat=P","Fill=—","Direction=H","UseDPDF=Y")</f>
        <v>3.3570000000000002</v>
      </c>
      <c r="D79" s="13">
        <f>_xll.BDH("MCHP US Equity","OTHER_EQUITY_RATIO","FY 2012","FY 2012","Currency=USD","Period=FY","BEST_FPERIOD_OVERRIDE=FY","FILING_STATUS=MR","SCALING_FORMAT=MLN","Sort=A","Dates=H","DateFormat=P","Fill=—","Direction=H","UseDPDF=Y")</f>
        <v>3.101</v>
      </c>
      <c r="E79" s="13">
        <f>_xll.BDH("MCHP US Equity","OTHER_EQUITY_RATIO","FY 2013","FY 2013","Currency=USD","Period=FY","BEST_FPERIOD_OVERRIDE=FY","FILING_STATUS=MR","SCALING_FORMAT=MLN","Sort=A","Dates=H","DateFormat=P","Fill=—","Direction=H","UseDPDF=Y")</f>
        <v>6.9350000000000005</v>
      </c>
      <c r="F79" s="13">
        <f>_xll.BDH("MCHP US Equity","OTHER_EQUITY_RATIO","FY 2014","FY 2014","Currency=USD","Period=FY","BEST_FPERIOD_OVERRIDE=FY","FILING_STATUS=MR","SCALING_FORMAT=MLN","Sort=A","Dates=H","DateFormat=P","Fill=—","Direction=H","UseDPDF=Y")</f>
        <v>1.0509999999999999</v>
      </c>
      <c r="G79" s="13">
        <f>_xll.BDH("MCHP US Equity","OTHER_EQUITY_RATIO","FY 2015","FY 2015","Currency=USD","Period=FY","BEST_FPERIOD_OVERRIDE=FY","FILING_STATUS=MR","SCALING_FORMAT=MLN","Sort=A","Dates=H","DateFormat=P","Fill=—","Direction=H","UseDPDF=Y")</f>
        <v>11.076000000000001</v>
      </c>
      <c r="H79" s="13">
        <f>_xll.BDH("MCHP US Equity","OTHER_EQUITY_RATIO","FY 2016","FY 2016","Currency=USD","Period=FY","BEST_FPERIOD_OVERRIDE=FY","FILING_STATUS=MR","SCALING_FORMAT=MLN","Sort=A","Dates=H","DateFormat=P","Fill=—","Direction=H","UseDPDF=Y")</f>
        <v>-3.3570000000000002</v>
      </c>
      <c r="I79" s="13">
        <f>_xll.BDH("MCHP US Equity","OTHER_EQUITY_RATIO","FY 2017","FY 2017","Currency=USD","Period=FY","BEST_FPERIOD_OVERRIDE=FY","FILING_STATUS=MR","SCALING_FORMAT=MLN","Sort=A","Dates=H","DateFormat=P","Fill=—","Direction=H","UseDPDF=Y")</f>
        <v>-14.4</v>
      </c>
      <c r="J79" s="13">
        <f>_xll.BDH("MCHP US Equity","OTHER_EQUITY_RATIO","FY 2018","FY 2018","Currency=USD","Period=FY","BEST_FPERIOD_OVERRIDE=FY","FILING_STATUS=MR","SCALING_FORMAT=MLN","Sort=A","Dates=H","DateFormat=P","Fill=—","Direction=H","UseDPDF=Y")</f>
        <v>-17.600000000000001</v>
      </c>
      <c r="K79" s="13">
        <f>_xll.BDH("MCHP US Equity","OTHER_EQUITY_RATIO","FY 2019","FY 2019","Currency=USD","Period=FY","BEST_FPERIOD_OVERRIDE=FY","FILING_STATUS=MR","SCALING_FORMAT=MLN","Sort=A","Dates=H","DateFormat=P","Fill=—","Direction=H","UseDPDF=Y")</f>
        <v>-20.7</v>
      </c>
      <c r="L79" s="13">
        <f>_xll.BDH("MCHP US Equity","OTHER_EQUITY_RATIO","FY 2020","FY 2020","Currency=USD","Period=FY","BEST_FPERIOD_OVERRIDE=FY","FILING_STATUS=MR","SCALING_FORMAT=MLN","Sort=A","Dates=H","DateFormat=P","Fill=—","Direction=H","UseDPDF=Y")</f>
        <v>-21.6</v>
      </c>
    </row>
    <row r="80" spans="1:12" x14ac:dyDescent="0.45">
      <c r="A80" s="6" t="s">
        <v>164</v>
      </c>
      <c r="B80" s="6" t="s">
        <v>165</v>
      </c>
      <c r="C80" s="16">
        <f>_xll.BDH("MCHP US Equity","EQTY_BEF_MINORITY_INT_DETAILED","FY 2011","FY 2011","Currency=USD","Period=FY","BEST_FPERIOD_OVERRIDE=FY","FILING_STATUS=MR","SCALING_FORMAT=MLN","Sort=A","Dates=H","DateFormat=P","Fill=—","Direction=H","UseDPDF=Y")</f>
        <v>1812.4380000000001</v>
      </c>
      <c r="D80" s="16">
        <f>_xll.BDH("MCHP US Equity","EQTY_BEF_MINORITY_INT_DETAILED","FY 2012","FY 2012","Currency=USD","Period=FY","BEST_FPERIOD_OVERRIDE=FY","FILING_STATUS=MR","SCALING_FORMAT=MLN","Sort=A","Dates=H","DateFormat=P","Fill=—","Direction=H","UseDPDF=Y")</f>
        <v>1990.673</v>
      </c>
      <c r="E80" s="16">
        <f>_xll.BDH("MCHP US Equity","EQTY_BEF_MINORITY_INT_DETAILED","FY 2013","FY 2013","Currency=USD","Period=FY","BEST_FPERIOD_OVERRIDE=FY","FILING_STATUS=MR","SCALING_FORMAT=MLN","Sort=A","Dates=H","DateFormat=P","Fill=—","Direction=H","UseDPDF=Y")</f>
        <v>1933.47</v>
      </c>
      <c r="F80" s="16">
        <f>_xll.BDH("MCHP US Equity","EQTY_BEF_MINORITY_INT_DETAILED","FY 2014","FY 2014","Currency=USD","Period=FY","BEST_FPERIOD_OVERRIDE=FY","FILING_STATUS=MR","SCALING_FORMAT=MLN","Sort=A","Dates=H","DateFormat=P","Fill=—","Direction=H","UseDPDF=Y")</f>
        <v>2135.4609999999998</v>
      </c>
      <c r="G80" s="16">
        <f>_xll.BDH("MCHP US Equity","EQTY_BEF_MINORITY_INT_DETAILED","FY 2015","FY 2015","Currency=USD","Period=FY","BEST_FPERIOD_OVERRIDE=FY","FILING_STATUS=MR","SCALING_FORMAT=MLN","Sort=A","Dates=H","DateFormat=P","Fill=—","Direction=H","UseDPDF=Y")</f>
        <v>2044.654</v>
      </c>
      <c r="H80" s="16">
        <f>_xll.BDH("MCHP US Equity","EQTY_BEF_MINORITY_INT_DETAILED","FY 2016","FY 2016","Currency=USD","Period=FY","BEST_FPERIOD_OVERRIDE=FY","FILING_STATUS=MR","SCALING_FORMAT=MLN","Sort=A","Dates=H","DateFormat=P","Fill=—","Direction=H","UseDPDF=Y")</f>
        <v>2150.9189999999999</v>
      </c>
      <c r="I80" s="16">
        <f>_xll.BDH("MCHP US Equity","EQTY_BEF_MINORITY_INT_DETAILED","FY 2017","FY 2017","Currency=USD","Period=FY","BEST_FPERIOD_OVERRIDE=FY","FILING_STATUS=MR","SCALING_FORMAT=MLN","Sort=A","Dates=H","DateFormat=P","Fill=—","Direction=H","UseDPDF=Y")</f>
        <v>3270.7</v>
      </c>
      <c r="J80" s="16">
        <f>_xll.BDH("MCHP US Equity","EQTY_BEF_MINORITY_INT_DETAILED","FY 2018","FY 2018","Currency=USD","Period=FY","BEST_FPERIOD_OVERRIDE=FY","FILING_STATUS=MR","SCALING_FORMAT=MLN","Sort=A","Dates=H","DateFormat=P","Fill=—","Direction=H","UseDPDF=Y")</f>
        <v>3279.8</v>
      </c>
      <c r="K80" s="16">
        <f>_xll.BDH("MCHP US Equity","EQTY_BEF_MINORITY_INT_DETAILED","FY 2019","FY 2019","Currency=USD","Period=FY","BEST_FPERIOD_OVERRIDE=FY","FILING_STATUS=MR","SCALING_FORMAT=MLN","Sort=A","Dates=H","DateFormat=P","Fill=—","Direction=H","UseDPDF=Y")</f>
        <v>5287.5</v>
      </c>
      <c r="L80" s="16">
        <f>_xll.BDH("MCHP US Equity","EQTY_BEF_MINORITY_INT_DETAILED","FY 2020","FY 2020","Currency=USD","Period=FY","BEST_FPERIOD_OVERRIDE=FY","FILING_STATUS=MR","SCALING_FORMAT=MLN","Sort=A","Dates=H","DateFormat=P","Fill=—","Direction=H","UseDPDF=Y")</f>
        <v>5585.5</v>
      </c>
    </row>
    <row r="81" spans="1:12" x14ac:dyDescent="0.45">
      <c r="A81" s="10" t="s">
        <v>166</v>
      </c>
      <c r="B81" s="10" t="s">
        <v>167</v>
      </c>
      <c r="C81" s="13">
        <f>_xll.BDH("MCHP US Equity","MINORITY_NONCONTROLLING_INTEREST","FY 2011","FY 2011","Currency=USD","Period=FY","BEST_FPERIOD_OVERRIDE=FY","FILING_STATUS=MR","SCALING_FORMAT=MLN","Sort=A","Dates=H","DateFormat=P","Fill=—","Direction=H","UseDPDF=Y")</f>
        <v>0</v>
      </c>
      <c r="D81" s="13">
        <f>_xll.BDH("MCHP US Equity","MINORITY_NONCONTROLLING_INTEREST","FY 2012","FY 2012","Currency=USD","Period=FY","BEST_FPERIOD_OVERRIDE=FY","FILING_STATUS=MR","SCALING_FORMAT=MLN","Sort=A","Dates=H","DateFormat=P","Fill=—","Direction=H","UseDPDF=Y")</f>
        <v>0</v>
      </c>
      <c r="E81" s="13">
        <f>_xll.BDH("MCHP US Equity","MINORITY_NONCONTROLLING_INTEREST","FY 2013","FY 2013","Currency=USD","Period=FY","BEST_FPERIOD_OVERRIDE=FY","FILING_STATUS=MR","SCALING_FORMAT=MLN","Sort=A","Dates=H","DateFormat=P","Fill=—","Direction=H","UseDPDF=Y")</f>
        <v>0</v>
      </c>
      <c r="F81" s="13">
        <f>_xll.BDH("MCHP US Equity","MINORITY_NONCONTROLLING_INTEREST","FY 2014","FY 2014","Currency=USD","Period=FY","BEST_FPERIOD_OVERRIDE=FY","FILING_STATUS=MR","SCALING_FORMAT=MLN","Sort=A","Dates=H","DateFormat=P","Fill=—","Direction=H","UseDPDF=Y")</f>
        <v>0</v>
      </c>
      <c r="G81" s="13">
        <f>_xll.BDH("MCHP US Equity","MINORITY_NONCONTROLLING_INTEREST","FY 2015","FY 2015","Currency=USD","Period=FY","BEST_FPERIOD_OVERRIDE=FY","FILING_STATUS=MR","SCALING_FORMAT=MLN","Sort=A","Dates=H","DateFormat=P","Fill=—","Direction=H","UseDPDF=Y")</f>
        <v>16.372</v>
      </c>
      <c r="H81" s="13">
        <f>_xll.BDH("MCHP US Equity","MINORITY_NONCONTROLLING_INTEREST","FY 2016","FY 2016","Currency=USD","Period=FY","BEST_FPERIOD_OVERRIDE=FY","FILING_STATUS=MR","SCALING_FORMAT=MLN","Sort=A","Dates=H","DateFormat=P","Fill=—","Direction=H","UseDPDF=Y")</f>
        <v>0</v>
      </c>
      <c r="I81" s="13">
        <f>_xll.BDH("MCHP US Equity","MINORITY_NONCONTROLLING_INTEREST","FY 2017","FY 2017","Currency=USD","Period=FY","BEST_FPERIOD_OVERRIDE=FY","FILING_STATUS=MR","SCALING_FORMAT=MLN","Sort=A","Dates=H","DateFormat=P","Fill=—","Direction=H","UseDPDF=Y")</f>
        <v>0</v>
      </c>
      <c r="J81" s="13">
        <f>_xll.BDH("MCHP US Equity","MINORITY_NONCONTROLLING_INTEREST","FY 2018","FY 2018","Currency=USD","Period=FY","BEST_FPERIOD_OVERRIDE=FY","FILING_STATUS=MR","SCALING_FORMAT=MLN","Sort=A","Dates=H","DateFormat=P","Fill=—","Direction=H","UseDPDF=Y")</f>
        <v>0</v>
      </c>
      <c r="K81" s="13">
        <f>_xll.BDH("MCHP US Equity","MINORITY_NONCONTROLLING_INTEREST","FY 2019","FY 2019","Currency=USD","Period=FY","BEST_FPERIOD_OVERRIDE=FY","FILING_STATUS=MR","SCALING_FORMAT=MLN","Sort=A","Dates=H","DateFormat=P","Fill=—","Direction=H","UseDPDF=Y")</f>
        <v>0</v>
      </c>
      <c r="L81" s="13">
        <f>_xll.BDH("MCHP US Equity","MINORITY_NONCONTROLLING_INTEREST","FY 2020","FY 2020","Currency=USD","Period=FY","BEST_FPERIOD_OVERRIDE=FY","FILING_STATUS=MR","SCALING_FORMAT=MLN","Sort=A","Dates=H","DateFormat=P","Fill=—","Direction=H","UseDPDF=Y")</f>
        <v>0</v>
      </c>
    </row>
    <row r="82" spans="1:12" x14ac:dyDescent="0.45">
      <c r="A82" s="6" t="s">
        <v>168</v>
      </c>
      <c r="B82" s="6" t="s">
        <v>169</v>
      </c>
      <c r="C82" s="16">
        <f>_xll.BDH("MCHP US Equity","TOTAL_EQUITY","FY 2011","FY 2011","Currency=USD","Period=FY","BEST_FPERIOD_OVERRIDE=FY","FILING_STATUS=MR","SCALING_FORMAT=MLN","Sort=A","Dates=H","DateFormat=P","Fill=—","Direction=H","UseDPDF=Y")</f>
        <v>1812.4380000000001</v>
      </c>
      <c r="D82" s="16">
        <f>_xll.BDH("MCHP US Equity","TOTAL_EQUITY","FY 2012","FY 2012","Currency=USD","Period=FY","BEST_FPERIOD_OVERRIDE=FY","FILING_STATUS=MR","SCALING_FORMAT=MLN","Sort=A","Dates=H","DateFormat=P","Fill=—","Direction=H","UseDPDF=Y")</f>
        <v>1990.673</v>
      </c>
      <c r="E82" s="16">
        <f>_xll.BDH("MCHP US Equity","TOTAL_EQUITY","FY 2013","FY 2013","Currency=USD","Period=FY","BEST_FPERIOD_OVERRIDE=FY","FILING_STATUS=MR","SCALING_FORMAT=MLN","Sort=A","Dates=H","DateFormat=P","Fill=—","Direction=H","UseDPDF=Y")</f>
        <v>1933.47</v>
      </c>
      <c r="F82" s="16">
        <f>_xll.BDH("MCHP US Equity","TOTAL_EQUITY","FY 2014","FY 2014","Currency=USD","Period=FY","BEST_FPERIOD_OVERRIDE=FY","FILING_STATUS=MR","SCALING_FORMAT=MLN","Sort=A","Dates=H","DateFormat=P","Fill=—","Direction=H","UseDPDF=Y")</f>
        <v>2135.4609999999998</v>
      </c>
      <c r="G82" s="16">
        <f>_xll.BDH("MCHP US Equity","TOTAL_EQUITY","FY 2015","FY 2015","Currency=USD","Period=FY","BEST_FPERIOD_OVERRIDE=FY","FILING_STATUS=MR","SCALING_FORMAT=MLN","Sort=A","Dates=H","DateFormat=P","Fill=—","Direction=H","UseDPDF=Y")</f>
        <v>2061.0259999999998</v>
      </c>
      <c r="H82" s="16">
        <f>_xll.BDH("MCHP US Equity","TOTAL_EQUITY","FY 2016","FY 2016","Currency=USD","Period=FY","BEST_FPERIOD_OVERRIDE=FY","FILING_STATUS=MR","SCALING_FORMAT=MLN","Sort=A","Dates=H","DateFormat=P","Fill=—","Direction=H","UseDPDF=Y")</f>
        <v>2150.9189999999999</v>
      </c>
      <c r="I82" s="16">
        <f>_xll.BDH("MCHP US Equity","TOTAL_EQUITY","FY 2017","FY 2017","Currency=USD","Period=FY","BEST_FPERIOD_OVERRIDE=FY","FILING_STATUS=MR","SCALING_FORMAT=MLN","Sort=A","Dates=H","DateFormat=P","Fill=—","Direction=H","UseDPDF=Y")</f>
        <v>3270.7</v>
      </c>
      <c r="J82" s="16">
        <f>_xll.BDH("MCHP US Equity","TOTAL_EQUITY","FY 2018","FY 2018","Currency=USD","Period=FY","BEST_FPERIOD_OVERRIDE=FY","FILING_STATUS=MR","SCALING_FORMAT=MLN","Sort=A","Dates=H","DateFormat=P","Fill=—","Direction=H","UseDPDF=Y")</f>
        <v>3279.8</v>
      </c>
      <c r="K82" s="16">
        <f>_xll.BDH("MCHP US Equity","TOTAL_EQUITY","FY 2019","FY 2019","Currency=USD","Period=FY","BEST_FPERIOD_OVERRIDE=FY","FILING_STATUS=MR","SCALING_FORMAT=MLN","Sort=A","Dates=H","DateFormat=P","Fill=—","Direction=H","UseDPDF=Y")</f>
        <v>5287.5</v>
      </c>
      <c r="L82" s="16">
        <f>_xll.BDH("MCHP US Equity","TOTAL_EQUITY","FY 2020","FY 2020","Currency=USD","Period=FY","BEST_FPERIOD_OVERRIDE=FY","FILING_STATUS=MR","SCALING_FORMAT=MLN","Sort=A","Dates=H","DateFormat=P","Fill=—","Direction=H","UseDPDF=Y")</f>
        <v>5585.5</v>
      </c>
    </row>
    <row r="83" spans="1:12" x14ac:dyDescent="0.45">
      <c r="A83" s="6" t="s">
        <v>170</v>
      </c>
      <c r="B83" s="6" t="s">
        <v>171</v>
      </c>
      <c r="C83" s="16">
        <f>_xll.BDH("MCHP US Equity","TOT_LIAB_AND_EQY","FY 2011","FY 2011","Currency=USD","Period=FY","BEST_FPERIOD_OVERRIDE=FY","FILING_STATUS=MR","SCALING_FORMAT=MLN","Sort=A","Dates=H","DateFormat=P","Fill=—","Direction=H","UseDPDF=Y")</f>
        <v>2968.058</v>
      </c>
      <c r="D83" s="16">
        <f>_xll.BDH("MCHP US Equity","TOT_LIAB_AND_EQY","FY 2012","FY 2012","Currency=USD","Period=FY","BEST_FPERIOD_OVERRIDE=FY","FILING_STATUS=MR","SCALING_FORMAT=MLN","Sort=A","Dates=H","DateFormat=P","Fill=—","Direction=H","UseDPDF=Y")</f>
        <v>3083.7759999999998</v>
      </c>
      <c r="E83" s="16">
        <f>_xll.BDH("MCHP US Equity","TOT_LIAB_AND_EQY","FY 2013","FY 2013","Currency=USD","Period=FY","BEST_FPERIOD_OVERRIDE=FY","FILING_STATUS=MR","SCALING_FORMAT=MLN","Sort=A","Dates=H","DateFormat=P","Fill=—","Direction=H","UseDPDF=Y")</f>
        <v>3851.4050000000002</v>
      </c>
      <c r="F83" s="16">
        <f>_xll.BDH("MCHP US Equity","TOT_LIAB_AND_EQY","FY 2014","FY 2014","Currency=USD","Period=FY","BEST_FPERIOD_OVERRIDE=FY","FILING_STATUS=MR","SCALING_FORMAT=MLN","Sort=A","Dates=H","DateFormat=P","Fill=—","Direction=H","UseDPDF=Y")</f>
        <v>4067.63</v>
      </c>
      <c r="G83" s="16">
        <f>_xll.BDH("MCHP US Equity","TOT_LIAB_AND_EQY","FY 2015","FY 2015","Currency=USD","Period=FY","BEST_FPERIOD_OVERRIDE=FY","FILING_STATUS=MR","SCALING_FORMAT=MLN","Sort=A","Dates=H","DateFormat=P","Fill=—","Direction=H","UseDPDF=Y")</f>
        <v>4780.7129999999997</v>
      </c>
      <c r="H83" s="16">
        <f>_xll.BDH("MCHP US Equity","TOT_LIAB_AND_EQY","FY 2016","FY 2016","Currency=USD","Period=FY","BEST_FPERIOD_OVERRIDE=FY","FILING_STATUS=MR","SCALING_FORMAT=MLN","Sort=A","Dates=H","DateFormat=P","Fill=—","Direction=H","UseDPDF=Y")</f>
        <v>5537.8829999999998</v>
      </c>
      <c r="I83" s="16">
        <f>_xll.BDH("MCHP US Equity","TOT_LIAB_AND_EQY","FY 2017","FY 2017","Currency=USD","Period=FY","BEST_FPERIOD_OVERRIDE=FY","FILING_STATUS=MR","SCALING_FORMAT=MLN","Sort=A","Dates=H","DateFormat=P","Fill=—","Direction=H","UseDPDF=Y")</f>
        <v>7686.9</v>
      </c>
      <c r="J83" s="16">
        <f>_xll.BDH("MCHP US Equity","TOT_LIAB_AND_EQY","FY 2018","FY 2018","Currency=USD","Period=FY","BEST_FPERIOD_OVERRIDE=FY","FILING_STATUS=MR","SCALING_FORMAT=MLN","Sort=A","Dates=H","DateFormat=P","Fill=—","Direction=H","UseDPDF=Y")</f>
        <v>8257.2000000000007</v>
      </c>
      <c r="K83" s="16">
        <f>_xll.BDH("MCHP US Equity","TOT_LIAB_AND_EQY","FY 2019","FY 2019","Currency=USD","Period=FY","BEST_FPERIOD_OVERRIDE=FY","FILING_STATUS=MR","SCALING_FORMAT=MLN","Sort=A","Dates=H","DateFormat=P","Fill=—","Direction=H","UseDPDF=Y")</f>
        <v>18350</v>
      </c>
      <c r="L83" s="16">
        <f>_xll.BDH("MCHP US Equity","TOT_LIAB_AND_EQY","FY 2020","FY 2020","Currency=USD","Period=FY","BEST_FPERIOD_OVERRIDE=FY","FILING_STATUS=MR","SCALING_FORMAT=MLN","Sort=A","Dates=H","DateFormat=P","Fill=—","Direction=H","UseDPDF=Y")</f>
        <v>17426.099999999999</v>
      </c>
    </row>
    <row r="84" spans="1:12" x14ac:dyDescent="0.45">
      <c r="A84" s="6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 spans="1:12" x14ac:dyDescent="0.45">
      <c r="A85" s="6" t="s">
        <v>0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 spans="1:12" x14ac:dyDescent="0.45">
      <c r="A86" s="10" t="s">
        <v>172</v>
      </c>
      <c r="B86" s="10" t="s">
        <v>173</v>
      </c>
      <c r="C86" s="12" t="s">
        <v>174</v>
      </c>
      <c r="D86" s="12" t="s">
        <v>174</v>
      </c>
      <c r="E86" s="12" t="s">
        <v>174</v>
      </c>
      <c r="F86" s="12" t="s">
        <v>174</v>
      </c>
      <c r="G86" s="12" t="s">
        <v>174</v>
      </c>
      <c r="H86" s="12" t="s">
        <v>174</v>
      </c>
      <c r="I86" s="12" t="s">
        <v>174</v>
      </c>
      <c r="J86" s="12" t="s">
        <v>174</v>
      </c>
      <c r="K86" s="12" t="s">
        <v>174</v>
      </c>
      <c r="L86" s="12" t="s">
        <v>174</v>
      </c>
    </row>
    <row r="87" spans="1:12" x14ac:dyDescent="0.45">
      <c r="A87" s="10" t="s">
        <v>175</v>
      </c>
      <c r="B87" s="10" t="s">
        <v>176</v>
      </c>
      <c r="C87" s="13">
        <f>_xll.BDH("MCHP US Equity","BS_SH_OUT","FY 2011","FY 2011","Currency=USD","Period=FY","BEST_FPERIOD_OVERRIDE=FY","FILING_STATUS=MR","Sort=A","Dates=H","DateFormat=P","Fill=—","Direction=H","UseDPDF=Y")</f>
        <v>189.54169999999999</v>
      </c>
      <c r="D87" s="13">
        <f>_xll.BDH("MCHP US Equity","BS_SH_OUT","FY 2012","FY 2012","Currency=USD","Period=FY","BEST_FPERIOD_OVERRIDE=FY","FILING_STATUS=MR","Sort=A","Dates=H","DateFormat=P","Fill=—","Direction=H","UseDPDF=Y")</f>
        <v>193.15049999999999</v>
      </c>
      <c r="E87" s="13">
        <f>_xll.BDH("MCHP US Equity","BS_SH_OUT","FY 2013","FY 2013","Currency=USD","Period=FY","BEST_FPERIOD_OVERRIDE=FY","FILING_STATUS=MR","Sort=A","Dates=H","DateFormat=P","Fill=—","Direction=H","UseDPDF=Y")</f>
        <v>196.47290000000001</v>
      </c>
      <c r="F87" s="13">
        <f>_xll.BDH("MCHP US Equity","BS_SH_OUT","FY 2014","FY 2014","Currency=USD","Period=FY","BEST_FPERIOD_OVERRIDE=FY","FILING_STATUS=MR","Sort=A","Dates=H","DateFormat=P","Fill=—","Direction=H","UseDPDF=Y")</f>
        <v>200.0027</v>
      </c>
      <c r="G87" s="13">
        <f>_xll.BDH("MCHP US Equity","BS_SH_OUT","FY 2015","FY 2015","Currency=USD","Period=FY","BEST_FPERIOD_OVERRIDE=FY","FILING_STATUS=MR","Sort=A","Dates=H","DateFormat=P","Fill=—","Direction=H","UseDPDF=Y")</f>
        <v>202.08029999999999</v>
      </c>
      <c r="H87" s="13">
        <f>_xll.BDH("MCHP US Equity","BS_SH_OUT","FY 2016","FY 2016","Currency=USD","Period=FY","BEST_FPERIOD_OVERRIDE=FY","FILING_STATUS=MR","Sort=A","Dates=H","DateFormat=P","Fill=—","Direction=H","UseDPDF=Y")</f>
        <v>204.08170000000001</v>
      </c>
      <c r="I87" s="13">
        <f>_xll.BDH("MCHP US Equity","BS_SH_OUT","FY 2017","FY 2017","Currency=USD","Period=FY","BEST_FPERIOD_OVERRIDE=FY","FILING_STATUS=MR","Sort=A","Dates=H","DateFormat=P","Fill=—","Direction=H","UseDPDF=Y")</f>
        <v>229.09370000000001</v>
      </c>
      <c r="J87" s="13">
        <f>_xll.BDH("MCHP US Equity","BS_SH_OUT","FY 2018","FY 2018","Currency=USD","Period=FY","BEST_FPERIOD_OVERRIDE=FY","FILING_STATUS=MR","Sort=A","Dates=H","DateFormat=P","Fill=—","Direction=H","UseDPDF=Y")</f>
        <v>235.02780000000001</v>
      </c>
      <c r="K87" s="13">
        <f>_xll.BDH("MCHP US Equity","BS_SH_OUT","FY 2019","FY 2019","Currency=USD","Period=FY","BEST_FPERIOD_OVERRIDE=FY","FILING_STATUS=MR","Sort=A","Dates=H","DateFormat=P","Fill=—","Direction=H","UseDPDF=Y")</f>
        <v>237.58949999999999</v>
      </c>
      <c r="L87" s="13">
        <f>_xll.BDH("MCHP US Equity","BS_SH_OUT","FY 2020","FY 2020","Currency=USD","Period=FY","BEST_FPERIOD_OVERRIDE=FY","FILING_STATUS=MR","Sort=A","Dates=H","DateFormat=P","Fill=—","Direction=H","UseDPDF=Y")</f>
        <v>245.32560000000001</v>
      </c>
    </row>
    <row r="88" spans="1:12" x14ac:dyDescent="0.45">
      <c r="A88" s="10" t="s">
        <v>177</v>
      </c>
      <c r="B88" s="10" t="s">
        <v>178</v>
      </c>
      <c r="C88" s="13">
        <f>_xll.BDH("MCHP US Equity","BS_NUM_OF_TSY_SH","FY 2011","FY 2011","Currency=USD","Period=FY","BEST_FPERIOD_OVERRIDE=FY","FILING_STATUS=MR","Sort=A","Dates=H","DateFormat=P","Fill=—","Direction=H","UseDPDF=Y")</f>
        <v>29.2483</v>
      </c>
      <c r="D88" s="13">
        <f>_xll.BDH("MCHP US Equity","BS_NUM_OF_TSY_SH","FY 2012","FY 2012","Currency=USD","Period=FY","BEST_FPERIOD_OVERRIDE=FY","FILING_STATUS=MR","Sort=A","Dates=H","DateFormat=P","Fill=—","Direction=H","UseDPDF=Y")</f>
        <v>25.639499999999998</v>
      </c>
      <c r="E88" s="13">
        <f>_xll.BDH("MCHP US Equity","BS_NUM_OF_TSY_SH","FY 2013","FY 2013","Currency=USD","Period=FY","BEST_FPERIOD_OVERRIDE=FY","FILING_STATUS=MR","Sort=A","Dates=H","DateFormat=P","Fill=—","Direction=H","UseDPDF=Y")</f>
        <v>22.3171</v>
      </c>
      <c r="F88" s="13">
        <f>_xll.BDH("MCHP US Equity","BS_NUM_OF_TSY_SH","FY 2014","FY 2014","Currency=USD","Period=FY","BEST_FPERIOD_OVERRIDE=FY","FILING_STATUS=MR","Sort=A","Dates=H","DateFormat=P","Fill=—","Direction=H","UseDPDF=Y")</f>
        <v>18.787299999999998</v>
      </c>
      <c r="G88" s="13">
        <f>_xll.BDH("MCHP US Equity","BS_NUM_OF_TSY_SH","FY 2015","FY 2015","Currency=USD","Period=FY","BEST_FPERIOD_OVERRIDE=FY","FILING_STATUS=MR","Sort=A","Dates=H","DateFormat=P","Fill=—","Direction=H","UseDPDF=Y")</f>
        <v>16.709700000000002</v>
      </c>
      <c r="H88" s="13">
        <f>_xll.BDH("MCHP US Equity","BS_NUM_OF_TSY_SH","FY 2016","FY 2016","Currency=USD","Period=FY","BEST_FPERIOD_OVERRIDE=FY","FILING_STATUS=MR","Sort=A","Dates=H","DateFormat=P","Fill=—","Direction=H","UseDPDF=Y")</f>
        <v>23.335100000000001</v>
      </c>
      <c r="I88" s="13">
        <f>_xll.BDH("MCHP US Equity","BS_NUM_OF_TSY_SH","FY 2017","FY 2017","Currency=USD","Period=FY","BEST_FPERIOD_OVERRIDE=FY","FILING_STATUS=MR","Sort=A","Dates=H","DateFormat=P","Fill=—","Direction=H","UseDPDF=Y")</f>
        <v>20.370100000000001</v>
      </c>
      <c r="J88" s="13">
        <f>_xll.BDH("MCHP US Equity","BS_NUM_OF_TSY_SH","FY 2018","FY 2018","Currency=USD","Period=FY","BEST_FPERIOD_OVERRIDE=FY","FILING_STATUS=MR","Sort=A","Dates=H","DateFormat=P","Fill=—","Direction=H","UseDPDF=Y")</f>
        <v>18.205100000000002</v>
      </c>
      <c r="K88" s="13">
        <f>_xll.BDH("MCHP US Equity","BS_NUM_OF_TSY_SH","FY 2019","FY 2019","Currency=USD","Period=FY","BEST_FPERIOD_OVERRIDE=FY","FILING_STATUS=MR","Sort=A","Dates=H","DateFormat=P","Fill=—","Direction=H","UseDPDF=Y")</f>
        <v>15.6434</v>
      </c>
      <c r="L88" s="13">
        <f>_xll.BDH("MCHP US Equity","BS_NUM_OF_TSY_SH","FY 2020","FY 2020","Currency=USD","Period=FY","BEST_FPERIOD_OVERRIDE=FY","FILING_STATUS=MR","Sort=A","Dates=H","DateFormat=P","Fill=—","Direction=H","UseDPDF=Y")</f>
        <v>13.0656</v>
      </c>
    </row>
    <row r="89" spans="1:12" x14ac:dyDescent="0.45">
      <c r="A89" s="10" t="s">
        <v>179</v>
      </c>
      <c r="B89" s="10" t="s">
        <v>180</v>
      </c>
      <c r="C89" s="13">
        <f>_xll.BDH("MCHP US Equity","BS_PENSION_RSRV","FY 2011","FY 2011","Currency=USD","Period=FY","BEST_FPERIOD_OVERRIDE=FY","FILING_STATUS=MR","SCALING_FORMAT=MLN","Sort=A","Dates=H","DateFormat=P","Fill=—","Direction=H","UseDPDF=Y")</f>
        <v>0</v>
      </c>
      <c r="D89" s="13">
        <f>_xll.BDH("MCHP US Equity","BS_PENSION_RSRV","FY 2012","FY 2012","Currency=USD","Period=FY","BEST_FPERIOD_OVERRIDE=FY","FILING_STATUS=MR","SCALING_FORMAT=MLN","Sort=A","Dates=H","DateFormat=P","Fill=—","Direction=H","UseDPDF=Y")</f>
        <v>0</v>
      </c>
      <c r="E89" s="13">
        <f>_xll.BDH("MCHP US Equity","BS_PENSION_RSRV","FY 2013","FY 2013","Currency=USD","Period=FY","BEST_FPERIOD_OVERRIDE=FY","FILING_STATUS=MR","SCALING_FORMAT=MLN","Sort=A","Dates=H","DateFormat=P","Fill=—","Direction=H","UseDPDF=Y")</f>
        <v>0</v>
      </c>
      <c r="F89" s="13">
        <f>_xll.BDH("MCHP US Equity","BS_PENSION_RSRV","FY 2014","FY 2014","Currency=USD","Period=FY","BEST_FPERIOD_OVERRIDE=FY","FILING_STATUS=MR","SCALING_FORMAT=MLN","Sort=A","Dates=H","DateFormat=P","Fill=—","Direction=H","UseDPDF=Y")</f>
        <v>0</v>
      </c>
      <c r="G89" s="13">
        <f>_xll.BDH("MCHP US Equity","BS_PENSION_RSRV","FY 2015","FY 2015","Currency=USD","Period=FY","BEST_FPERIOD_OVERRIDE=FY","FILING_STATUS=MR","SCALING_FORMAT=MLN","Sort=A","Dates=H","DateFormat=P","Fill=—","Direction=H","UseDPDF=Y")</f>
        <v>0</v>
      </c>
      <c r="H89" s="13">
        <f>_xll.BDH("MCHP US Equity","BS_PENSION_RSRV","FY 2016","FY 2016","Currency=USD","Period=FY","BEST_FPERIOD_OVERRIDE=FY","FILING_STATUS=MR","SCALING_FORMAT=MLN","Sort=A","Dates=H","DateFormat=P","Fill=—","Direction=H","UseDPDF=Y")</f>
        <v>0</v>
      </c>
      <c r="I89" s="13">
        <f>_xll.BDH("MCHP US Equity","BS_PENSION_RSRV","FY 2017","FY 2017","Currency=USD","Period=FY","BEST_FPERIOD_OVERRIDE=FY","FILING_STATUS=MR","SCALING_FORMAT=MLN","Sort=A","Dates=H","DateFormat=P","Fill=—","Direction=H","UseDPDF=Y")</f>
        <v>0</v>
      </c>
      <c r="J89" s="13">
        <f>_xll.BDH("MCHP US Equity","BS_PENSION_RSRV","FY 2018","FY 2018","Currency=USD","Period=FY","BEST_FPERIOD_OVERRIDE=FY","FILING_STATUS=MR","SCALING_FORMAT=MLN","Sort=A","Dates=H","DateFormat=P","Fill=—","Direction=H","UseDPDF=Y")</f>
        <v>0</v>
      </c>
      <c r="K89" s="13">
        <f>_xll.BDH("MCHP US Equity","BS_PENSION_RSRV","FY 2019","FY 2019","Currency=USD","Period=FY","BEST_FPERIOD_OVERRIDE=FY","FILING_STATUS=MR","SCALING_FORMAT=MLN","Sort=A","Dates=H","DateFormat=P","Fill=—","Direction=H","UseDPDF=Y")</f>
        <v>0</v>
      </c>
      <c r="L89" s="13">
        <f>_xll.BDH("MCHP US Equity","BS_PENSION_RSRV","FY 2020","FY 2020","Currency=USD","Period=FY","BEST_FPERIOD_OVERRIDE=FY","FILING_STATUS=MR","SCALING_FORMAT=MLN","Sort=A","Dates=H","DateFormat=P","Fill=—","Direction=H","UseDPDF=Y")</f>
        <v>0</v>
      </c>
    </row>
    <row r="90" spans="1:12" x14ac:dyDescent="0.45">
      <c r="A90" s="10" t="s">
        <v>181</v>
      </c>
      <c r="B90" s="10" t="s">
        <v>182</v>
      </c>
      <c r="C90" s="13">
        <f>_xll.BDH("MCHP US Equity","BS_FUTURE_MIN_OPER_LEASE_OBLIG","FY 2011","FY 2011","Currency=USD","Period=FY","BEST_FPERIOD_OVERRIDE=FY","FILING_STATUS=MR","SCALING_FORMAT=MLN","Sort=A","Dates=H","DateFormat=P","Fill=—","Direction=H","UseDPDF=Y")</f>
        <v>30.856000000000002</v>
      </c>
      <c r="D90" s="13">
        <f>_xll.BDH("MCHP US Equity","BS_FUTURE_MIN_OPER_LEASE_OBLIG","FY 2012","FY 2012","Currency=USD","Period=FY","BEST_FPERIOD_OVERRIDE=FY","FILING_STATUS=MR","SCALING_FORMAT=MLN","Sort=A","Dates=H","DateFormat=P","Fill=—","Direction=H","UseDPDF=Y")</f>
        <v>30.477</v>
      </c>
      <c r="E90" s="13">
        <f>_xll.BDH("MCHP US Equity","BS_FUTURE_MIN_OPER_LEASE_OBLIG","FY 2013","FY 2013","Currency=USD","Period=FY","BEST_FPERIOD_OVERRIDE=FY","FILING_STATUS=MR","SCALING_FORMAT=MLN","Sort=A","Dates=H","DateFormat=P","Fill=—","Direction=H","UseDPDF=Y")</f>
        <v>70.183000000000007</v>
      </c>
      <c r="F90" s="13">
        <f>_xll.BDH("MCHP US Equity","BS_FUTURE_MIN_OPER_LEASE_OBLIG","FY 2014","FY 2014","Currency=USD","Period=FY","BEST_FPERIOD_OVERRIDE=FY","FILING_STATUS=MR","SCALING_FORMAT=MLN","Sort=A","Dates=H","DateFormat=P","Fill=—","Direction=H","UseDPDF=Y")</f>
        <v>42.264000000000003</v>
      </c>
      <c r="G90" s="13">
        <f>_xll.BDH("MCHP US Equity","BS_FUTURE_MIN_OPER_LEASE_OBLIG","FY 2015","FY 2015","Currency=USD","Period=FY","BEST_FPERIOD_OVERRIDE=FY","FILING_STATUS=MR","SCALING_FORMAT=MLN","Sort=A","Dates=H","DateFormat=P","Fill=—","Direction=H","UseDPDF=Y")</f>
        <v>39.639000000000003</v>
      </c>
      <c r="H90" s="13">
        <f>_xll.BDH("MCHP US Equity","BS_FUTURE_MIN_OPER_LEASE_OBLIG","FY 2016","FY 2016","Currency=USD","Period=FY","BEST_FPERIOD_OVERRIDE=FY","FILING_STATUS=MR","SCALING_FORMAT=MLN","Sort=A","Dates=H","DateFormat=P","Fill=—","Direction=H","UseDPDF=Y")</f>
        <v>41.161999999999999</v>
      </c>
      <c r="I90" s="13">
        <f>_xll.BDH("MCHP US Equity","BS_FUTURE_MIN_OPER_LEASE_OBLIG","FY 2017","FY 2017","Currency=USD","Period=FY","BEST_FPERIOD_OVERRIDE=FY","FILING_STATUS=MR","SCALING_FORMAT=MLN","Sort=A","Dates=H","DateFormat=P","Fill=—","Direction=H","UseDPDF=Y")</f>
        <v>87.399000000000001</v>
      </c>
      <c r="J90" s="13">
        <f>_xll.BDH("MCHP US Equity","BS_FUTURE_MIN_OPER_LEASE_OBLIG","FY 2018","FY 2018","Currency=USD","Period=FY","BEST_FPERIOD_OVERRIDE=FY","FILING_STATUS=MR","SCALING_FORMAT=MLN","Sort=A","Dates=H","DateFormat=P","Fill=—","Direction=H","UseDPDF=Y")</f>
        <v>69.900000000000006</v>
      </c>
      <c r="K90" s="13">
        <f>_xll.BDH("MCHP US Equity","BS_FUTURE_MIN_OPER_LEASE_OBLIG","FY 2019","FY 2019","Currency=USD","Period=FY","BEST_FPERIOD_OVERRIDE=FY","FILING_STATUS=MR","SCALING_FORMAT=MLN","Sort=A","Dates=H","DateFormat=P","Fill=—","Direction=H","UseDPDF=Y")</f>
        <v>167.1</v>
      </c>
      <c r="L90" s="13">
        <f>_xll.BDH("MCHP US Equity","BS_FUTURE_MIN_OPER_LEASE_OBLIG","FY 2020","FY 2020","Currency=USD","Period=FY","BEST_FPERIOD_OVERRIDE=FY","FILING_STATUS=MR","SCALING_FORMAT=MLN","Sort=A","Dates=H","DateFormat=P","Fill=—","Direction=H","UseDPDF=Y")</f>
        <v>153.19999999999999</v>
      </c>
    </row>
    <row r="91" spans="1:12" x14ac:dyDescent="0.45">
      <c r="A91" s="10" t="s">
        <v>183</v>
      </c>
      <c r="B91" s="10" t="s">
        <v>184</v>
      </c>
      <c r="C91" s="13">
        <f>_xll.BDH("MCHP US Equity","BS_TOTAL_CAPITAL_LEASES","FY 2011","FY 2011","Currency=USD","Period=FY","BEST_FPERIOD_OVERRIDE=FY","FILING_STATUS=MR","SCALING_FORMAT=MLN","Sort=A","Dates=H","DateFormat=P","Fill=—","Direction=H","UseDPDF=Y")</f>
        <v>0</v>
      </c>
      <c r="D91" s="13">
        <f>_xll.BDH("MCHP US Equity","BS_TOTAL_CAPITAL_LEASES","FY 2012","FY 2012","Currency=USD","Period=FY","BEST_FPERIOD_OVERRIDE=FY","FILING_STATUS=MR","SCALING_FORMAT=MLN","Sort=A","Dates=H","DateFormat=P","Fill=—","Direction=H","UseDPDF=Y")</f>
        <v>0</v>
      </c>
      <c r="E91" s="13">
        <f>_xll.BDH("MCHP US Equity","BS_TOTAL_CAPITAL_LEASES","FY 2013","FY 2013","Currency=USD","Period=FY","BEST_FPERIOD_OVERRIDE=FY","FILING_STATUS=MR","SCALING_FORMAT=MLN","Sort=A","Dates=H","DateFormat=P","Fill=—","Direction=H","UseDPDF=Y")</f>
        <v>0</v>
      </c>
      <c r="F91" s="13">
        <f>_xll.BDH("MCHP US Equity","BS_TOTAL_CAPITAL_LEASES","FY 2014","FY 2014","Currency=USD","Period=FY","BEST_FPERIOD_OVERRIDE=FY","FILING_STATUS=MR","SCALING_FORMAT=MLN","Sort=A","Dates=H","DateFormat=P","Fill=—","Direction=H","UseDPDF=Y")</f>
        <v>0</v>
      </c>
      <c r="G91" s="13">
        <f>_xll.BDH("MCHP US Equity","BS_TOTAL_CAPITAL_LEASES","FY 2015","FY 2015","Currency=USD","Period=FY","BEST_FPERIOD_OVERRIDE=FY","FILING_STATUS=MR","SCALING_FORMAT=MLN","Sort=A","Dates=H","DateFormat=P","Fill=—","Direction=H","UseDPDF=Y")</f>
        <v>0</v>
      </c>
      <c r="H91" s="13">
        <f>_xll.BDH("MCHP US Equity","BS_TOTAL_CAPITAL_LEASES","FY 2016","FY 2016","Currency=USD","Period=FY","BEST_FPERIOD_OVERRIDE=FY","FILING_STATUS=MR","SCALING_FORMAT=MLN","Sort=A","Dates=H","DateFormat=P","Fill=—","Direction=H","UseDPDF=Y")</f>
        <v>0</v>
      </c>
      <c r="I91" s="13">
        <f>_xll.BDH("MCHP US Equity","BS_TOTAL_CAPITAL_LEASES","FY 2017","FY 2017","Currency=USD","Period=FY","BEST_FPERIOD_OVERRIDE=FY","FILING_STATUS=MR","SCALING_FORMAT=MLN","Sort=A","Dates=H","DateFormat=P","Fill=—","Direction=H","UseDPDF=Y")</f>
        <v>0</v>
      </c>
      <c r="J91" s="13">
        <f>_xll.BDH("MCHP US Equity","BS_TOTAL_CAPITAL_LEASES","FY 2018","FY 2018","Currency=USD","Period=FY","BEST_FPERIOD_OVERRIDE=FY","FILING_STATUS=MR","SCALING_FORMAT=MLN","Sort=A","Dates=H","DateFormat=P","Fill=—","Direction=H","UseDPDF=Y")</f>
        <v>0</v>
      </c>
      <c r="K91" s="13">
        <f>_xll.BDH("MCHP US Equity","BS_TOTAL_CAPITAL_LEASES","FY 2019","FY 2019","Currency=USD","Period=FY","BEST_FPERIOD_OVERRIDE=FY","FILING_STATUS=MR","SCALING_FORMAT=MLN","Sort=A","Dates=H","DateFormat=P","Fill=—","Direction=H","UseDPDF=Y")</f>
        <v>0</v>
      </c>
      <c r="L91" s="13">
        <f>_xll.BDH("MCHP US Equity","BS_TOTAL_CAPITAL_LEASES","FY 2020","FY 2020","Currency=USD","Period=FY","BEST_FPERIOD_OVERRIDE=FY","FILING_STATUS=MR","SCALING_FORMAT=MLN","Sort=A","Dates=H","DateFormat=P","Fill=—","Direction=H","UseDPDF=Y")</f>
        <v>0</v>
      </c>
    </row>
    <row r="92" spans="1:12" x14ac:dyDescent="0.45">
      <c r="A92" s="10" t="s">
        <v>185</v>
      </c>
      <c r="B92" s="10" t="s">
        <v>186</v>
      </c>
      <c r="C92" s="13" t="str">
        <f>_xll.BDH("MCHP US Equity","BS_OPTIONS_GRANTED","FY 2011","FY 2011","Currency=USD","Period=FY","BEST_FPERIOD_OVERRIDE=FY","FILING_STATUS=MR","Sort=A","Dates=H","DateFormat=P","Fill=—","Direction=H","UseDPDF=Y")</f>
        <v>—</v>
      </c>
      <c r="D92" s="13" t="str">
        <f>_xll.BDH("MCHP US Equity","BS_OPTIONS_GRANTED","FY 2012","FY 2012","Currency=USD","Period=FY","BEST_FPERIOD_OVERRIDE=FY","FILING_STATUS=MR","Sort=A","Dates=H","DateFormat=P","Fill=—","Direction=H","UseDPDF=Y")</f>
        <v>—</v>
      </c>
      <c r="E92" s="13" t="str">
        <f>_xll.BDH("MCHP US Equity","BS_OPTIONS_GRANTED","FY 2013","FY 2013","Currency=USD","Period=FY","BEST_FPERIOD_OVERRIDE=FY","FILING_STATUS=MR","Sort=A","Dates=H","DateFormat=P","Fill=—","Direction=H","UseDPDF=Y")</f>
        <v>—</v>
      </c>
      <c r="F92" s="13">
        <f>_xll.BDH("MCHP US Equity","BS_OPTIONS_GRANTED","FY 2014","FY 2014","Currency=USD","Period=FY","BEST_FPERIOD_OVERRIDE=FY","FILING_STATUS=MR","Sort=A","Dates=H","DateFormat=P","Fill=—","Direction=H","UseDPDF=Y")</f>
        <v>0</v>
      </c>
      <c r="G92" s="13">
        <f>_xll.BDH("MCHP US Equity","BS_OPTIONS_GRANTED","FY 2015","FY 2015","Currency=USD","Period=FY","BEST_FPERIOD_OVERRIDE=FY","FILING_STATUS=MR","Sort=A","Dates=H","DateFormat=P","Fill=—","Direction=H","UseDPDF=Y")</f>
        <v>2.7699999999999999E-2</v>
      </c>
      <c r="H92" s="13">
        <f>_xll.BDH("MCHP US Equity","BS_OPTIONS_GRANTED","FY 2016","FY 2016","Currency=USD","Period=FY","BEST_FPERIOD_OVERRIDE=FY","FILING_STATUS=MR","Sort=A","Dates=H","DateFormat=P","Fill=—","Direction=H","UseDPDF=Y")</f>
        <v>2.0000000000000001E-4</v>
      </c>
      <c r="I92" s="13">
        <f>_xll.BDH("MCHP US Equity","BS_OPTIONS_GRANTED","FY 2017","FY 2017","Currency=USD","Period=FY","BEST_FPERIOD_OVERRIDE=FY","FILING_STATUS=MR","Sort=A","Dates=H","DateFormat=P","Fill=—","Direction=H","UseDPDF=Y")</f>
        <v>0</v>
      </c>
      <c r="J92" s="13" t="str">
        <f>_xll.BDH("MCHP US Equity","BS_OPTIONS_GRANTED","FY 2018","FY 2018","Currency=USD","Period=FY","BEST_FPERIOD_OVERRIDE=FY","FILING_STATUS=MR","Sort=A","Dates=H","DateFormat=P","Fill=—","Direction=H","UseDPDF=Y")</f>
        <v>—</v>
      </c>
      <c r="K92" s="13" t="str">
        <f>_xll.BDH("MCHP US Equity","BS_OPTIONS_GRANTED","FY 2019","FY 2019","Currency=USD","Period=FY","BEST_FPERIOD_OVERRIDE=FY","FILING_STATUS=MR","Sort=A","Dates=H","DateFormat=P","Fill=—","Direction=H","UseDPDF=Y")</f>
        <v>—</v>
      </c>
      <c r="L92" s="13" t="str">
        <f>_xll.BDH("MCHP US Equity","BS_OPTIONS_GRANTED","FY 2020","FY 2020","Currency=USD","Period=FY","BEST_FPERIOD_OVERRIDE=FY","FILING_STATUS=MR","Sort=A","Dates=H","DateFormat=P","Fill=—","Direction=H","UseDPDF=Y")</f>
        <v>—</v>
      </c>
    </row>
    <row r="93" spans="1:12" x14ac:dyDescent="0.45">
      <c r="A93" s="10" t="s">
        <v>187</v>
      </c>
      <c r="B93" s="10" t="s">
        <v>188</v>
      </c>
      <c r="C93" s="13">
        <f>_xll.BDH("MCHP US Equity","BS_OPTIONS_OUTSTANDING","FY 2011","FY 2011","Currency=USD","Period=FY","BEST_FPERIOD_OVERRIDE=FY","FILING_STATUS=MR","Sort=A","Dates=H","DateFormat=P","Fill=—","Direction=H","UseDPDF=Y")</f>
        <v>5.4969000000000001</v>
      </c>
      <c r="D93" s="13">
        <f>_xll.BDH("MCHP US Equity","BS_OPTIONS_OUTSTANDING","FY 2012","FY 2012","Currency=USD","Period=FY","BEST_FPERIOD_OVERRIDE=FY","FILING_STATUS=MR","Sort=A","Dates=H","DateFormat=P","Fill=—","Direction=H","UseDPDF=Y")</f>
        <v>3.3609999999999998</v>
      </c>
      <c r="E93" s="13">
        <f>_xll.BDH("MCHP US Equity","BS_OPTIONS_OUTSTANDING","FY 2013","FY 2013","Currency=USD","Period=FY","BEST_FPERIOD_OVERRIDE=FY","FILING_STATUS=MR","Sort=A","Dates=H","DateFormat=P","Fill=—","Direction=H","UseDPDF=Y")</f>
        <v>2.2698</v>
      </c>
      <c r="F93" s="13">
        <f>_xll.BDH("MCHP US Equity","BS_OPTIONS_OUTSTANDING","FY 2014","FY 2014","Currency=USD","Period=FY","BEST_FPERIOD_OVERRIDE=FY","FILING_STATUS=MR","Sort=A","Dates=H","DateFormat=P","Fill=—","Direction=H","UseDPDF=Y")</f>
        <v>0.5736</v>
      </c>
      <c r="G93" s="13">
        <f>_xll.BDH("MCHP US Equity","BS_OPTIONS_OUTSTANDING","FY 2015","FY 2015","Currency=USD","Period=FY","BEST_FPERIOD_OVERRIDE=FY","FILING_STATUS=MR","Sort=A","Dates=H","DateFormat=P","Fill=—","Direction=H","UseDPDF=Y")</f>
        <v>0.68430000000000002</v>
      </c>
      <c r="H93" s="13">
        <f>_xll.BDH("MCHP US Equity","BS_OPTIONS_OUTSTANDING","FY 2016","FY 2016","Currency=USD","Period=FY","BEST_FPERIOD_OVERRIDE=FY","FILING_STATUS=MR","Sort=A","Dates=H","DateFormat=P","Fill=—","Direction=H","UseDPDF=Y")</f>
        <v>0.91349999999999998</v>
      </c>
      <c r="I93" s="13">
        <f>_xll.BDH("MCHP US Equity","BS_OPTIONS_OUTSTANDING","FY 2017","FY 2017","Currency=USD","Period=FY","BEST_FPERIOD_OVERRIDE=FY","FILING_STATUS=MR","Sort=A","Dates=H","DateFormat=P","Fill=—","Direction=H","UseDPDF=Y")</f>
        <v>0.43309999999999998</v>
      </c>
      <c r="J93" s="13">
        <f>_xll.BDH("MCHP US Equity","BS_OPTIONS_OUTSTANDING","FY 2018","FY 2018","Currency=USD","Period=FY","BEST_FPERIOD_OVERRIDE=FY","FILING_STATUS=MR","Sort=A","Dates=H","DateFormat=P","Fill=—","Direction=H","UseDPDF=Y")</f>
        <v>0.2843</v>
      </c>
      <c r="K93" s="13">
        <f>_xll.BDH("MCHP US Equity","BS_OPTIONS_OUTSTANDING","FY 2019","FY 2019","Currency=USD","Period=FY","BEST_FPERIOD_OVERRIDE=FY","FILING_STATUS=MR","Sort=A","Dates=H","DateFormat=P","Fill=—","Direction=H","UseDPDF=Y")</f>
        <v>0.28189999999999998</v>
      </c>
      <c r="L93" s="13">
        <f>_xll.BDH("MCHP US Equity","BS_OPTIONS_OUTSTANDING","FY 2020","FY 2020","Currency=USD","Period=FY","BEST_FPERIOD_OVERRIDE=FY","FILING_STATUS=MR","Sort=A","Dates=H","DateFormat=P","Fill=—","Direction=H","UseDPDF=Y")</f>
        <v>0.14899999999999999</v>
      </c>
    </row>
    <row r="94" spans="1:12" x14ac:dyDescent="0.45">
      <c r="A94" s="10" t="s">
        <v>189</v>
      </c>
      <c r="B94" s="10" t="s">
        <v>190</v>
      </c>
      <c r="C94" s="13">
        <f>_xll.BDH("MCHP US Equity","NET_DEBT","FY 2011","FY 2011","Currency=USD","Period=FY","BEST_FPERIOD_OVERRIDE=FY","FILING_STATUS=MR","SCALING_FORMAT=MLN","Sort=A","Dates=H","DateFormat=P","Fill=—","Direction=H","UseDPDF=Y")</f>
        <v>-896.16200000000003</v>
      </c>
      <c r="D94" s="13">
        <f>_xll.BDH("MCHP US Equity","NET_DEBT","FY 2012","FY 2012","Currency=USD","Period=FY","BEST_FPERIOD_OVERRIDE=FY","FILING_STATUS=MR","SCALING_FORMAT=MLN","Sort=A","Dates=H","DateFormat=P","Fill=—","Direction=H","UseDPDF=Y")</f>
        <v>-1103.9590000000001</v>
      </c>
      <c r="E94" s="13">
        <f>_xll.BDH("MCHP US Equity","NET_DEBT","FY 2013","FY 2013","Currency=USD","Period=FY","BEST_FPERIOD_OVERRIDE=FY","FILING_STATUS=MR","SCALING_FORMAT=MLN","Sort=A","Dates=H","DateFormat=P","Fill=—","Direction=H","UseDPDF=Y")</f>
        <v>-595.21199999999999</v>
      </c>
      <c r="F94" s="13">
        <f>_xll.BDH("MCHP US Equity","NET_DEBT","FY 2014","FY 2014","Currency=USD","Period=FY","BEST_FPERIOD_OVERRIDE=FY","FILING_STATUS=MR","SCALING_FORMAT=MLN","Sort=A","Dates=H","DateFormat=P","Fill=—","Direction=H","UseDPDF=Y")</f>
        <v>-324.02699999999999</v>
      </c>
      <c r="G94" s="13">
        <f>_xll.BDH("MCHP US Equity","NET_DEBT","FY 2015","FY 2015","Currency=USD","Period=FY","BEST_FPERIOD_OVERRIDE=FY","FILING_STATUS=MR","SCALING_FORMAT=MLN","Sort=A","Dates=H","DateFormat=P","Fill=—","Direction=H","UseDPDF=Y")</f>
        <v>-132.011</v>
      </c>
      <c r="H94" s="13">
        <f>_xll.BDH("MCHP US Equity","NET_DEBT","FY 2016","FY 2016","Currency=USD","Period=FY","BEST_FPERIOD_OVERRIDE=FY","FILING_STATUS=MR","SCALING_FORMAT=MLN","Sort=A","Dates=H","DateFormat=P","Fill=—","Direction=H","UseDPDF=Y")</f>
        <v>7.37</v>
      </c>
      <c r="I94" s="13">
        <f>_xll.BDH("MCHP US Equity","NET_DEBT","FY 2017","FY 2017","Currency=USD","Period=FY","BEST_FPERIOD_OVERRIDE=FY","FILING_STATUS=MR","SCALING_FORMAT=MLN","Sort=A","Dates=H","DateFormat=P","Fill=—","Direction=H","UseDPDF=Y")</f>
        <v>1647.7</v>
      </c>
      <c r="J94" s="13">
        <f>_xll.BDH("MCHP US Equity","NET_DEBT","FY 2018","FY 2018","Currency=USD","Period=FY","BEST_FPERIOD_OVERRIDE=FY","FILING_STATUS=MR","SCALING_FORMAT=MLN","Sort=A","Dates=H","DateFormat=P","Fill=—","Direction=H","UseDPDF=Y")</f>
        <v>871.7</v>
      </c>
      <c r="K94" s="13">
        <f>_xll.BDH("MCHP US Equity","NET_DEBT","FY 2019","FY 2019","Currency=USD","Period=FY","BEST_FPERIOD_OVERRIDE=FY","FILING_STATUS=MR","SCALING_FORMAT=MLN","Sort=A","Dates=H","DateFormat=P","Fill=—","Direction=H","UseDPDF=Y")</f>
        <v>9876.1</v>
      </c>
      <c r="L94" s="13">
        <f>_xll.BDH("MCHP US Equity","NET_DEBT","FY 2020","FY 2020","Currency=USD","Period=FY","BEST_FPERIOD_OVERRIDE=FY","FILING_STATUS=MR","SCALING_FORMAT=MLN","Sort=A","Dates=H","DateFormat=P","Fill=—","Direction=H","UseDPDF=Y")</f>
        <v>9218.4</v>
      </c>
    </row>
    <row r="95" spans="1:12" x14ac:dyDescent="0.45">
      <c r="A95" s="10" t="s">
        <v>191</v>
      </c>
      <c r="B95" s="10" t="s">
        <v>192</v>
      </c>
      <c r="C95" s="14">
        <f>_xll.BDH("MCHP US Equity","NET_DEBT_TO_SHRHLDR_EQTY","FY 2011","FY 2011","Currency=USD","Period=FY","BEST_FPERIOD_OVERRIDE=FY","FILING_STATUS=MR","Sort=A","Dates=H","DateFormat=P","Fill=—","Direction=H","UseDPDF=Y")</f>
        <v>-49.445099999999996</v>
      </c>
      <c r="D95" s="14">
        <f>_xll.BDH("MCHP US Equity","NET_DEBT_TO_SHRHLDR_EQTY","FY 2012","FY 2012","Currency=USD","Period=FY","BEST_FPERIOD_OVERRIDE=FY","FILING_STATUS=MR","Sort=A","Dates=H","DateFormat=P","Fill=—","Direction=H","UseDPDF=Y")</f>
        <v>-55.456600000000002</v>
      </c>
      <c r="E95" s="14">
        <f>_xll.BDH("MCHP US Equity","NET_DEBT_TO_SHRHLDR_EQTY","FY 2013","FY 2013","Currency=USD","Period=FY","BEST_FPERIOD_OVERRIDE=FY","FILING_STATUS=MR","Sort=A","Dates=H","DateFormat=P","Fill=—","Direction=H","UseDPDF=Y")</f>
        <v>-30.784700000000001</v>
      </c>
      <c r="F95" s="14">
        <f>_xll.BDH("MCHP US Equity","NET_DEBT_TO_SHRHLDR_EQTY","FY 2014","FY 2014","Currency=USD","Period=FY","BEST_FPERIOD_OVERRIDE=FY","FILING_STATUS=MR","Sort=A","Dates=H","DateFormat=P","Fill=—","Direction=H","UseDPDF=Y")</f>
        <v>-15.1736</v>
      </c>
      <c r="G95" s="14">
        <f>_xll.BDH("MCHP US Equity","NET_DEBT_TO_SHRHLDR_EQTY","FY 2015","FY 2015","Currency=USD","Period=FY","BEST_FPERIOD_OVERRIDE=FY","FILING_STATUS=MR","Sort=A","Dates=H","DateFormat=P","Fill=—","Direction=H","UseDPDF=Y")</f>
        <v>-6.4051</v>
      </c>
      <c r="H95" s="14">
        <f>_xll.BDH("MCHP US Equity","NET_DEBT_TO_SHRHLDR_EQTY","FY 2016","FY 2016","Currency=USD","Period=FY","BEST_FPERIOD_OVERRIDE=FY","FILING_STATUS=MR","Sort=A","Dates=H","DateFormat=P","Fill=—","Direction=H","UseDPDF=Y")</f>
        <v>0.34260000000000002</v>
      </c>
      <c r="I95" s="14">
        <f>_xll.BDH("MCHP US Equity","NET_DEBT_TO_SHRHLDR_EQTY","FY 2017","FY 2017","Currency=USD","Period=FY","BEST_FPERIOD_OVERRIDE=FY","FILING_STATUS=MR","Sort=A","Dates=H","DateFormat=P","Fill=—","Direction=H","UseDPDF=Y")</f>
        <v>50.377600000000001</v>
      </c>
      <c r="J95" s="14">
        <f>_xll.BDH("MCHP US Equity","NET_DEBT_TO_SHRHLDR_EQTY","FY 2018","FY 2018","Currency=USD","Period=FY","BEST_FPERIOD_OVERRIDE=FY","FILING_STATUS=MR","Sort=A","Dates=H","DateFormat=P","Fill=—","Direction=H","UseDPDF=Y")</f>
        <v>26.5778</v>
      </c>
      <c r="K95" s="14">
        <f>_xll.BDH("MCHP US Equity","NET_DEBT_TO_SHRHLDR_EQTY","FY 2019","FY 2019","Currency=USD","Period=FY","BEST_FPERIOD_OVERRIDE=FY","FILING_STATUS=MR","Sort=A","Dates=H","DateFormat=P","Fill=—","Direction=H","UseDPDF=Y")</f>
        <v>186.78200000000001</v>
      </c>
      <c r="L95" s="14">
        <f>_xll.BDH("MCHP US Equity","NET_DEBT_TO_SHRHLDR_EQTY","FY 2020","FY 2020","Currency=USD","Period=FY","BEST_FPERIOD_OVERRIDE=FY","FILING_STATUS=MR","Sort=A","Dates=H","DateFormat=P","Fill=—","Direction=H","UseDPDF=Y")</f>
        <v>165.04159999999999</v>
      </c>
    </row>
    <row r="96" spans="1:12" x14ac:dyDescent="0.45">
      <c r="A96" s="10" t="s">
        <v>193</v>
      </c>
      <c r="B96" s="10" t="s">
        <v>194</v>
      </c>
      <c r="C96" s="14">
        <f>_xll.BDH("MCHP US Equity","TCE_RATIO","FY 2011","FY 2011","Currency=USD","Period=FY","BEST_FPERIOD_OVERRIDE=FY","FILING_STATUS=MR","Sort=A","Dates=H","DateFormat=P","Fill=—","Direction=H","UseDPDF=Y")</f>
        <v>58.934800000000003</v>
      </c>
      <c r="D96" s="14">
        <f>_xll.BDH("MCHP US Equity","TCE_RATIO","FY 2012","FY 2012","Currency=USD","Period=FY","BEST_FPERIOD_OVERRIDE=FY","FILING_STATUS=MR","Sort=A","Dates=H","DateFormat=P","Fill=—","Direction=H","UseDPDF=Y")</f>
        <v>62.304499999999997</v>
      </c>
      <c r="E96" s="14">
        <f>_xll.BDH("MCHP US Equity","TCE_RATIO","FY 2013","FY 2013","Currency=USD","Period=FY","BEST_FPERIOD_OVERRIDE=FY","FILING_STATUS=MR","Sort=A","Dates=H","DateFormat=P","Fill=—","Direction=H","UseDPDF=Y")</f>
        <v>37.115299999999998</v>
      </c>
      <c r="F96" s="14">
        <f>_xll.BDH("MCHP US Equity","TCE_RATIO","FY 2014","FY 2014","Currency=USD","Period=FY","BEST_FPERIOD_OVERRIDE=FY","FILING_STATUS=MR","Sort=A","Dates=H","DateFormat=P","Fill=—","Direction=H","UseDPDF=Y")</f>
        <v>42.255000000000003</v>
      </c>
      <c r="G96" s="14">
        <f>_xll.BDH("MCHP US Equity","TCE_RATIO","FY 2015","FY 2015","Currency=USD","Period=FY","BEST_FPERIOD_OVERRIDE=FY","FILING_STATUS=MR","Sort=A","Dates=H","DateFormat=P","Fill=—","Direction=H","UseDPDF=Y")</f>
        <v>26.152799999999999</v>
      </c>
      <c r="H96" s="14">
        <f>_xll.BDH("MCHP US Equity","TCE_RATIO","FY 2016","FY 2016","Currency=USD","Period=FY","BEST_FPERIOD_OVERRIDE=FY","FILING_STATUS=MR","Sort=A","Dates=H","DateFormat=P","Fill=—","Direction=H","UseDPDF=Y")</f>
        <v>13.5732</v>
      </c>
      <c r="I96" s="14">
        <f>_xll.BDH("MCHP US Equity","TCE_RATIO","FY 2017","FY 2017","Currency=USD","Period=FY","BEST_FPERIOD_OVERRIDE=FY","FILING_STATUS=MR","Sort=A","Dates=H","DateFormat=P","Fill=—","Direction=H","UseDPDF=Y")</f>
        <v>-36.310899999999997</v>
      </c>
      <c r="J96" s="14">
        <f>_xll.BDH("MCHP US Equity","TCE_RATIO","FY 2018","FY 2018","Currency=USD","Period=FY","BEST_FPERIOD_OVERRIDE=FY","FILING_STATUS=MR","Sort=A","Dates=H","DateFormat=P","Fill=—","Direction=H","UseDPDF=Y")</f>
        <v>-15.8559</v>
      </c>
      <c r="K96" s="14">
        <f>_xll.BDH("MCHP US Equity","TCE_RATIO","FY 2019","FY 2019","Currency=USD","Period=FY","BEST_FPERIOD_OVERRIDE=FY","FILING_STATUS=MR","Sort=A","Dates=H","DateFormat=P","Fill=—","Direction=H","UseDPDF=Y")</f>
        <v>-161.22389999999999</v>
      </c>
      <c r="L96" s="14">
        <f>_xll.BDH("MCHP US Equity","TCE_RATIO","FY 2020","FY 2020","Currency=USD","Period=FY","BEST_FPERIOD_OVERRIDE=FY","FILING_STATUS=MR","Sort=A","Dates=H","DateFormat=P","Fill=—","Direction=H","UseDPDF=Y")</f>
        <v>-134.05019999999999</v>
      </c>
    </row>
    <row r="97" spans="1:12" x14ac:dyDescent="0.45">
      <c r="A97" s="10" t="s">
        <v>195</v>
      </c>
      <c r="B97" s="10" t="s">
        <v>196</v>
      </c>
      <c r="C97" s="14">
        <f>_xll.BDH("MCHP US Equity","CUR_RATIO","FY 2011","FY 2011","Currency=USD","Period=FY","BEST_FPERIOD_OVERRIDE=FY","FILING_STATUS=MR","Sort=A","Dates=H","DateFormat=P","Fill=—","Direction=H","UseDPDF=Y")</f>
        <v>5.2157</v>
      </c>
      <c r="D97" s="14">
        <f>_xll.BDH("MCHP US Equity","CUR_RATIO","FY 2012","FY 2012","Currency=USD","Period=FY","BEST_FPERIOD_OVERRIDE=FY","FILING_STATUS=MR","Sort=A","Dates=H","DateFormat=P","Fill=—","Direction=H","UseDPDF=Y")</f>
        <v>8.1326000000000001</v>
      </c>
      <c r="E97" s="14">
        <f>_xll.BDH("MCHP US Equity","CUR_RATIO","FY 2013","FY 2013","Currency=USD","Period=FY","BEST_FPERIOD_OVERRIDE=FY","FILING_STATUS=MR","Sort=A","Dates=H","DateFormat=P","Fill=—","Direction=H","UseDPDF=Y")</f>
        <v>6.5465</v>
      </c>
      <c r="F97" s="14">
        <f>_xll.BDH("MCHP US Equity","CUR_RATIO","FY 2014","FY 2014","Currency=USD","Period=FY","BEST_FPERIOD_OVERRIDE=FY","FILING_STATUS=MR","Sort=A","Dates=H","DateFormat=P","Fill=—","Direction=H","UseDPDF=Y")</f>
        <v>5.8598999999999997</v>
      </c>
      <c r="G97" s="14">
        <f>_xll.BDH("MCHP US Equity","CUR_RATIO","FY 2015","FY 2015","Currency=USD","Period=FY","BEST_FPERIOD_OVERRIDE=FY","FILING_STATUS=MR","Sort=A","Dates=H","DateFormat=P","Fill=—","Direction=H","UseDPDF=Y")</f>
        <v>7.5278</v>
      </c>
      <c r="H97" s="14">
        <f>_xll.BDH("MCHP US Equity","CUR_RATIO","FY 2016","FY 2016","Currency=USD","Period=FY","BEST_FPERIOD_OVERRIDE=FY","FILING_STATUS=MR","Sort=A","Dates=H","DateFormat=P","Fill=—","Direction=H","UseDPDF=Y")</f>
        <v>8.1064000000000007</v>
      </c>
      <c r="I97" s="14">
        <f>_xll.BDH("MCHP US Equity","CUR_RATIO","FY 2017","FY 2017","Currency=USD","Period=FY","BEST_FPERIOD_OVERRIDE=FY","FILING_STATUS=MR","Sort=A","Dates=H","DateFormat=P","Fill=—","Direction=H","UseDPDF=Y")</f>
        <v>3.2717999999999998</v>
      </c>
      <c r="J97" s="14">
        <f>_xll.BDH("MCHP US Equity","CUR_RATIO","FY 2018","FY 2018","Currency=USD","Period=FY","BEST_FPERIOD_OVERRIDE=FY","FILING_STATUS=MR","Sort=A","Dates=H","DateFormat=P","Fill=—","Direction=H","UseDPDF=Y")</f>
        <v>1.6637</v>
      </c>
      <c r="K97" s="14">
        <f>_xll.BDH("MCHP US Equity","CUR_RATIO","FY 2019","FY 2019","Currency=USD","Period=FY","BEST_FPERIOD_OVERRIDE=FY","FILING_STATUS=MR","Sort=A","Dates=H","DateFormat=P","Fill=—","Direction=H","UseDPDF=Y")</f>
        <v>0.93269999999999997</v>
      </c>
      <c r="L97" s="14">
        <f>_xll.BDH("MCHP US Equity","CUR_RATIO","FY 2020","FY 2020","Currency=USD","Period=FY","BEST_FPERIOD_OVERRIDE=FY","FILING_STATUS=MR","Sort=A","Dates=H","DateFormat=P","Fill=—","Direction=H","UseDPDF=Y")</f>
        <v>1.3541000000000001</v>
      </c>
    </row>
    <row r="98" spans="1:12" x14ac:dyDescent="0.45">
      <c r="A98" s="10" t="s">
        <v>197</v>
      </c>
      <c r="B98" s="10" t="s">
        <v>198</v>
      </c>
      <c r="C98" s="14">
        <f>_xll.BDH("MCHP US Equity","CASH_CONVERSION_CYCLE","FY 2011","FY 2011","Currency=USD","Period=FY","BEST_FPERIOD_OVERRIDE=FY","FILING_STATUS=MR","FA_ADJUSTED=GAAP","Sort=A","Dates=H","DateFormat=P","Fill=—","Direction=H","UseDPDF=Y")</f>
        <v>97.341099999999997</v>
      </c>
      <c r="D98" s="14">
        <f>_xll.BDH("MCHP US Equity","CASH_CONVERSION_CYCLE","FY 2012","FY 2012","Currency=USD","Period=FY","BEST_FPERIOD_OVERRIDE=FY","FILING_STATUS=MR","FA_ADJUSTED=GAAP","Sort=A","Dates=H","DateFormat=P","Fill=—","Direction=H","UseDPDF=Y")</f>
        <v>136.2363</v>
      </c>
      <c r="E98" s="14">
        <f>_xll.BDH("MCHP US Equity","CASH_CONVERSION_CYCLE","FY 2013","FY 2013","Currency=USD","Period=FY","BEST_FPERIOD_OVERRIDE=FY","FILING_STATUS=MR","FA_ADJUSTED=GAAP","Sort=A","Dates=H","DateFormat=P","Fill=—","Direction=H","UseDPDF=Y")</f>
        <v>129.1464</v>
      </c>
      <c r="F98" s="14">
        <f>_xll.BDH("MCHP US Equity","CASH_CONVERSION_CYCLE","FY 2014","FY 2014","Currency=USD","Period=FY","BEST_FPERIOD_OVERRIDE=FY","FILING_STATUS=MR","FA_ADJUSTED=GAAP","Sort=A","Dates=H","DateFormat=P","Fill=—","Direction=H","UseDPDF=Y")</f>
        <v>126.32</v>
      </c>
      <c r="G98" s="14">
        <f>_xll.BDH("MCHP US Equity","CASH_CONVERSION_CYCLE","FY 2015","FY 2015","Currency=USD","Period=FY","BEST_FPERIOD_OVERRIDE=FY","FILING_STATUS=MR","FA_ADJUSTED=GAAP","Sort=A","Dates=H","DateFormat=P","Fill=—","Direction=H","UseDPDF=Y")</f>
        <v>120.3026</v>
      </c>
      <c r="H98" s="14">
        <f>_xll.BDH("MCHP US Equity","CASH_CONVERSION_CYCLE","FY 2016","FY 2016","Currency=USD","Period=FY","BEST_FPERIOD_OVERRIDE=FY","FILING_STATUS=MR","FA_ADJUSTED=GAAP","Sort=A","Dates=H","DateFormat=P","Fill=—","Direction=H","UseDPDF=Y")</f>
        <v>127.4873</v>
      </c>
      <c r="I98" s="14">
        <f>_xll.BDH("MCHP US Equity","CASH_CONVERSION_CYCLE","FY 2017","FY 2017","Currency=USD","Period=FY","BEST_FPERIOD_OVERRIDE=FY","FILING_STATUS=MR","FA_ADJUSTED=GAAP","Sort=A","Dates=H","DateFormat=P","Fill=—","Direction=H","UseDPDF=Y")</f>
        <v>96.945599999999999</v>
      </c>
      <c r="J98" s="14">
        <f>_xll.BDH("MCHP US Equity","CASH_CONVERSION_CYCLE","FY 2018","FY 2018","Currency=USD","Period=FY","BEST_FPERIOD_OVERRIDE=FY","FILING_STATUS=MR","FA_ADJUSTED=GAAP","Sort=A","Dates=H","DateFormat=P","Fill=—","Direction=H","UseDPDF=Y")</f>
        <v>118.5235</v>
      </c>
      <c r="K98" s="14">
        <f>_xll.BDH("MCHP US Equity","CASH_CONVERSION_CYCLE","FY 2019","FY 2019","Currency=USD","Period=FY","BEST_FPERIOD_OVERRIDE=FY","FILING_STATUS=MR","FA_ADJUSTED=GAAP","Sort=A","Dates=H","DateFormat=P","Fill=—","Direction=H","UseDPDF=Y")</f>
        <v>112.9345</v>
      </c>
      <c r="L98" s="14">
        <f>_xll.BDH("MCHP US Equity","CASH_CONVERSION_CYCLE","FY 2020","FY 2020","Currency=USD","Period=FY","BEST_FPERIOD_OVERRIDE=FY","FILING_STATUS=MR","FA_ADJUSTED=GAAP","Sort=A","Dates=H","DateFormat=P","Fill=—","Direction=H","UseDPDF=Y")</f>
        <v>144.88829999999999</v>
      </c>
    </row>
    <row r="99" spans="1:12" x14ac:dyDescent="0.45">
      <c r="A99" s="10" t="s">
        <v>199</v>
      </c>
      <c r="B99" s="10" t="s">
        <v>200</v>
      </c>
      <c r="C99" s="14">
        <f>_xll.BDH("MCHP US Equity","NUM_OF_EMPLOYEES","FY 2011","FY 2011","Currency=USD","Period=FY","BEST_FPERIOD_OVERRIDE=FY","FILING_STATUS=MR","Sort=A","Dates=H","DateFormat=P","Fill=—","Direction=H","UseDPDF=Y")</f>
        <v>6970</v>
      </c>
      <c r="D99" s="14">
        <f>_xll.BDH("MCHP US Equity","NUM_OF_EMPLOYEES","FY 2012","FY 2012","Currency=USD","Period=FY","BEST_FPERIOD_OVERRIDE=FY","FILING_STATUS=MR","Sort=A","Dates=H","DateFormat=P","Fill=—","Direction=H","UseDPDF=Y")</f>
        <v>6923</v>
      </c>
      <c r="E99" s="14">
        <f>_xll.BDH("MCHP US Equity","NUM_OF_EMPLOYEES","FY 2013","FY 2013","Currency=USD","Period=FY","BEST_FPERIOD_OVERRIDE=FY","FILING_STATUS=MR","Sort=A","Dates=H","DateFormat=P","Fill=—","Direction=H","UseDPDF=Y")</f>
        <v>8003</v>
      </c>
      <c r="F99" s="14">
        <f>_xll.BDH("MCHP US Equity","NUM_OF_EMPLOYEES","FY 2014","FY 2014","Currency=USD","Period=FY","BEST_FPERIOD_OVERRIDE=FY","FILING_STATUS=MR","Sort=A","Dates=H","DateFormat=P","Fill=—","Direction=H","UseDPDF=Y")</f>
        <v>8640</v>
      </c>
      <c r="G99" s="14">
        <f>_xll.BDH("MCHP US Equity","NUM_OF_EMPLOYEES","FY 2015","FY 2015","Currency=USD","Period=FY","BEST_FPERIOD_OVERRIDE=FY","FILING_STATUS=MR","Sort=A","Dates=H","DateFormat=P","Fill=—","Direction=H","UseDPDF=Y")</f>
        <v>9449</v>
      </c>
      <c r="H99" s="14">
        <f>_xll.BDH("MCHP US Equity","NUM_OF_EMPLOYEES","FY 2016","FY 2016","Currency=USD","Period=FY","BEST_FPERIOD_OVERRIDE=FY","FILING_STATUS=MR","Sort=A","Dates=H","DateFormat=P","Fill=—","Direction=H","UseDPDF=Y")</f>
        <v>9766</v>
      </c>
      <c r="I99" s="14">
        <f>_xll.BDH("MCHP US Equity","NUM_OF_EMPLOYEES","FY 2017","FY 2017","Currency=USD","Period=FY","BEST_FPERIOD_OVERRIDE=FY","FILING_STATUS=MR","Sort=A","Dates=H","DateFormat=P","Fill=—","Direction=H","UseDPDF=Y")</f>
        <v>12656</v>
      </c>
      <c r="J99" s="14">
        <f>_xll.BDH("MCHP US Equity","NUM_OF_EMPLOYEES","FY 2018","FY 2018","Currency=USD","Period=FY","BEST_FPERIOD_OVERRIDE=FY","FILING_STATUS=MR","Sort=A","Dates=H","DateFormat=P","Fill=—","Direction=H","UseDPDF=Y")</f>
        <v>14234</v>
      </c>
      <c r="K99" s="14">
        <f>_xll.BDH("MCHP US Equity","NUM_OF_EMPLOYEES","FY 2019","FY 2019","Currency=USD","Period=FY","BEST_FPERIOD_OVERRIDE=FY","FILING_STATUS=MR","Sort=A","Dates=H","DateFormat=P","Fill=—","Direction=H","UseDPDF=Y")</f>
        <v>18286</v>
      </c>
      <c r="L99" s="14">
        <f>_xll.BDH("MCHP US Equity","NUM_OF_EMPLOYEES","FY 2020","FY 2020","Currency=USD","Period=FY","BEST_FPERIOD_OVERRIDE=FY","FILING_STATUS=MR","Sort=A","Dates=H","DateFormat=P","Fill=—","Direction=H","UseDPDF=Y")</f>
        <v>18000</v>
      </c>
    </row>
    <row r="100" spans="1:12" x14ac:dyDescent="0.45">
      <c r="A100" s="7" t="s">
        <v>201</v>
      </c>
      <c r="B100" s="7"/>
      <c r="C100" s="7" t="s">
        <v>1</v>
      </c>
      <c r="D100" s="7"/>
      <c r="E100" s="7"/>
      <c r="F100" s="7"/>
      <c r="G100" s="7"/>
      <c r="H100" s="7"/>
      <c r="I100" s="7"/>
      <c r="J100" s="7"/>
      <c r="K100" s="7"/>
      <c r="L1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 - Standardized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Ryan Malloy</cp:lastModifiedBy>
  <dcterms:created xsi:type="dcterms:W3CDTF">2013-04-03T15:49:21Z</dcterms:created>
  <dcterms:modified xsi:type="dcterms:W3CDTF">2021-01-29T20:18:08Z</dcterms:modified>
</cp:coreProperties>
</file>