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ac44d67c14197e/Desktop/blp/data/"/>
    </mc:Choice>
  </mc:AlternateContent>
  <xr:revisionPtr revIDLastSave="0" documentId="8_{6DA46314-37EF-4CC3-A8D6-4CA55DE69677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Cash Flow - Standardized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29" i="2"/>
  <c r="G21" i="2"/>
  <c r="C25" i="2"/>
  <c r="C15" i="2"/>
  <c r="H36" i="2"/>
  <c r="G7" i="2"/>
  <c r="J12" i="2"/>
  <c r="E9" i="2"/>
  <c r="G15" i="2"/>
  <c r="J22" i="2"/>
  <c r="D18" i="2"/>
  <c r="F26" i="2"/>
  <c r="C29" i="2"/>
  <c r="E35" i="2"/>
  <c r="I31" i="2"/>
  <c r="K37" i="2"/>
  <c r="I41" i="2"/>
  <c r="H26" i="2"/>
  <c r="E45" i="2"/>
  <c r="E11" i="2"/>
  <c r="G9" i="2"/>
  <c r="C13" i="2"/>
  <c r="J14" i="2"/>
  <c r="H16" i="2"/>
  <c r="C23" i="2"/>
  <c r="E21" i="2"/>
  <c r="J24" i="2"/>
  <c r="E29" i="2"/>
  <c r="C31" i="2"/>
  <c r="H34" i="2"/>
  <c r="J32" i="2"/>
  <c r="F36" i="2"/>
  <c r="C41" i="2"/>
  <c r="J42" i="2"/>
  <c r="H44" i="2"/>
  <c r="F46" i="2"/>
  <c r="J50" i="2"/>
  <c r="C49" i="2"/>
  <c r="G56" i="2"/>
  <c r="H10" i="2"/>
  <c r="K62" i="2"/>
  <c r="D14" i="2"/>
  <c r="H18" i="2"/>
  <c r="I27" i="2"/>
  <c r="D24" i="2"/>
  <c r="E31" i="2"/>
  <c r="F8" i="2"/>
  <c r="F40" i="2"/>
  <c r="H14" i="2"/>
  <c r="K11" i="2"/>
  <c r="C11" i="2"/>
  <c r="E17" i="2"/>
  <c r="C21" i="2"/>
  <c r="I23" i="2"/>
  <c r="D28" i="2"/>
  <c r="K29" i="2"/>
  <c r="G25" i="2"/>
  <c r="H32" i="2"/>
  <c r="F34" i="2"/>
  <c r="C37" i="2"/>
  <c r="G43" i="2"/>
  <c r="I7" i="2"/>
  <c r="H8" i="2"/>
  <c r="F10" i="2"/>
  <c r="D12" i="2"/>
  <c r="K13" i="2"/>
  <c r="I15" i="2"/>
  <c r="F18" i="2"/>
  <c r="D22" i="2"/>
  <c r="K23" i="2"/>
  <c r="G17" i="2"/>
  <c r="I25" i="2"/>
  <c r="G27" i="2"/>
  <c r="K31" i="2"/>
  <c r="F28" i="2"/>
  <c r="I33" i="2"/>
  <c r="D30" i="2"/>
  <c r="G35" i="2"/>
  <c r="E37" i="2"/>
  <c r="D40" i="2"/>
  <c r="K41" i="2"/>
  <c r="G45" i="2"/>
  <c r="I43" i="2"/>
  <c r="E47" i="2"/>
  <c r="D48" i="2"/>
  <c r="K49" i="2"/>
  <c r="I52" i="2"/>
  <c r="F57" i="2"/>
  <c r="H54" i="2"/>
  <c r="E60" i="2"/>
  <c r="C62" i="2"/>
  <c r="D61" i="2"/>
  <c r="H65" i="2"/>
  <c r="J63" i="2"/>
  <c r="I64" i="2"/>
  <c r="G66" i="2"/>
  <c r="F67" i="2"/>
  <c r="I8" i="2"/>
  <c r="J7" i="2"/>
  <c r="D69" i="2"/>
  <c r="E68" i="2"/>
  <c r="H9" i="2"/>
  <c r="F11" i="2"/>
  <c r="G10" i="2"/>
  <c r="D13" i="2"/>
  <c r="E12" i="2"/>
  <c r="C14" i="2"/>
  <c r="K14" i="2"/>
  <c r="G18" i="2"/>
  <c r="E22" i="2"/>
  <c r="J15" i="2"/>
  <c r="H17" i="2"/>
  <c r="I16" i="2"/>
  <c r="F21" i="2"/>
  <c r="K24" i="2"/>
  <c r="C24" i="2"/>
  <c r="D23" i="2"/>
  <c r="J25" i="2"/>
  <c r="I26" i="2"/>
  <c r="H27" i="2"/>
  <c r="G28" i="2"/>
  <c r="E30" i="2"/>
  <c r="F29" i="2"/>
  <c r="C32" i="2"/>
  <c r="D31" i="2"/>
  <c r="K32" i="2"/>
  <c r="J33" i="2"/>
  <c r="H35" i="2"/>
  <c r="I34" i="2"/>
  <c r="G36" i="2"/>
  <c r="F37" i="2"/>
  <c r="E40" i="2"/>
  <c r="D41" i="2"/>
  <c r="C42" i="2"/>
  <c r="J43" i="2"/>
  <c r="H45" i="2"/>
  <c r="K42" i="2"/>
  <c r="I44" i="2"/>
  <c r="F47" i="2"/>
  <c r="G46" i="2"/>
  <c r="E48" i="2"/>
  <c r="C50" i="2"/>
  <c r="D49" i="2"/>
  <c r="K50" i="2"/>
  <c r="I54" i="2"/>
  <c r="J52" i="2"/>
  <c r="G57" i="2"/>
  <c r="H56" i="2"/>
  <c r="E61" i="2"/>
  <c r="F60" i="2"/>
  <c r="C63" i="2"/>
  <c r="D62" i="2"/>
  <c r="H66" i="2"/>
  <c r="K63" i="2"/>
  <c r="J64" i="2"/>
  <c r="I65" i="2"/>
  <c r="G67" i="2"/>
  <c r="F68" i="2"/>
  <c r="E69" i="2"/>
  <c r="C7" i="2"/>
  <c r="J8" i="2"/>
  <c r="E13" i="2"/>
  <c r="E23" i="2"/>
  <c r="I17" i="2"/>
  <c r="H28" i="2"/>
  <c r="K33" i="2"/>
  <c r="D42" i="2"/>
  <c r="I35" i="2"/>
  <c r="K43" i="2"/>
  <c r="I45" i="2"/>
  <c r="H46" i="2"/>
  <c r="D50" i="2"/>
  <c r="F48" i="2"/>
  <c r="K52" i="2"/>
  <c r="H57" i="2"/>
  <c r="I56" i="2"/>
  <c r="F61" i="2"/>
  <c r="D63" i="2"/>
  <c r="K64" i="2"/>
  <c r="D7" i="2"/>
  <c r="D32" i="2"/>
  <c r="F69" i="2"/>
  <c r="K8" i="2"/>
  <c r="I66" i="2"/>
  <c r="I10" i="2"/>
  <c r="G12" i="2"/>
  <c r="E14" i="2"/>
  <c r="C16" i="2"/>
  <c r="J17" i="2"/>
  <c r="I18" i="2"/>
  <c r="G22" i="2"/>
  <c r="C26" i="2"/>
  <c r="E24" i="2"/>
  <c r="G30" i="2"/>
  <c r="J27" i="2"/>
  <c r="I28" i="2"/>
  <c r="C34" i="2"/>
  <c r="E32" i="2"/>
  <c r="J35" i="2"/>
  <c r="I36" i="2"/>
  <c r="E42" i="2"/>
  <c r="G40" i="2"/>
  <c r="J45" i="2"/>
  <c r="C44" i="2"/>
  <c r="H47" i="2"/>
  <c r="F49" i="2"/>
  <c r="E50" i="2"/>
  <c r="C54" i="2"/>
  <c r="K54" i="2"/>
  <c r="J56" i="2"/>
  <c r="H60" i="2"/>
  <c r="E63" i="2"/>
  <c r="G61" i="2"/>
  <c r="F62" i="2"/>
  <c r="C65" i="2"/>
  <c r="D64" i="2"/>
  <c r="K65" i="2"/>
  <c r="I67" i="2"/>
  <c r="J66" i="2"/>
  <c r="H68" i="2"/>
  <c r="G69" i="2"/>
  <c r="E7" i="2"/>
  <c r="D8" i="2"/>
  <c r="C9" i="2"/>
  <c r="K9" i="2"/>
  <c r="I11" i="2"/>
  <c r="J10" i="2"/>
  <c r="H12" i="2"/>
  <c r="G13" i="2"/>
  <c r="F14" i="2"/>
  <c r="E15" i="2"/>
  <c r="D16" i="2"/>
  <c r="C17" i="2"/>
  <c r="K17" i="2"/>
  <c r="J18" i="2"/>
  <c r="I21" i="2"/>
  <c r="G23" i="2"/>
  <c r="H48" i="2"/>
  <c r="F24" i="2"/>
  <c r="E25" i="2"/>
  <c r="K27" i="2"/>
  <c r="C27" i="2"/>
  <c r="D26" i="2"/>
  <c r="J28" i="2"/>
  <c r="I29" i="2"/>
  <c r="H30" i="2"/>
  <c r="G31" i="2"/>
  <c r="E33" i="2"/>
  <c r="F32" i="2"/>
  <c r="H22" i="2"/>
  <c r="D34" i="2"/>
  <c r="C35" i="2"/>
  <c r="K35" i="2"/>
  <c r="J36" i="2"/>
  <c r="H40" i="2"/>
  <c r="I37" i="2"/>
  <c r="G41" i="2"/>
  <c r="F42" i="2"/>
  <c r="E43" i="2"/>
  <c r="D44" i="2"/>
  <c r="C45" i="2"/>
  <c r="K45" i="2"/>
  <c r="E52" i="2"/>
  <c r="J46" i="2"/>
  <c r="I47" i="2"/>
  <c r="G49" i="2"/>
  <c r="D54" i="2"/>
  <c r="F50" i="2"/>
  <c r="C56" i="2"/>
  <c r="K56" i="2"/>
  <c r="J57" i="2"/>
  <c r="I60" i="2"/>
  <c r="H61" i="2"/>
  <c r="G62" i="2"/>
  <c r="F63" i="2"/>
  <c r="E64" i="2"/>
  <c r="D65" i="2"/>
  <c r="C66" i="2"/>
  <c r="K66" i="2"/>
  <c r="J67" i="2"/>
  <c r="I68" i="2"/>
  <c r="I9" i="2"/>
  <c r="H69" i="2"/>
  <c r="K25" i="2"/>
  <c r="F22" i="2"/>
  <c r="F30" i="2"/>
  <c r="G37" i="2"/>
  <c r="J34" i="2"/>
  <c r="C43" i="2"/>
  <c r="K15" i="2"/>
  <c r="J44" i="2"/>
  <c r="G47" i="2"/>
  <c r="E49" i="2"/>
  <c r="C52" i="2"/>
  <c r="J54" i="2"/>
  <c r="G60" i="2"/>
  <c r="E62" i="2"/>
  <c r="C64" i="2"/>
  <c r="J65" i="2"/>
  <c r="H67" i="2"/>
  <c r="G68" i="2"/>
  <c r="C8" i="2"/>
  <c r="J9" i="2"/>
  <c r="H11" i="2"/>
  <c r="H21" i="2"/>
  <c r="F13" i="2"/>
  <c r="K16" i="2"/>
  <c r="D15" i="2"/>
  <c r="F23" i="2"/>
  <c r="D25" i="2"/>
  <c r="K26" i="2"/>
  <c r="F31" i="2"/>
  <c r="H29" i="2"/>
  <c r="K34" i="2"/>
  <c r="D33" i="2"/>
  <c r="H37" i="2"/>
  <c r="K44" i="2"/>
  <c r="D43" i="2"/>
  <c r="F41" i="2"/>
  <c r="I46" i="2"/>
  <c r="G48" i="2"/>
  <c r="D52" i="2"/>
  <c r="I57" i="2"/>
  <c r="F7" i="2"/>
  <c r="D9" i="2"/>
  <c r="E8" i="2"/>
  <c r="C10" i="2"/>
  <c r="K10" i="2"/>
  <c r="J11" i="2"/>
  <c r="I12" i="2"/>
  <c r="G14" i="2"/>
  <c r="H13" i="2"/>
  <c r="F15" i="2"/>
  <c r="E16" i="2"/>
  <c r="D17" i="2"/>
  <c r="K18" i="2"/>
  <c r="C18" i="2"/>
  <c r="J21" i="2"/>
  <c r="H23" i="2"/>
  <c r="I22" i="2"/>
  <c r="G24" i="2"/>
  <c r="D27" i="2"/>
  <c r="F25" i="2"/>
  <c r="E26" i="2"/>
  <c r="K28" i="2"/>
  <c r="C28" i="2"/>
  <c r="J29" i="2"/>
  <c r="I30" i="2"/>
  <c r="G32" i="2"/>
  <c r="H31" i="2"/>
  <c r="E34" i="2"/>
  <c r="F33" i="2"/>
  <c r="D35" i="2"/>
  <c r="C36" i="2"/>
  <c r="K36" i="2"/>
  <c r="J37" i="2"/>
  <c r="G42" i="2"/>
  <c r="I40" i="2"/>
  <c r="H41" i="2"/>
  <c r="F43" i="2"/>
  <c r="E44" i="2"/>
  <c r="C46" i="2"/>
  <c r="K46" i="2"/>
  <c r="D45" i="2"/>
  <c r="I48" i="2"/>
  <c r="J47" i="2"/>
  <c r="H49" i="2"/>
  <c r="G50" i="2"/>
  <c r="F52" i="2"/>
  <c r="E54" i="2"/>
  <c r="C57" i="2"/>
  <c r="D56" i="2"/>
  <c r="K57" i="2"/>
  <c r="J60" i="2"/>
  <c r="H62" i="2"/>
  <c r="I61" i="2"/>
  <c r="F64" i="2"/>
  <c r="E65" i="2"/>
  <c r="G63" i="2"/>
  <c r="D66" i="2"/>
  <c r="C67" i="2"/>
  <c r="K67" i="2"/>
  <c r="J68" i="2"/>
  <c r="F12" i="2"/>
  <c r="K7" i="2"/>
  <c r="I69" i="2"/>
  <c r="J26" i="2"/>
  <c r="J16" i="2"/>
  <c r="I13" i="2"/>
  <c r="C33" i="2"/>
  <c r="D10" i="2"/>
  <c r="E41" i="2"/>
  <c r="F16" i="2"/>
  <c r="E27" i="2"/>
  <c r="K21" i="2"/>
  <c r="H24" i="2"/>
  <c r="G33" i="2"/>
  <c r="J30" i="2"/>
  <c r="D36" i="2"/>
  <c r="F44" i="2"/>
  <c r="H42" i="2"/>
  <c r="J40" i="2"/>
  <c r="D46" i="2"/>
  <c r="C47" i="2"/>
  <c r="I49" i="2"/>
  <c r="K47" i="2"/>
  <c r="J48" i="2"/>
  <c r="H50" i="2"/>
  <c r="G52" i="2"/>
  <c r="F54" i="2"/>
  <c r="D57" i="2"/>
  <c r="E56" i="2"/>
  <c r="C60" i="2"/>
  <c r="K60" i="2"/>
  <c r="I62" i="2"/>
  <c r="J61" i="2"/>
  <c r="G64" i="2"/>
  <c r="F65" i="2"/>
  <c r="H63" i="2"/>
  <c r="E66" i="2"/>
  <c r="D67" i="2"/>
  <c r="C68" i="2"/>
  <c r="H7" i="2"/>
  <c r="K68" i="2"/>
  <c r="G8" i="2"/>
  <c r="F9" i="2"/>
  <c r="J69" i="2"/>
  <c r="C12" i="2"/>
  <c r="D11" i="2"/>
  <c r="J13" i="2"/>
  <c r="E10" i="2"/>
  <c r="K12" i="2"/>
  <c r="I14" i="2"/>
  <c r="G16" i="2"/>
  <c r="F17" i="2"/>
  <c r="H15" i="2"/>
  <c r="C22" i="2"/>
  <c r="K22" i="2"/>
  <c r="D21" i="2"/>
  <c r="G26" i="2"/>
  <c r="J23" i="2"/>
  <c r="I24" i="2"/>
  <c r="H25" i="2"/>
  <c r="F27" i="2"/>
  <c r="E28" i="2"/>
  <c r="E18" i="2"/>
  <c r="D29" i="2"/>
  <c r="C30" i="2"/>
  <c r="K30" i="2"/>
  <c r="I32" i="2"/>
  <c r="J31" i="2"/>
  <c r="H33" i="2"/>
  <c r="G34" i="2"/>
  <c r="F35" i="2"/>
  <c r="E36" i="2"/>
  <c r="J41" i="2"/>
  <c r="D37" i="2"/>
  <c r="C40" i="2"/>
  <c r="K40" i="2"/>
  <c r="I42" i="2"/>
  <c r="H43" i="2"/>
  <c r="G44" i="2"/>
  <c r="K48" i="2"/>
  <c r="F45" i="2"/>
  <c r="E46" i="2"/>
  <c r="D47" i="2"/>
  <c r="C48" i="2"/>
  <c r="H52" i="2"/>
  <c r="J49" i="2"/>
  <c r="I50" i="2"/>
  <c r="F56" i="2"/>
  <c r="E57" i="2"/>
  <c r="G54" i="2"/>
  <c r="D60" i="2"/>
  <c r="I63" i="2"/>
  <c r="C61" i="2"/>
  <c r="K61" i="2"/>
  <c r="J62" i="2"/>
  <c r="H64" i="2"/>
  <c r="D68" i="2"/>
  <c r="E67" i="2"/>
  <c r="F66" i="2"/>
  <c r="G65" i="2"/>
  <c r="C69" i="2"/>
  <c r="K69" i="2"/>
</calcChain>
</file>

<file path=xl/sharedStrings.xml><?xml version="1.0" encoding="utf-8"?>
<sst xmlns="http://schemas.openxmlformats.org/spreadsheetml/2006/main" count="137" uniqueCount="131">
  <si>
    <t>Reference Items</t>
  </si>
  <si>
    <t>Right click to show data transparency (not supported for all values)</t>
  </si>
  <si>
    <t>Microchip Technology Inc (MCHP US) - Standardized</t>
  </si>
  <si>
    <t>In Millions of USD except Per Share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</si>
  <si>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</si>
  <si>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</si>
  <si>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</si>
  <si>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</si>
  <si>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</si>
  <si>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</si>
  <si>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</si>
  <si>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</si>
  <si>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</si>
  <si>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Last 12M</t>
  </si>
  <si>
    <t>12 Months Ending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</si>
  <si>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</si>
  <si>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</si>
  <si>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</si>
  <si>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</si>
  <si>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</si>
  <si>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</si>
  <si>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</si>
  <si>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</si>
  <si>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</si>
  <si>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09/30/2020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</si>
  <si>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</si>
  <si>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</si>
  <si>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</si>
  <si>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</si>
  <si>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</si>
  <si>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</si>
  <si>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</si>
  <si>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</si>
  <si>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</si>
  <si>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</si>
  <si>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</si>
  <si>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</si>
  <si>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</si>
  <si>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</si>
  <si>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</si>
  <si>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</si>
  <si>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</si>
  <si>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</si>
  <si>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</si>
  <si>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</si>
  <si>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</si>
  <si>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</si>
  <si>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</si>
  <si>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</si>
  <si>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</si>
  <si>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</si>
  <si>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</si>
  <si>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</si>
  <si>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</si>
  <si>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</si>
  <si>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</si>
  <si>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</si>
  <si>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</si>
  <si>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</si>
  <si>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</si>
  <si>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</si>
  <si>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</si>
  <si>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</si>
  <si>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</si>
  <si>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</si>
  <si>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</si>
  <si>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</si>
  <si>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</si>
  <si>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</si>
  <si>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</si>
  <si>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</si>
  <si>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</si>
  <si>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</si>
  <si>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</si>
  <si>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</si>
  <si>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</si>
  <si>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</si>
  <si>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</si>
  <si>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</si>
  <si>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</si>
  <si>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</si>
  <si>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</si>
  <si>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</si>
  <si>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</si>
  <si>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</si>
  <si>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</si>
  <si>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</si>
  <si>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</si>
  <si>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</si>
  <si>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</si>
  <si>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</si>
  <si>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</si>
  <si>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</si>
  <si>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</si>
  <si>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</si>
  <si>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</si>
  <si>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</si>
  <si>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</si>
  <si>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</si>
  <si>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</si>
  <si>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</si>
  <si>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</si>
  <si>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</si>
  <si>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</si>
  <si>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</si>
  <si>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</si>
  <si>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</si>
  <si>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</si>
  <si>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</si>
  <si>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</si>
  <si>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</si>
  <si>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EBITDA</t>
  </si>
  <si>
    <t>Trailing 12M EBITDA Margin</t>
  </si>
  <si>
    <t>EBITDA_MARGIN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</si>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</sst>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71" fontId="1" fillId="34" borderId="2">
      <alignment horizontal="right"/>
    </xf>
    <xf numFmtId="4" fontId="1" fillId="34" borderId="2">
      <alignment horizontal="right"/>
    </xf>
    <xf numFmtId="171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3" fontId="8" fillId="35" borderId="2">
      <alignment horizontal="right"/>
    </xf>
    <xf numFmtId="171" fontId="8" fillId="35" borderId="2">
      <alignment horizontal="right"/>
    </xf>
    <xf numFmtId="171" fontId="11" fillId="34" borderId="2">
      <alignment horizontal="right"/>
    </xf>
    <xf numFmtId="171" fontId="11" fillId="35" borderId="2">
      <alignment horizontal="right"/>
    </xf>
  </cellStyleXfs>
  <cellXfs count="22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171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171" fontId="1" fillId="35" borderId="2" xfId="55" applyNumberFormat="1" applyFont="1" applyFill="1" applyBorder="1" applyAlignment="1" applyProtection="1">
      <alignment horizontal="right"/>
    </xf>
    <xf numFmtId="4" fontId="1" fillId="35" borderId="2" xfId="56" applyNumberFormat="1" applyFont="1" applyFill="1" applyBorder="1" applyAlignment="1" applyProtection="1">
      <alignment horizontal="right"/>
    </xf>
    <xf numFmtId="3" fontId="8" fillId="34" borderId="2" xfId="57" applyNumberFormat="1" applyFont="1" applyFill="1" applyBorder="1" applyAlignment="1" applyProtection="1">
      <alignment horizontal="right"/>
    </xf>
    <xf numFmtId="171" fontId="8" fillId="34" borderId="2" xfId="58" applyNumberFormat="1" applyFont="1" applyFill="1" applyBorder="1" applyAlignment="1" applyProtection="1">
      <alignment horizontal="right"/>
    </xf>
    <xf numFmtId="3" fontId="8" fillId="35" borderId="2" xfId="59" applyNumberFormat="1" applyFont="1" applyFill="1" applyBorder="1" applyAlignment="1" applyProtection="1">
      <alignment horizontal="right"/>
    </xf>
    <xf numFmtId="171" fontId="8" fillId="35" borderId="2" xfId="60" applyNumberFormat="1" applyFont="1" applyFill="1" applyBorder="1" applyAlignment="1" applyProtection="1">
      <alignment horizontal="right"/>
    </xf>
    <xf numFmtId="171" fontId="11" fillId="34" borderId="2" xfId="61" applyNumberFormat="1" applyFont="1" applyFill="1" applyBorder="1" applyAlignment="1" applyProtection="1">
      <alignment horizontal="right"/>
    </xf>
    <xf numFmtId="171" fontId="11" fillId="35" borderId="2" xfId="62" applyNumberFormat="1" applyFont="1" applyFill="1" applyBorder="1" applyAlignment="1" applyProtection="1">
      <alignment horizontal="right"/>
    </xf>
  </cellXfs>
  <cellStyles count="6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7" xr:uid="{00000000-0005-0000-0000-000023000000}"/>
    <cellStyle name="fa_data_bold_1_grouped" xfId="58" xr:uid="{00000000-0005-0000-0000-000024000000}"/>
    <cellStyle name="fa_data_current_bold_0_grouped" xfId="59" xr:uid="{00000000-0005-0000-0000-000025000000}"/>
    <cellStyle name="fa_data_current_bold_1_grouped" xfId="60" xr:uid="{00000000-0005-0000-0000-000026000000}"/>
    <cellStyle name="fa_data_current_italic_1_grouped" xfId="62" xr:uid="{00000000-0005-0000-0000-000027000000}"/>
    <cellStyle name="fa_data_current_standard_1_grouped" xfId="55" xr:uid="{00000000-0005-0000-0000-000028000000}"/>
    <cellStyle name="fa_data_current_standard_2_grouped" xfId="56" xr:uid="{00000000-0005-0000-0000-000029000000}"/>
    <cellStyle name="fa_data_italic_1_grouped" xfId="61" xr:uid="{00000000-0005-0000-0000-00002A000000}"/>
    <cellStyle name="fa_data_standard_1_grouped" xfId="53" xr:uid="{00000000-0005-0000-0000-00002B000000}"/>
    <cellStyle name="fa_data_standard_2_grouped" xfId="54" xr:uid="{00000000-0005-0000-0000-00002C000000}"/>
    <cellStyle name="fa_footer_italic" xfId="34" xr:uid="{00000000-0005-0000-0000-00002D000000}"/>
    <cellStyle name="fa_row_header_bold" xfId="35" xr:uid="{00000000-0005-0000-0000-00002E000000}"/>
    <cellStyle name="fa_row_header_italic" xfId="36" xr:uid="{00000000-0005-0000-0000-00002F000000}"/>
    <cellStyle name="fa_row_header_standard" xfId="37" xr:uid="{00000000-0005-0000-0000-000030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BDH|18037020513736392524</stp>
        <tr r="H23" s="2"/>
      </tp>
      <tp t="s">
        <v>#N/A N/A</v>
        <stp/>
        <stp>BDH|18206100010654652645</stp>
        <tr r="C54" s="2"/>
      </tp>
      <tp t="s">
        <v>#N/A N/A</v>
        <stp/>
        <stp>BDH|15310825073172427261</stp>
        <tr r="F16" s="2"/>
      </tp>
      <tp t="s">
        <v>#N/A N/A</v>
        <stp/>
        <stp>BDH|16755814954469026815</stp>
        <tr r="D9" s="2"/>
      </tp>
      <tp t="s">
        <v>#N/A N/A</v>
        <stp/>
        <stp>BDH|18411468041721072308</stp>
        <tr r="H27" s="2"/>
      </tp>
      <tp t="s">
        <v>#N/A N/A</v>
        <stp/>
        <stp>BDH|12754118251084221808</stp>
        <tr r="D26" s="2"/>
      </tp>
      <tp t="s">
        <v>#N/A N/A</v>
        <stp/>
        <stp>BDH|14247405823299109176</stp>
        <tr r="C68" s="2"/>
      </tp>
      <tp t="s">
        <v>#N/A N/A</v>
        <stp/>
        <stp>BDH|11119732853571197892</stp>
        <tr r="H66" s="2"/>
      </tp>
      <tp t="s">
        <v>#N/A N/A</v>
        <stp/>
        <stp>BDH|13647365409099121313</stp>
        <tr r="G10" s="2"/>
      </tp>
      <tp t="s">
        <v>#N/A N/A</v>
        <stp/>
        <stp>BDH|16947325549128995336</stp>
        <tr r="I57" s="2"/>
      </tp>
      <tp t="s">
        <v>#N/A N/A</v>
        <stp/>
        <stp>BDH|15727049762440995923</stp>
        <tr r="C37" s="2"/>
      </tp>
      <tp t="s">
        <v>#N/A N/A</v>
        <stp/>
        <stp>BDH|17590695582604025732</stp>
        <tr r="F10" s="2"/>
      </tp>
      <tp t="s">
        <v>#N/A N/A</v>
        <stp/>
        <stp>BDH|11732489881094441378</stp>
        <tr r="H24" s="2"/>
      </tp>
      <tp t="s">
        <v>#N/A N/A</v>
        <stp/>
        <stp>BDH|11874607410178553418</stp>
        <tr r="I44" s="2"/>
      </tp>
      <tp t="s">
        <v>#N/A N/A</v>
        <stp/>
        <stp>BDH|10560485243698409263</stp>
        <tr r="F18" s="2"/>
      </tp>
      <tp t="s">
        <v>#N/A N/A</v>
        <stp/>
        <stp>BDH|13408709759689558270</stp>
        <tr r="G65" s="2"/>
      </tp>
      <tp t="s">
        <v>#N/A N/A</v>
        <stp/>
        <stp>BDH|15843768287856973716</stp>
        <tr r="K40" s="2"/>
      </tp>
      <tp t="s">
        <v>#N/A N/A</v>
        <stp/>
        <stp>BDH|16829605407329916265</stp>
        <tr r="G27" s="2"/>
      </tp>
      <tp t="s">
        <v>#N/A N/A</v>
        <stp/>
        <stp>BDH|12532850647845087073</stp>
        <tr r="D40" s="2"/>
      </tp>
      <tp t="s">
        <v>#N/A N/A</v>
        <stp/>
        <stp>BDH|11998537229515007809</stp>
        <tr r="I30" s="2"/>
      </tp>
      <tp t="s">
        <v>#N/A N/A</v>
        <stp/>
        <stp>BDH|16778408124203797866</stp>
        <tr r="C10" s="2"/>
      </tp>
      <tp t="s">
        <v>#N/A N/A</v>
        <stp/>
        <stp>BDH|16370317689935843361</stp>
        <tr r="H42" s="2"/>
      </tp>
      <tp t="s">
        <v>#N/A N/A</v>
        <stp/>
        <stp>BDH|11796774287576758373</stp>
        <tr r="K35" s="2"/>
      </tp>
      <tp t="s">
        <v>#N/A N/A</v>
        <stp/>
        <stp>BDH|13762747141579910215</stp>
        <tr r="H68" s="2"/>
      </tp>
      <tp t="s">
        <v>#N/A N/A</v>
        <stp/>
        <stp>BDH|13303860309123901040</stp>
        <tr r="J65" s="2"/>
      </tp>
      <tp t="s">
        <v>#N/A N/A</v>
        <stp/>
        <stp>BDH|12360387831579097386</stp>
        <tr r="E61" s="2"/>
      </tp>
      <tp t="s">
        <v>#N/A N/A</v>
        <stp/>
        <stp>BDH|13745865297178214261</stp>
        <tr r="J27" s="2"/>
      </tp>
      <tp t="s">
        <v>#N/A N/A</v>
        <stp/>
        <stp>BDH|11009772763758074067</stp>
        <tr r="G9" s="2"/>
      </tp>
      <tp t="s">
        <v>#N/A N/A</v>
        <stp/>
        <stp>BDH|14719563000080669928</stp>
        <tr r="G29" s="2"/>
      </tp>
      <tp t="s">
        <v>#N/A N/A</v>
        <stp/>
        <stp>BDH|14836067847571439985</stp>
        <tr r="H60" s="2"/>
      </tp>
      <tp t="s">
        <v>#N/A N/A</v>
        <stp/>
        <stp>BDH|16682850604910411679</stp>
        <tr r="K7" s="2"/>
      </tp>
      <tp t="s">
        <v>#N/A N/A</v>
        <stp/>
        <stp>BDH|16145940360037225631</stp>
        <tr r="F40" s="2"/>
      </tp>
      <tp t="s">
        <v>#N/A N/A</v>
        <stp/>
        <stp>BDH|10987299880811537320</stp>
        <tr r="F61" s="2"/>
      </tp>
      <tp t="s">
        <v>#N/A N/A</v>
        <stp/>
        <stp>BDH|13131876825984270572</stp>
        <tr r="J43" s="2"/>
      </tp>
      <tp t="s">
        <v>#N/A N/A</v>
        <stp/>
        <stp>BDH|14306083502759770562</stp>
        <tr r="K24" s="2"/>
      </tp>
      <tp t="s">
        <v>#N/A N/A</v>
        <stp/>
        <stp>BDH|13855573672231140840</stp>
        <tr r="F42" s="2"/>
      </tp>
      <tp t="s">
        <v>#N/A N/A</v>
        <stp/>
        <stp>BDH|11963921385908330062</stp>
        <tr r="D29" s="2"/>
      </tp>
      <tp t="s">
        <v>#N/A N/A</v>
        <stp/>
        <stp>BDH|16701383897014072038</stp>
        <tr r="E69" s="2"/>
      </tp>
      <tp t="s">
        <v>#N/A N/A</v>
        <stp/>
        <stp>BDH|14989431917269796077</stp>
        <tr r="H54" s="2"/>
      </tp>
      <tp t="s">
        <v>#N/A N/A</v>
        <stp/>
        <stp>BDH|10430886504029747925</stp>
        <tr r="D27" s="2"/>
      </tp>
      <tp t="s">
        <v>#N/A N/A</v>
        <stp/>
        <stp>BDH|12816942165000364557</stp>
        <tr r="D33" s="2"/>
      </tp>
      <tp t="s">
        <v>#N/A N/A</v>
        <stp/>
        <stp>BDH|12984877650050012703</stp>
        <tr r="K66" s="2"/>
      </tp>
      <tp t="s">
        <v>#N/A N/A</v>
        <stp/>
        <stp>BDH|15003893703944550112</stp>
        <tr r="D42" s="2"/>
      </tp>
      <tp t="s">
        <v>#N/A N/A</v>
        <stp/>
        <stp>BDH|15091486721832526929</stp>
        <tr r="F56" s="2"/>
      </tp>
      <tp t="s">
        <v>#N/A N/A</v>
        <stp/>
        <stp>BDH|13509717346178182101</stp>
        <tr r="G31" s="2"/>
      </tp>
      <tp t="s">
        <v>#N/A N/A</v>
        <stp/>
        <stp>BDH|10055491922567010895</stp>
        <tr r="E8" s="2"/>
      </tp>
      <tp t="s">
        <v>#N/A N/A</v>
        <stp/>
        <stp>BDH|13408630384384075011</stp>
        <tr r="C61" s="2"/>
      </tp>
      <tp t="s">
        <v>#N/A N/A</v>
        <stp/>
        <stp>BDH|14520925431485170228</stp>
        <tr r="I41" s="2"/>
      </tp>
      <tp t="s">
        <v>#N/A N/A</v>
        <stp/>
        <stp>BDH|16328032068750973943</stp>
        <tr r="H47" s="2"/>
      </tp>
      <tp t="s">
        <v>#N/A N/A</v>
        <stp/>
        <stp>BDH|12888284500780041940</stp>
        <tr r="I8" s="2"/>
      </tp>
      <tp t="s">
        <v>#N/A N/A</v>
        <stp/>
        <stp>BDH|10478240090441574325</stp>
        <tr r="H61" s="2"/>
      </tp>
      <tp t="s">
        <v>#N/A N/A</v>
        <stp/>
        <stp>BDH|13128861197572634902</stp>
        <tr r="K29" s="2"/>
      </tp>
      <tp t="s">
        <v>#N/A N/A</v>
        <stp/>
        <stp>BDH|11718326669469283474</stp>
        <tr r="C62" s="2"/>
      </tp>
      <tp t="s">
        <v>#N/A N/A</v>
        <stp/>
        <stp>BDH|15637726386157308480</stp>
        <tr r="D12" s="2"/>
      </tp>
      <tp t="s">
        <v>#N/A N/A</v>
        <stp/>
        <stp>BDH|13645784653681447912</stp>
        <tr r="D67" s="2"/>
      </tp>
      <tp t="s">
        <v>#N/A N/A</v>
        <stp/>
        <stp>BDH|10444786403098007655</stp>
        <tr r="G42" s="2"/>
      </tp>
      <tp t="s">
        <v>#N/A N/A</v>
        <stp/>
        <stp>BDH|13968769732776815884</stp>
        <tr r="I33" s="2"/>
      </tp>
      <tp t="s">
        <v>#N/A N/A</v>
        <stp/>
        <stp>BDH|13908157580845584657</stp>
        <tr r="J9" s="2"/>
      </tp>
      <tp t="s">
        <v>#N/A N/A</v>
        <stp/>
        <stp>BDH|13770628576268798380</stp>
        <tr r="I27" s="2"/>
      </tp>
      <tp t="s">
        <v>#N/A N/A</v>
        <stp/>
        <stp>BDH|13058093087136502458</stp>
        <tr r="H25" s="2"/>
      </tp>
      <tp t="s">
        <v>#N/A N/A</v>
        <stp/>
        <stp>BDH|17484878885009310052</stp>
        <tr r="C13" s="2"/>
      </tp>
      <tp t="s">
        <v>#N/A N/A</v>
        <stp/>
        <stp>BDH|12177031564849023333</stp>
        <tr r="I18" s="2"/>
      </tp>
      <tp t="s">
        <v>#N/A N/A</v>
        <stp/>
        <stp>BDH|13202048830478787654</stp>
        <tr r="K17" s="2"/>
      </tp>
      <tp t="s">
        <v>#N/A N/A</v>
        <stp/>
        <stp>BDH|10441490842526972821</stp>
        <tr r="K27" s="2"/>
      </tp>
      <tp t="s">
        <v>#N/A N/A</v>
        <stp/>
        <stp>BDH|16247165797591327194</stp>
        <tr r="K11" s="2"/>
      </tp>
      <tp t="s">
        <v>#N/A N/A</v>
        <stp/>
        <stp>BDH|12684689674118039534</stp>
        <tr r="D25" s="2"/>
      </tp>
      <tp t="s">
        <v>#N/A N/A</v>
        <stp/>
        <stp>BDH|10144929489209355657</stp>
        <tr r="K22" s="2"/>
      </tp>
      <tp t="s">
        <v>#N/A N/A</v>
        <stp/>
        <stp>BDH|18339686832981469219</stp>
        <tr r="G25" s="2"/>
      </tp>
      <tp t="s">
        <v>#N/A N/A</v>
        <stp/>
        <stp>BDH|16496046683761677042</stp>
        <tr r="J31" s="2"/>
      </tp>
      <tp t="s">
        <v>#N/A N/A</v>
        <stp/>
        <stp>BDH|11729396115408133498</stp>
        <tr r="D18" s="2"/>
      </tp>
      <tp t="s">
        <v>#N/A N/A</v>
        <stp/>
        <stp>BDH|12638549001008724074</stp>
        <tr r="F8" s="2"/>
      </tp>
      <tp t="s">
        <v>#N/A N/A</v>
        <stp/>
        <stp>BDH|18153740273234311379</stp>
        <tr r="J66" s="2"/>
      </tp>
      <tp t="s">
        <v>#N/A N/A</v>
        <stp/>
        <stp>BDH|18171510621907181798</stp>
        <tr r="K69" s="2"/>
      </tp>
      <tp t="s">
        <v>#N/A N/A</v>
        <stp/>
        <stp>BDH|14428816176461861532</stp>
        <tr r="I61" s="2"/>
      </tp>
      <tp t="s">
        <v>#N/A N/A</v>
        <stp/>
        <stp>BDH|16778982640915440146</stp>
        <tr r="J28" s="2"/>
      </tp>
      <tp t="s">
        <v>#N/A N/A</v>
        <stp/>
        <stp>BDH|15538090694816627502</stp>
        <tr r="G57" s="2"/>
      </tp>
      <tp t="s">
        <v>#N/A N/A</v>
        <stp/>
        <stp>BDH|16505731058283562854</stp>
        <tr r="D68" s="2"/>
      </tp>
      <tp t="s">
        <v>#N/A N/A</v>
        <stp/>
        <stp>BDH|17369010459984081950</stp>
        <tr r="C33" s="2"/>
      </tp>
      <tp t="s">
        <v>#N/A N/A</v>
        <stp/>
        <stp>BDH|14499581017784894802</stp>
        <tr r="D56" s="2"/>
      </tp>
      <tp t="s">
        <v>#N/A N/A</v>
        <stp/>
        <stp>BDH|10273297696756998127</stp>
        <tr r="J15" s="2"/>
      </tp>
      <tp t="s">
        <v>#N/A N/A</v>
        <stp/>
        <stp>BDH|15232020183022157348</stp>
        <tr r="D64" s="2"/>
      </tp>
      <tp t="s">
        <v>#N/A N/A</v>
        <stp/>
        <stp>BDH|18320421984869603159</stp>
        <tr r="I67" s="2"/>
      </tp>
      <tp t="s">
        <v>#N/A N/A</v>
        <stp/>
        <stp>BDH|18196788398158624215</stp>
        <tr r="F34" s="2"/>
      </tp>
      <tp t="s">
        <v>#N/A N/A</v>
        <stp/>
        <stp>BDH|16360409915717425888</stp>
        <tr r="C9" s="2"/>
      </tp>
      <tp t="s">
        <v>#N/A N/A</v>
        <stp/>
        <stp>BDH|12366174492517318189</stp>
        <tr r="K65" s="2"/>
      </tp>
      <tp t="s">
        <v>#N/A N/A</v>
        <stp/>
        <stp>BDH|17029846294318920258</stp>
        <tr r="D62" s="2"/>
      </tp>
      <tp t="s">
        <v>#N/A N/A</v>
        <stp/>
        <stp>BDH|16719736288034807186</stp>
        <tr r="J17" s="2"/>
      </tp>
      <tp t="s">
        <v>#N/A N/A</v>
        <stp/>
        <stp>BDH|10020812190634934888</stp>
        <tr r="D60" s="2"/>
      </tp>
      <tp t="s">
        <v>#N/A N/A</v>
        <stp/>
        <stp>BDH|15336904153951492578</stp>
        <tr r="I49" s="2"/>
      </tp>
      <tp t="s">
        <v>#N/A N/A</v>
        <stp/>
        <stp>BDH|12926755189363685315</stp>
        <tr r="K50" s="2"/>
      </tp>
      <tp t="s">
        <v>#N/A N/A</v>
        <stp/>
        <stp>BDH|12436965073597760640</stp>
        <tr r="K33" s="2"/>
      </tp>
      <tp t="s">
        <v>#N/A N/A</v>
        <stp/>
        <stp>BDH|11212974143049776844</stp>
        <tr r="F7" s="2"/>
      </tp>
      <tp t="s">
        <v>#N/A N/A</v>
        <stp/>
        <stp>BDH|13286064735599557406</stp>
        <tr r="C31" s="2"/>
      </tp>
      <tp t="s">
        <v>#N/A N/A</v>
        <stp/>
        <stp>BDH|11198094670132848947</stp>
        <tr r="H30" s="2"/>
      </tp>
      <tp t="s">
        <v>#N/A N/A</v>
        <stp/>
        <stp>BDH|12022654857168183473</stp>
        <tr r="E42" s="2"/>
      </tp>
      <tp t="s">
        <v>#N/A N/A</v>
        <stp/>
        <stp>BDH|10046647707522585919</stp>
        <tr r="H48" s="2"/>
      </tp>
      <tp t="s">
        <v>#N/A N/A</v>
        <stp/>
        <stp>BDH|18364556133414349708</stp>
        <tr r="J22" s="2"/>
      </tp>
      <tp t="s">
        <v>#N/A N/A</v>
        <stp/>
        <stp>BDH|15093208026821362930</stp>
        <tr r="C21" s="2"/>
      </tp>
      <tp t="s">
        <v>#N/A N/A</v>
        <stp/>
        <stp>BDH|18024302602122684424</stp>
        <tr r="F14" s="2"/>
      </tp>
      <tp t="s">
        <v>#N/A N/A</v>
        <stp/>
        <stp>BDH|12008996859067172471</stp>
        <tr r="I26" s="2"/>
      </tp>
      <tp t="s">
        <v>#N/A N/A</v>
        <stp/>
        <stp>BDH|10147312608507134938</stp>
        <tr r="K37" s="2"/>
      </tp>
      <tp t="s">
        <v>#N/A N/A</v>
        <stp/>
        <stp>BDH|11439112892842523683</stp>
        <tr r="H50" s="2"/>
      </tp>
      <tp t="s">
        <v>#N/A N/A</v>
        <stp/>
        <stp>BDH|15142209719553687844</stp>
        <tr r="F13" s="2"/>
      </tp>
      <tp t="s">
        <v>#N/A N/A</v>
        <stp/>
        <stp>BDH|14509988135754382743</stp>
        <tr r="I31" s="2"/>
      </tp>
      <tp t="s">
        <v>#N/A N/A</v>
        <stp/>
        <stp>BDH|10601379358983706801</stp>
        <tr r="F29" s="2"/>
      </tp>
      <tp t="s">
        <v>#N/A N/A</v>
        <stp/>
        <stp>BDH|12286762933150305475</stp>
        <tr r="J37" s="2"/>
      </tp>
      <tp t="s">
        <v>#N/A N/A</v>
        <stp/>
        <stp>BDH|17073500007653107338</stp>
        <tr r="D46" s="2"/>
      </tp>
      <tp t="s">
        <v>#N/A N/A</v>
        <stp/>
        <stp>BDH|16214559554251192571</stp>
        <tr r="I23" s="2"/>
      </tp>
      <tp t="s">
        <v>#N/A N/A</v>
        <stp/>
        <stp>BDH|10677269540004181040</stp>
        <tr r="F54" s="2"/>
      </tp>
      <tp t="s">
        <v>#N/A N/A</v>
        <stp/>
        <stp>BDH|14136546068140892524</stp>
        <tr r="I46" s="2"/>
      </tp>
      <tp t="s">
        <v>#N/A N/A</v>
        <stp/>
        <stp>BDH|12270200551816150157</stp>
        <tr r="E57" s="2"/>
      </tp>
      <tp t="s">
        <v>#N/A N/A</v>
        <stp/>
        <stp>BDH|10905016341687854169</stp>
        <tr r="C25" s="2"/>
      </tp>
      <tp t="s">
        <v>#N/A N/A</v>
        <stp/>
        <stp>BDH|17496100837364637337</stp>
        <tr r="J12" s="2"/>
      </tp>
      <tp t="s">
        <v>#N/A N/A</v>
        <stp/>
        <stp>BDH|17090239434155816163</stp>
        <tr r="E9" s="2"/>
      </tp>
      <tp t="s">
        <v>#N/A N/A</v>
        <stp/>
        <stp>BDH|13156224059131571761</stp>
        <tr r="G61" s="2"/>
      </tp>
      <tp t="s">
        <v>#N/A N/A</v>
        <stp/>
        <stp>BDH|17452698325663697257</stp>
        <tr r="E43" s="2"/>
      </tp>
      <tp t="s">
        <v>#N/A N/A</v>
        <stp/>
        <stp>BDH|17165697157124494210</stp>
        <tr r="I48" s="2"/>
      </tp>
      <tp t="s">
        <v>#N/A N/A</v>
        <stp/>
        <stp>BDH|10237798985649481408</stp>
        <tr r="H67" s="2"/>
      </tp>
      <tp t="s">
        <v>#N/A N/A</v>
        <stp/>
        <stp>BDH|11910512376652394306</stp>
        <tr r="C35" s="2"/>
      </tp>
      <tp t="s">
        <v>#N/A N/A</v>
        <stp/>
        <stp>BDH|13550346225514935418</stp>
        <tr r="C44" s="2"/>
      </tp>
      <tp t="s">
        <v>#N/A N/A</v>
        <stp/>
        <stp>BDH|11641592168285894517</stp>
        <tr r="F22" s="2"/>
      </tp>
      <tp t="s">
        <v>#N/A N/A</v>
        <stp/>
        <stp>BDH|15122800734279261594</stp>
        <tr r="J16" s="2"/>
      </tp>
      <tp t="s">
        <v>#N/A N/A</v>
        <stp/>
        <stp>BDH|15028484135823198321</stp>
        <tr r="J44" s="2"/>
      </tp>
      <tp t="s">
        <v>#N/A N/A</v>
        <stp/>
        <stp>BDH|14732949946248720230</stp>
        <tr r="C8" s="2"/>
      </tp>
      <tp t="s">
        <v>#N/A N/A</v>
        <stp/>
        <stp>BDH|14592313987774070825</stp>
        <tr r="D31" s="2"/>
      </tp>
      <tp t="s">
        <v>#N/A N/A</v>
        <stp/>
        <stp>BDH|16221819365173382841</stp>
        <tr r="E40" s="2"/>
      </tp>
      <tp t="s">
        <v>#N/A N/A</v>
        <stp/>
        <stp>BDH|12896330558755590276</stp>
        <tr r="I16" s="2"/>
      </tp>
      <tp t="s">
        <v>#N/A N/A</v>
        <stp/>
        <stp>BDH|13731197059677142360</stp>
        <tr r="J69" s="2"/>
      </tp>
      <tp t="s">
        <v>#N/A N/A</v>
        <stp/>
        <stp>BDH|14663478970695487174</stp>
        <tr r="F67" s="2"/>
      </tp>
      <tp t="s">
        <v>#N/A N/A</v>
        <stp/>
        <stp>BDH|13073176044620552546</stp>
        <tr r="D45" s="2"/>
      </tp>
      <tp t="s">
        <v>#N/A N/A</v>
        <stp/>
        <stp>BDH|15098053273129004832</stp>
        <tr r="H45" s="2"/>
      </tp>
      <tp t="s">
        <v>#N/A N/A</v>
        <stp/>
        <stp>BDH|17955138307093849615</stp>
        <tr r="E54" s="2"/>
      </tp>
      <tp t="s">
        <v>#N/A N/A</v>
        <stp/>
        <stp>BDH|14974561159794675344</stp>
        <tr r="D23" s="2"/>
      </tp>
      <tp t="s">
        <v>#N/A N/A</v>
        <stp/>
        <stp>BDH|10093196071237864274</stp>
        <tr r="E10" s="2"/>
      </tp>
      <tp t="s">
        <v>#N/A N/A</v>
        <stp/>
        <stp>BDH|13549413545435568521</stp>
        <tr r="E22" s="2"/>
      </tp>
      <tp t="s">
        <v>#N/A N/A</v>
        <stp/>
        <stp>BDH|10658344440876136286</stp>
        <tr r="I9" s="2"/>
      </tp>
      <tp t="s">
        <v>#N/A N/A</v>
        <stp/>
        <stp>BDH|17836519835687603518</stp>
        <tr r="J7" s="2"/>
      </tp>
      <tp t="s">
        <v>#N/A N/A</v>
        <stp/>
        <stp>BDH|18403577750109904202</stp>
        <tr r="J11" s="2"/>
      </tp>
      <tp t="s">
        <v>#N/A N/A</v>
        <stp/>
        <stp>BDH|13337299444814049225</stp>
        <tr r="E36" s="2"/>
      </tp>
      <tp t="s">
        <v>#N/A N/A</v>
        <stp/>
        <stp>BDH|16427289252690714276</stp>
        <tr r="E21" s="2"/>
      </tp>
      <tp t="s">
        <v>#N/A N/A</v>
        <stp/>
        <stp>BDH|13137843759129783453</stp>
        <tr r="K28" s="2"/>
      </tp>
      <tp t="s">
        <v>#N/A N/A</v>
        <stp/>
        <stp>BDH|17327356040020196395</stp>
        <tr r="D54" s="2"/>
      </tp>
      <tp t="s">
        <v>#N/A N/A</v>
        <stp/>
        <stp>BDH|13281158030560614115</stp>
        <tr r="K56" s="2"/>
      </tp>
      <tp t="s">
        <v>#N/A N/A</v>
        <stp/>
        <stp>BDH|17756096154225044791</stp>
        <tr r="K9" s="2"/>
      </tp>
      <tp t="s">
        <v>#N/A N/A</v>
        <stp/>
        <stp>BDH|15033439706218565921</stp>
        <tr r="F36" s="2"/>
      </tp>
      <tp t="s">
        <v>#N/A N/A</v>
        <stp/>
        <stp>BDH|17897777414152732387</stp>
        <tr r="G17" s="2"/>
      </tp>
      <tp t="s">
        <v>#N/A N/A</v>
        <stp/>
        <stp>BDH|10175736842673799035</stp>
        <tr r="H57" s="2"/>
      </tp>
      <tp t="s">
        <v>#N/A N/A</v>
        <stp/>
        <stp>BDH|17943638918311685135</stp>
        <tr r="C14" s="2"/>
      </tp>
      <tp t="s">
        <v>#N/A N/A</v>
        <stp/>
        <stp>BDH|14527751518075982772</stp>
        <tr r="C56" s="2"/>
      </tp>
      <tp t="s">
        <v>#N/A N/A</v>
        <stp/>
        <stp>BDH|11854416326965442222</stp>
        <tr r="E34" s="2"/>
      </tp>
      <tp t="s">
        <v>#N/A N/A</v>
        <stp/>
        <stp>BDH|16729126217786219080</stp>
        <tr r="C29" s="2"/>
      </tp>
      <tp t="s">
        <v>#N/A N/A</v>
        <stp/>
        <stp>BDH|18372922639491083331</stp>
        <tr r="G7" s="2"/>
      </tp>
      <tp t="s">
        <v>#N/A N/A</v>
        <stp/>
        <stp>BDH|14343611549283428540</stp>
        <tr r="J29" s="2"/>
      </tp>
      <tp t="s">
        <v>#N/A N/A</v>
        <stp/>
        <stp>BDH|16298322114204713099</stp>
        <tr r="K44" s="2"/>
      </tp>
      <tp t="s">
        <v>#N/A N/A</v>
        <stp/>
        <stp>BDH|16054788837315428764</stp>
        <tr r="H49" s="2"/>
      </tp>
      <tp t="s">
        <v>#N/A N/A</v>
        <stp/>
        <stp>BDH|13438816188830887395</stp>
        <tr r="I64" s="2"/>
      </tp>
      <tp t="s">
        <v>#N/A N/A</v>
        <stp/>
        <stp>BDH|18181929662140302623</stp>
        <tr r="F31" s="2"/>
      </tp>
      <tp t="s">
        <v>#N/A N/A</v>
        <stp/>
        <stp>BDH|11497101109366936766</stp>
        <tr r="E65" s="2"/>
      </tp>
      <tp t="s">
        <v>#N/A N/A</v>
        <stp/>
        <stp>BDH|14812650274803263791</stp>
        <tr r="F63" s="2"/>
      </tp>
      <tp t="s">
        <v>#N/A N/A</v>
        <stp/>
        <stp>BDH|17398476604787394515</stp>
        <tr r="H15" s="2"/>
      </tp>
      <tp t="s">
        <v>#N/A N/A</v>
        <stp/>
        <stp>BDH|18310275666285477826</stp>
        <tr r="F62" s="2"/>
      </tp>
      <tp t="s">
        <v>#N/A N/A</v>
        <stp/>
        <stp>BDH|10282392130057975655</stp>
        <tr r="G64" s="2"/>
      </tp>
      <tp t="s">
        <v>#N/A N/A</v>
        <stp/>
        <stp>BDH|10779031703653918293</stp>
        <tr r="K13" s="2"/>
      </tp>
      <tp t="s">
        <v>#N/A N/A</v>
        <stp/>
        <stp>BDH|11720043602704076475</stp>
        <tr r="K32" s="2"/>
      </tp>
      <tp t="s">
        <v>#N/A N/A</v>
        <stp/>
        <stp>BDH|13820117146721138663</stp>
        <tr r="F52" s="2"/>
      </tp>
      <tp t="s">
        <v>#N/A N/A</v>
        <stp/>
        <stp>BDH|15892418972776340130</stp>
        <tr r="K68" s="2"/>
      </tp>
      <tp t="s">
        <v>#N/A N/A</v>
        <stp/>
        <stp>BDH|12469649078747226555</stp>
        <tr r="E24" s="2"/>
      </tp>
      <tp t="s">
        <v>#N/A N/A</v>
        <stp/>
        <stp>BDH|10588727363190814032</stp>
        <tr r="C63" s="2"/>
      </tp>
      <tp t="s">
        <v>#N/A N/A</v>
        <stp/>
        <stp>BDH|14001314799299257651</stp>
        <tr r="J54" s="2"/>
      </tp>
      <tp t="s">
        <v>#N/A N/A</v>
        <stp/>
        <stp>BDH|12410157533605591495</stp>
        <tr r="E23" s="2"/>
      </tp>
      <tp t="s">
        <v>#N/A N/A</v>
        <stp/>
        <stp>BDH|14731396351332604173</stp>
        <tr r="K8" s="2"/>
      </tp>
      <tp t="s">
        <v>#N/A N/A</v>
        <stp/>
        <stp>BDH|10711241892248010514</stp>
        <tr r="H21" s="2"/>
      </tp>
      <tp t="s">
        <v>#N/A N/A</v>
        <stp/>
        <stp>BDH|14493325534117857592</stp>
        <tr r="D22" s="2"/>
      </tp>
      <tp t="s">
        <v>#N/A N/A</v>
        <stp/>
        <stp>BDH|14199153504645326607</stp>
        <tr r="K18" s="2"/>
      </tp>
      <tp t="s">
        <v>#N/A N/A</v>
        <stp/>
        <stp>BDH|15137090662382989708</stp>
        <tr r="G43" s="2"/>
      </tp>
      <tp t="s">
        <v>#N/A N/A</v>
        <stp/>
        <stp>BDH|14348003020253663375</stp>
        <tr r="J48" s="2"/>
      </tp>
      <tp t="s">
        <v>#N/A N/A</v>
        <stp/>
        <stp>BDH|16215577877932787073</stp>
        <tr r="H36" s="2"/>
      </tp>
      <tp t="s">
        <v>#N/A N/A</v>
        <stp/>
        <stp>BDH|13462809850251942987</stp>
        <tr r="E60" s="2"/>
      </tp>
      <tp t="s">
        <v>#N/A N/A</v>
        <stp/>
        <stp>BDH|10579157872301332155</stp>
        <tr r="E27" s="2"/>
      </tp>
      <tp t="s">
        <v>#N/A N/A</v>
        <stp/>
        <stp>BDH|15724104948033829517</stp>
        <tr r="J10" s="2"/>
      </tp>
      <tp t="s">
        <v>#N/A N/A</v>
        <stp/>
        <stp>BDH|12310588413528861891</stp>
        <tr r="J49" s="2"/>
      </tp>
      <tp t="s">
        <v>#N/A N/A</v>
        <stp/>
        <stp>BDH|11849220054424236463</stp>
        <tr r="J45" s="2"/>
      </tp>
      <tp t="s">
        <v>#N/A N/A</v>
        <stp/>
        <stp>BDH|12630629854017895050</stp>
        <tr r="C30" s="2"/>
      </tp>
      <tp t="s">
        <v>#N/A N/A</v>
        <stp/>
        <stp>BDH|15115696366382058114</stp>
        <tr r="E67" s="2"/>
      </tp>
      <tp t="s">
        <v>#N/A N/A</v>
        <stp/>
        <stp>BDH|14436625577712613068</stp>
        <tr r="I36" s="2"/>
      </tp>
      <tp t="s">
        <v>#N/A N/A</v>
        <stp/>
        <stp>BDH|14949590465721653127</stp>
        <tr r="H16" s="2"/>
      </tp>
      <tp t="s">
        <v>#N/A N/A</v>
        <stp/>
        <stp>BDH|15755061870724656160</stp>
        <tr r="H52" s="2"/>
      </tp>
      <tp t="s">
        <v>#N/A N/A</v>
        <stp/>
        <stp>BDH|11317614887040317868</stp>
        <tr r="D15" s="2"/>
      </tp>
      <tp t="s">
        <v>#N/A N/A</v>
        <stp/>
        <stp>BDH|11561761607284577511</stp>
        <tr r="F66" s="2"/>
      </tp>
      <tp t="s">
        <v>#N/A N/A</v>
        <stp/>
        <stp>BDH|10470047604330743732</stp>
        <tr r="D32" s="2"/>
      </tp>
      <tp t="s">
        <v>#N/A N/A</v>
        <stp/>
        <stp>BDH|17268467824160000605</stp>
        <tr r="I13" s="2"/>
      </tp>
      <tp t="s">
        <v>#N/A N/A</v>
        <stp/>
        <stp>BDH|10262919492113649453</stp>
        <tr r="J23" s="2"/>
      </tp>
      <tp t="s">
        <v>#N/A N/A</v>
        <stp/>
        <stp>BDH|14227266152803265717</stp>
        <tr r="H40" s="2"/>
      </tp>
      <tp t="s">
        <v>#N/A N/A</v>
        <stp/>
        <stp>BDH|11016210857243123226</stp>
        <tr r="H33" s="2"/>
      </tp>
      <tp t="s">
        <v>#N/A N/A</v>
        <stp/>
        <stp>BDH|17202750391958310613</stp>
        <tr r="F65" s="2"/>
      </tp>
      <tp t="s">
        <v>#N/A N/A</v>
        <stp/>
        <stp>BDH|13060677147450429637</stp>
        <tr r="G30" s="2"/>
      </tp>
      <tp t="s">
        <v>#N/A N/A</v>
        <stp/>
        <stp>BDH|10215555962796172231</stp>
        <tr r="K47" s="2"/>
      </tp>
      <tp t="s">
        <v>#N/A N/A</v>
        <stp/>
        <stp>BDH|17378073570531063633</stp>
        <tr r="E14" s="2"/>
      </tp>
      <tp t="s">
        <v>#N/A N/A</v>
        <stp/>
        <stp>BDH|15315211855405531041</stp>
        <tr r="F9" s="2"/>
      </tp>
      <tp t="s">
        <v>#N/A N/A</v>
        <stp/>
        <stp>BDH|16888204136359226951</stp>
        <tr r="C49" s="2"/>
      </tp>
      <tp t="s">
        <v>#N/A N/A</v>
        <stp/>
        <stp>BDH|15475357208408771944</stp>
        <tr r="C15" s="2"/>
      </tp>
      <tp t="s">
        <v>#N/A N/A</v>
        <stp/>
        <stp>BDH|18359931810306267185</stp>
        <tr r="K21" s="2"/>
      </tp>
      <tp t="s">
        <v>#N/A N/A</v>
        <stp/>
        <stp>BDH|15780528218786640068</stp>
        <tr r="J60" s="2"/>
      </tp>
      <tp t="s">
        <v>#N/A N/A</v>
        <stp/>
        <stp>BDH|16820585219265144042</stp>
        <tr r="F35" s="2"/>
      </tp>
      <tp t="s">
        <v>#N/A N/A</v>
        <stp/>
        <stp>BDH|14510042659252653425</stp>
        <tr r="E33" s="2"/>
      </tp>
      <tp t="s">
        <v>#N/A N/A</v>
        <stp/>
        <stp>BDH|18062987667018150806</stp>
        <tr r="G13" s="2"/>
      </tp>
      <tp t="s">
        <v>#N/A N/A</v>
        <stp/>
        <stp>BDH|17099634876027655533</stp>
        <tr r="C17" s="2"/>
      </tp>
      <tp t="s">
        <v>#N/A N/A</v>
        <stp/>
        <stp>BDH|11771876154871709938</stp>
        <tr r="E64" s="2"/>
      </tp>
      <tp t="s">
        <v>#N/A N/A</v>
        <stp/>
        <stp>BDH|17194683548656521772</stp>
        <tr r="I14" s="2"/>
      </tp>
      <tp t="s">
        <v>#N/A N/A</v>
        <stp/>
        <stp>BDH|10399787619742941088</stp>
        <tr r="H12" s="2"/>
      </tp>
      <tp t="s">
        <v>#N/A N/A</v>
        <stp/>
        <stp>BDH|12074305456662660228</stp>
        <tr r="I29" s="2"/>
      </tp>
      <tp t="s">
        <v>#N/A N/A</v>
        <stp/>
        <stp>BDH|17722551767098690812</stp>
        <tr r="F41" s="2"/>
      </tp>
      <tp t="s">
        <v>#N/A N/A</v>
        <stp/>
        <stp>BDH|12588232644757541755</stp>
        <tr r="G36" s="2"/>
      </tp>
      <tp t="s">
        <v>#N/A N/A</v>
        <stp/>
        <stp>BDH|10035076354392314327</stp>
        <tr r="H41" s="2"/>
      </tp>
      <tp t="s">
        <v>#N/A N/A</v>
        <stp/>
        <stp>BDH|16923931429249174074</stp>
        <tr r="H32" s="2"/>
      </tp>
      <tp t="s">
        <v>#N/A N/A</v>
        <stp/>
        <stp>BDH|14932085869676976067</stp>
        <tr r="G62" s="2"/>
      </tp>
      <tp t="s">
        <v>#N/A N/A</v>
        <stp/>
        <stp>BDH|10880580150683103793</stp>
        <tr r="I43" s="2"/>
      </tp>
      <tp t="s">
        <v>#N/A N/A</v>
        <stp/>
        <stp>BDH|11959532327393777112</stp>
        <tr r="C22" s="2"/>
      </tp>
      <tp t="s">
        <v>#N/A N/A</v>
        <stp/>
        <stp>BDH|13421117237871891407</stp>
        <tr r="C36" s="2"/>
      </tp>
      <tp t="s">
        <v>#N/A N/A</v>
        <stp/>
        <stp>BDH|12854437814870289372</stp>
        <tr r="E44" s="2"/>
      </tp>
      <tp t="s">
        <v>#N/A N/A</v>
        <stp/>
        <stp>BDH|15630832878488799657</stp>
        <tr r="K10" s="2"/>
      </tp>
      <tp t="s">
        <v>#N/A N/A</v>
        <stp/>
        <stp>BDH|12872590305003762121</stp>
        <tr r="E68" s="2"/>
      </tp>
      <tp t="s">
        <v>#N/A N/A</v>
        <stp/>
        <stp>BDH|10441816091035198106</stp>
        <tr r="G26" s="2"/>
      </tp>
      <tp t="s">
        <v>#N/A N/A</v>
        <stp/>
        <stp>BDH|16541019451120066609</stp>
        <tr r="C67" s="2"/>
      </tp>
      <tp t="s">
        <v>#N/A N/A</v>
        <stp/>
        <stp>BDH|12953201631150733697</stp>
        <tr r="K60" s="2"/>
      </tp>
      <tp t="s">
        <v>#N/A N/A</v>
        <stp/>
        <stp>BDH|15446703363454912579</stp>
        <tr r="F68" s="2"/>
      </tp>
      <tp t="s">
        <v>#N/A N/A</v>
        <stp/>
        <stp>BDH|11126501604669869841</stp>
        <tr r="G52" s="2"/>
      </tp>
      <tp t="s">
        <v>#N/A N/A</v>
        <stp/>
        <stp>BDH|12998566851296274144</stp>
        <tr r="E31" s="2"/>
      </tp>
      <tp t="s">
        <v>#N/A N/A</v>
        <stp/>
        <stp>BDH|10854694183363363890</stp>
        <tr r="I24" s="2"/>
      </tp>
      <tp t="s">
        <v>#N/A N/A</v>
        <stp/>
        <stp>BDH|17397917507192942963</stp>
        <tr r="K31" s="2"/>
      </tp>
      <tp t="s">
        <v>#N/A N/A</v>
        <stp/>
        <stp>BDH|14066753915013930448</stp>
        <tr r="K41" s="2"/>
      </tp>
      <tp t="s">
        <v>#N/A N/A</v>
        <stp/>
        <stp>BDH|16254210839791769303</stp>
        <tr r="I65" s="2"/>
      </tp>
      <tp t="s">
        <v>#N/A N/A</v>
        <stp/>
        <stp>BDH|12599853484904952314</stp>
        <tr r="K45" s="2"/>
      </tp>
      <tp t="s">
        <v>#N/A N/A</v>
        <stp/>
        <stp>BDH|10078838669743453828</stp>
        <tr r="K16" s="2"/>
      </tp>
      <tp t="s">
        <v>#N/A N/A</v>
        <stp/>
        <stp>BDH|11939672653347656057</stp>
        <tr r="D28" s="2"/>
      </tp>
    </main>
    <main first="bofaddin.rtdserver">
      <tp t="s">
        <v>#N/A N/A</v>
        <stp/>
        <stp>BDH|2450522879186079</stp>
        <tr r="D49" s="2"/>
      </tp>
      <tp t="s">
        <v>#N/A N/A</v>
        <stp/>
        <stp>BDH|8212036329327511169</stp>
        <tr r="D61" s="2"/>
      </tp>
      <tp t="s">
        <v>#N/A N/A</v>
        <stp/>
        <stp>BDH|5077682180662250558</stp>
        <tr r="J68" s="2"/>
      </tp>
      <tp t="s">
        <v>#N/A N/A</v>
        <stp/>
        <stp>BDH|7423205595839333919</stp>
        <tr r="F49" s="2"/>
      </tp>
      <tp t="s">
        <v>#N/A N/A</v>
        <stp/>
        <stp>BDH|9596885320726992957</stp>
        <tr r="C32" s="2"/>
      </tp>
      <tp t="s">
        <v>#N/A N/A</v>
        <stp/>
        <stp>BDH|8381472252992071716</stp>
        <tr r="C42" s="2"/>
      </tp>
      <tp t="s">
        <v>#N/A N/A</v>
        <stp/>
        <stp>BDH|5007527215684185929</stp>
        <tr r="G21" s="2"/>
      </tp>
      <tp t="s">
        <v>#N/A N/A</v>
        <stp/>
        <stp>BDH|1107430683489208991</stp>
        <tr r="C11" s="2"/>
      </tp>
      <tp t="s">
        <v>#N/A N/A</v>
        <stp/>
        <stp>BDH|4805281693026856405</stp>
        <tr r="D47" s="2"/>
      </tp>
      <tp t="s">
        <v>#N/A N/A</v>
        <stp/>
        <stp>BDH|4909056086993079213</stp>
        <tr r="K43" s="2"/>
      </tp>
      <tp t="s">
        <v>#N/A N/A</v>
        <stp/>
        <stp>BDH|1014589036793079955</stp>
        <tr r="F11" s="2"/>
      </tp>
      <tp t="s">
        <v>#N/A N/A</v>
        <stp/>
        <stp>BDH|4313456624749897628</stp>
        <tr r="I56" s="2"/>
      </tp>
      <tp t="s">
        <v>#N/A N/A</v>
        <stp/>
        <stp>BDH|2565893775583780365</stp>
        <tr r="K34" s="2"/>
      </tp>
      <tp t="s">
        <v>#N/A N/A</v>
        <stp/>
        <stp>BDH|6776918905340975230</stp>
        <tr r="H69" s="2"/>
      </tp>
      <tp t="s">
        <v>#N/A N/A</v>
        <stp/>
        <stp>BDH|6527180550558731747</stp>
        <tr r="C43" s="2"/>
      </tp>
      <tp t="s">
        <v>#N/A N/A</v>
        <stp/>
        <stp>BDH|6990264790557366735</stp>
        <tr r="G40" s="2"/>
      </tp>
      <tp t="s">
        <v>#N/A N/A</v>
        <stp/>
        <stp>BDH|9333543103483120290</stp>
        <tr r="K62" s="2"/>
      </tp>
      <tp t="s">
        <v>#N/A N/A</v>
        <stp/>
        <stp>BDH|7316671139137824884</stp>
        <tr r="G15" s="2"/>
      </tp>
      <tp t="s">
        <v>#N/A N/A</v>
        <stp/>
        <stp>BDH|3371418186806589436</stp>
        <tr r="J52" s="2"/>
      </tp>
      <tp t="s">
        <v>#N/A N/A</v>
        <stp/>
        <stp>BDH|1177857431972331540</stp>
        <tr r="H18" s="2"/>
      </tp>
      <tp t="s">
        <v>#N/A N/A</v>
        <stp/>
        <stp>BDH|8695130224566792065</stp>
        <tr r="F23" s="2"/>
      </tp>
      <tp t="s">
        <v>#N/A N/A</v>
        <stp/>
        <stp>BDH|1574464502070291851</stp>
        <tr r="H8" s="2"/>
      </tp>
      <tp t="s">
        <v>#N/A N/A</v>
        <stp/>
        <stp>BDH|8181441086380340976</stp>
        <tr r="F30" s="2"/>
      </tp>
      <tp t="s">
        <v>#N/A N/A</v>
        <stp/>
        <stp>BDH|4498952845060741441</stp>
        <tr r="J41" s="2"/>
      </tp>
      <tp t="s">
        <v>#N/A N/A</v>
        <stp/>
        <stp>BDH|8632598542905856118</stp>
        <tr r="G34" s="2"/>
      </tp>
      <tp t="s">
        <v>#N/A N/A</v>
        <stp/>
        <stp>BDH|9696371318526123305</stp>
        <tr r="D65" s="2"/>
      </tp>
      <tp t="s">
        <v>#N/A N/A</v>
        <stp/>
        <stp>BDH|8711366679021197310</stp>
        <tr r="C16" s="2"/>
      </tp>
      <tp t="s">
        <v>#N/A N/A</v>
        <stp/>
        <stp>BDH|8608398736202480429</stp>
        <tr r="E28" s="2"/>
      </tp>
      <tp t="s">
        <v>#N/A N/A</v>
        <stp/>
        <stp>BDH|5143456613506950837</stp>
        <tr r="G69" s="2"/>
      </tp>
      <tp t="s">
        <v>#N/A N/A</v>
        <stp/>
        <stp>BDH|7646277803599993264</stp>
        <tr r="K48" s="2"/>
      </tp>
      <tp t="s">
        <v>#N/A N/A</v>
        <stp/>
        <stp>BDH|4727215408999415186</stp>
        <tr r="J34" s="2"/>
      </tp>
      <tp t="s">
        <v>#N/A N/A</v>
        <stp/>
        <stp>BDH|3773960765285294752</stp>
        <tr r="C23" s="2"/>
      </tp>
      <tp t="s">
        <v>#N/A N/A</v>
        <stp/>
        <stp>BDH|4177669780526584222</stp>
        <tr r="F33" s="2"/>
      </tp>
      <tp t="s">
        <v>#N/A N/A</v>
        <stp/>
        <stp>BDH|4615026592611149262</stp>
        <tr r="H37" s="2"/>
      </tp>
      <tp t="s">
        <v>#N/A N/A</v>
        <stp/>
        <stp>BDH|9072674446884572138</stp>
        <tr r="I35" s="2"/>
      </tp>
      <tp t="s">
        <v>#N/A N/A</v>
        <stp/>
        <stp>BDH|3354747457019442613</stp>
        <tr r="E35" s="2"/>
      </tp>
      <tp t="s">
        <v>#N/A N/A</v>
        <stp/>
        <stp>BDH|8540454468037810356</stp>
        <tr r="C60" s="2"/>
      </tp>
      <tp t="s">
        <v>#N/A N/A</v>
        <stp/>
        <stp>BDH|3867044995691720475</stp>
        <tr r="K12" s="2"/>
      </tp>
      <tp t="s">
        <v>#N/A N/A</v>
        <stp/>
        <stp>BDH|2585775591827318491</stp>
        <tr r="E48" s="2"/>
      </tp>
      <tp t="s">
        <v>#N/A N/A</v>
        <stp/>
        <stp>BDH|5181602677283985866</stp>
        <tr r="E63" s="2"/>
      </tp>
      <tp t="s">
        <v>#N/A N/A</v>
        <stp/>
        <stp>BDH|4477139291811142296</stp>
        <tr r="I7" s="2"/>
      </tp>
      <tp t="s">
        <v>#N/A N/A</v>
        <stp/>
        <stp>BDH|5383009897470393382</stp>
        <tr r="D35" s="2"/>
      </tp>
      <tp t="s">
        <v>#N/A N/A</v>
        <stp/>
        <stp>BDH|9265063676994761579</stp>
        <tr r="J40" s="2"/>
      </tp>
      <tp t="s">
        <v>#N/A N/A</v>
        <stp/>
        <stp>BDH|1856897271881537074</stp>
        <tr r="I21" s="2"/>
      </tp>
      <tp t="s">
        <v>#N/A N/A</v>
        <stp/>
        <stp>BDH|4767978662475605172</stp>
        <tr r="F37" s="2"/>
      </tp>
      <tp t="s">
        <v>#N/A N/A</v>
        <stp/>
        <stp>BDH|8112438759132019481</stp>
        <tr r="F50" s="2"/>
      </tp>
      <tp t="s">
        <v>#N/A N/A</v>
        <stp/>
        <stp>BDH|9271180299116585853</stp>
        <tr r="I10" s="2"/>
      </tp>
      <tp t="s">
        <v>#N/A N/A</v>
        <stp/>
        <stp>BDH|6644476615324463817</stp>
        <tr r="G47" s="2"/>
      </tp>
      <tp t="s">
        <v>#N/A N/A</v>
        <stp/>
        <stp>BDH|2060658691133123143</stp>
        <tr r="C18" s="2"/>
      </tp>
      <tp t="s">
        <v>#N/A N/A</v>
        <stp/>
        <stp>BDH|3268332616866535831</stp>
        <tr r="F43" s="2"/>
      </tp>
      <tp t="s">
        <v>#N/A N/A</v>
        <stp/>
        <stp>BDH|1617777793499093948</stp>
        <tr r="G22" s="2"/>
      </tp>
      <tp t="s">
        <v>#N/A N/A</v>
        <stp/>
        <stp>BDH|9026642655670558503</stp>
        <tr r="K23" s="2"/>
      </tp>
      <tp t="s">
        <v>#N/A N/A</v>
        <stp/>
        <stp>BDH|5830827604333251188</stp>
        <tr r="D7" s="2"/>
      </tp>
      <tp t="s">
        <v>#N/A N/A</v>
        <stp/>
        <stp>BDH|6496131976059115646</stp>
        <tr r="J14" s="2"/>
      </tp>
      <tp t="s">
        <v>#N/A N/A</v>
        <stp/>
        <stp>BDH|8323120087989444771</stp>
        <tr r="K26" s="2"/>
      </tp>
      <tp t="s">
        <v>#N/A N/A</v>
        <stp/>
        <stp>BDH|3661913818394627733</stp>
        <tr r="C12" s="2"/>
      </tp>
      <tp t="s">
        <v>#N/A N/A</v>
        <stp/>
        <stp>BDH|5987029790630301421</stp>
        <tr r="E41" s="2"/>
      </tp>
      <tp t="s">
        <v>#N/A N/A</v>
        <stp/>
        <stp>BDH|4103108595952600698</stp>
        <tr r="D37" s="2"/>
      </tp>
      <tp t="s">
        <v>#N/A N/A</v>
        <stp/>
        <stp>BDH|6008515284360266381</stp>
        <tr r="J33" s="2"/>
      </tp>
      <tp t="s">
        <v>#N/A N/A</v>
        <stp/>
        <stp>BDH|2236207338438042378</stp>
        <tr r="F46" s="2"/>
      </tp>
      <tp t="s">
        <v>#N/A N/A</v>
        <stp/>
        <stp>BDH|5489559271468799769</stp>
        <tr r="C46" s="2"/>
      </tp>
      <tp t="s">
        <v>#N/A N/A</v>
        <stp/>
        <stp>BDH|7267237823539233643</stp>
        <tr r="E30" s="2"/>
      </tp>
      <tp t="s">
        <v>#N/A N/A</v>
        <stp/>
        <stp>BDH|6821885535984186115</stp>
        <tr r="G60" s="2"/>
      </tp>
      <tp t="s">
        <v>#N/A N/A</v>
        <stp/>
        <stp>BDH|3607338997960703109</stp>
        <tr r="G68" s="2"/>
      </tp>
      <tp t="s">
        <v>#N/A N/A</v>
        <stp/>
        <stp>BDH|3511617417974270847</stp>
        <tr r="H65" s="2"/>
      </tp>
      <tp t="s">
        <v>#N/A N/A</v>
        <stp/>
        <stp>BDH|9723239626038848802</stp>
        <tr r="C47" s="2"/>
      </tp>
      <tp t="s">
        <v>#N/A N/A</v>
        <stp/>
        <stp>BDH|5016641095974204780</stp>
        <tr r="J50" s="2"/>
      </tp>
      <tp t="s">
        <v>#N/A N/A</v>
        <stp/>
        <stp>BDH|5133482835823011842</stp>
        <tr r="J24" s="2"/>
      </tp>
      <tp t="s">
        <v>#N/A N/A</v>
        <stp/>
        <stp>BDH|8343331667934987078</stp>
        <tr r="E26" s="2"/>
      </tp>
      <tp t="s">
        <v>#N/A N/A</v>
        <stp/>
        <stp>BDH|6205882053415414738</stp>
        <tr r="H9" s="2"/>
      </tp>
      <tp t="s">
        <v>#N/A N/A</v>
        <stp/>
        <stp>BDH|4652754903188758280</stp>
        <tr r="I69" s="2"/>
      </tp>
      <tp t="s">
        <v>#N/A N/A</v>
        <stp/>
        <stp>BDH|9066257613982710135</stp>
        <tr r="G37" s="2"/>
      </tp>
      <tp t="s">
        <v>#N/A N/A</v>
        <stp/>
        <stp>BDH|6155974677609247839</stp>
        <tr r="G12" s="2"/>
      </tp>
      <tp t="s">
        <v>#N/A N/A</v>
        <stp/>
        <stp>BDH|5762044135117405844</stp>
        <tr r="F27" s="2"/>
      </tp>
      <tp t="s">
        <v>#N/A N/A</v>
        <stp/>
        <stp>BDH|6650934876546157752</stp>
        <tr r="C28" s="2"/>
      </tp>
      <tp t="s">
        <v>#N/A N/A</v>
        <stp/>
        <stp>BDH|3466581195844084130</stp>
        <tr r="C40" s="2"/>
      </tp>
      <tp t="s">
        <v>#N/A N/A</v>
        <stp/>
        <stp>BDH|5810437072814218819</stp>
        <tr r="C69" s="2"/>
      </tp>
      <tp t="s">
        <v>#N/A N/A</v>
        <stp/>
        <stp>BDH|2504130249699372476</stp>
        <tr r="H44" s="2"/>
      </tp>
      <tp t="s">
        <v>#N/A N/A</v>
        <stp/>
        <stp>BDH|6754270379471406845</stp>
        <tr r="C52" s="2"/>
      </tp>
      <tp t="s">
        <v>#N/A N/A</v>
        <stp/>
        <stp>BDH|8206768680229848456</stp>
        <tr r="E37" s="2"/>
      </tp>
      <tp t="s">
        <v>#N/A N/A</v>
        <stp/>
        <stp>BDH|9287900148396406817</stp>
        <tr r="D36" s="2"/>
      </tp>
      <tp t="s">
        <v>#N/A N/A</v>
        <stp/>
        <stp>BDH|7235993090985685817</stp>
        <tr r="J67" s="2"/>
      </tp>
      <tp t="s">
        <v>#N/A N/A</v>
        <stp/>
        <stp>BDH|5134741387253997375</stp>
        <tr r="D48" s="2"/>
      </tp>
      <tp t="s">
        <v>#N/A N/A</v>
        <stp/>
        <stp>BDH|3561034533243883908</stp>
        <tr r="G66" s="2"/>
      </tp>
      <tp t="s">
        <v>#N/A N/A</v>
        <stp/>
        <stp>BDH|3881481922706646974</stp>
        <tr r="D50" s="2"/>
      </tp>
      <tp t="s">
        <v>#N/A N/A</v>
        <stp/>
        <stp>BDH|9407358678867822019</stp>
        <tr r="D21" s="2"/>
      </tp>
      <tp t="s">
        <v>#N/A N/A</v>
        <stp/>
        <stp>BDH|4246008182180164678</stp>
        <tr r="E15" s="2"/>
      </tp>
      <tp t="s">
        <v>#N/A N/A</v>
        <stp/>
        <stp>BDH|4692769304320036927</stp>
        <tr r="E11" s="2"/>
      </tp>
      <tp t="s">
        <v>#N/A N/A</v>
        <stp/>
        <stp>BDH|8017161537129200949</stp>
        <tr r="J42" s="2"/>
      </tp>
      <tp t="s">
        <v>#N/A N/A</v>
        <stp/>
        <stp>BDH|6767152372862674815</stp>
        <tr r="J35" s="2"/>
      </tp>
      <tp t="s">
        <v>#N/A N/A</v>
        <stp/>
        <stp>BDH|3839205013178959394</stp>
        <tr r="F48" s="2"/>
      </tp>
      <tp t="s">
        <v>#N/A N/A</v>
        <stp/>
        <stp>BDH|8891717092915792842</stp>
        <tr r="D17" s="2"/>
      </tp>
      <tp t="s">
        <v>#N/A N/A</v>
        <stp/>
        <stp>BDH|4061884934385658135</stp>
        <tr r="E16" s="2"/>
      </tp>
      <tp t="s">
        <v>#N/A N/A</v>
        <stp/>
        <stp>BDH|1128479909229470723</stp>
        <tr r="C27" s="2"/>
      </tp>
      <tp t="s">
        <v>#N/A N/A</v>
        <stp/>
        <stp>BDH|7653698265478465400</stp>
        <tr r="J62" s="2"/>
      </tp>
      <tp t="s">
        <v>#N/A N/A</v>
        <stp/>
        <stp>BDH|6070610986711131296</stp>
        <tr r="D34" s="2"/>
      </tp>
      <tp t="s">
        <v>#N/A N/A</v>
        <stp/>
        <stp>BDH|9365769065151849240</stp>
        <tr r="G45" s="2"/>
      </tp>
      <tp t="s">
        <v>#N/A N/A</v>
        <stp/>
        <stp>BDH|4480354597984988132</stp>
        <tr r="E50" s="2"/>
      </tp>
      <tp t="s">
        <v>#N/A N/A</v>
        <stp/>
        <stp>BDH|6861879450346332600</stp>
        <tr r="K52" s="2"/>
      </tp>
      <tp t="s">
        <v>#N/A N/A</v>
        <stp/>
        <stp>BDH|3071412075103020898</stp>
        <tr r="F47" s="2"/>
      </tp>
      <tp t="s">
        <v>#N/A N/A</v>
        <stp/>
        <stp>BDH|7742124573182369866</stp>
        <tr r="I40" s="2"/>
      </tp>
      <tp t="s">
        <v>#N/A N/A</v>
        <stp/>
        <stp>BDH|7456913070495112774</stp>
        <tr r="J30" s="2"/>
      </tp>
      <tp t="s">
        <v>#N/A N/A</v>
        <stp/>
        <stp>BDH|4900029897957480183</stp>
        <tr r="J32" s="2"/>
      </tp>
      <tp t="s">
        <v>#N/A N/A</v>
        <stp/>
        <stp>BDH|9774628848861977152</stp>
        <tr r="F12" s="2"/>
      </tp>
      <tp t="s">
        <v>#N/A N/A</v>
        <stp/>
        <stp>BDH|8723252132453775103</stp>
        <tr r="F44" s="2"/>
      </tp>
      <tp t="s">
        <v>#N/A N/A</v>
        <stp/>
        <stp>BDH|7504305791480009633</stp>
        <tr r="I28" s="2"/>
      </tp>
      <tp t="s">
        <v>#N/A N/A</v>
        <stp/>
        <stp>BDH|5068606413325921314</stp>
        <tr r="I52" s="2"/>
      </tp>
      <tp t="s">
        <v>#N/A N/A</v>
        <stp/>
        <stp>BDH|5209418018011652563</stp>
        <tr r="I15" s="2"/>
      </tp>
      <tp t="s">
        <v>#N/A N/A</v>
        <stp/>
        <stp>BDH|7259603947931587091</stp>
        <tr r="I25" s="2"/>
      </tp>
      <tp t="s">
        <v>#N/A N/A</v>
        <stp/>
        <stp>BDH|1804736693923384853</stp>
        <tr r="G50" s="2"/>
      </tp>
      <tp t="s">
        <v>#N/A N/A</v>
        <stp/>
        <stp>BDH|9158677757447860979</stp>
        <tr r="I54" s="2"/>
      </tp>
      <tp t="s">
        <v>#N/A N/A</v>
        <stp/>
        <stp>BDH|9752834819900162422</stp>
        <tr r="K42" s="2"/>
      </tp>
      <tp t="s">
        <v>#N/A N/A</v>
        <stp/>
        <stp>BDH|6931169532496505661</stp>
        <tr r="D10" s="2"/>
      </tp>
      <tp t="s">
        <v>#N/A N/A</v>
        <stp/>
        <stp>BDH|2063219097485144888</stp>
        <tr r="K57" s="2"/>
      </tp>
      <tp t="s">
        <v>#N/A N/A</v>
        <stp/>
        <stp>BDH|7639488264716439725</stp>
        <tr r="H28" s="2"/>
      </tp>
      <tp t="s">
        <v>#N/A N/A</v>
        <stp/>
        <stp>BDH|1643677739955069558</stp>
        <tr r="C48" s="2"/>
      </tp>
      <tp t="s">
        <v>#N/A N/A</v>
        <stp/>
        <stp>BDH|4905889987560405009</stp>
        <tr r="H31" s="2"/>
      </tp>
      <tp t="s">
        <v>#N/A N/A</v>
        <stp/>
        <stp>BDH|6589736017532663649</stp>
        <tr r="E13" s="2"/>
      </tp>
      <tp t="s">
        <v>#N/A N/A</v>
        <stp/>
        <stp>BDH|2064000120116922293</stp>
        <tr r="G56" s="2"/>
      </tp>
      <tp t="s">
        <v>#N/A N/A</v>
        <stp/>
        <stp>BDH|8445919650382342272</stp>
        <tr r="J36" s="2"/>
      </tp>
      <tp t="s">
        <v>#N/A N/A</v>
        <stp/>
        <stp>BDH|2972796956621726560</stp>
        <tr r="K49" s="2"/>
      </tp>
      <tp t="s">
        <v>#N/A N/A</v>
        <stp/>
        <stp>BDH|6277629737263330407</stp>
        <tr r="G67" s="2"/>
      </tp>
      <tp t="s">
        <v>#N/A N/A</v>
        <stp/>
        <stp>BDH|1039191117120380593</stp>
        <tr r="H13" s="2"/>
      </tp>
      <tp t="s">
        <v>#N/A N/A</v>
        <stp/>
        <stp>BDH|28370416958308339</stp>
        <tr r="J46" s="2"/>
      </tp>
      <tp t="s">
        <v>#N/A N/A</v>
        <stp/>
        <stp>BDH|6201098760473609677</stp>
        <tr r="I45" s="2"/>
      </tp>
      <tp t="s">
        <v>#N/A N/A</v>
        <stp/>
        <stp>BDH|4891005731286353429</stp>
        <tr r="H17" s="2"/>
      </tp>
      <tp t="s">
        <v>#N/A N/A</v>
        <stp/>
        <stp>BDH|5028854514761964801</stp>
        <tr r="K46" s="2"/>
      </tp>
      <tp t="s">
        <v>#N/A N/A</v>
        <stp/>
        <stp>BDH|7872763460792291154</stp>
        <tr r="K36" s="2"/>
      </tp>
      <tp t="s">
        <v>#N/A N/A</v>
        <stp/>
        <stp>BDH|2977964439279820401</stp>
        <tr r="J18" s="2"/>
      </tp>
      <tp t="s">
        <v>#N/A N/A</v>
        <stp/>
        <stp>BDH|5054356021426384793</stp>
        <tr r="J25" s="2"/>
      </tp>
      <tp t="s">
        <v>#N/A N/A</v>
        <stp/>
        <stp>BDH|4412749536441583429</stp>
        <tr r="G23" s="2"/>
      </tp>
      <tp t="s">
        <v>#N/A N/A</v>
        <stp/>
        <stp>BDH|6546424720755229028</stp>
        <tr r="H11" s="2"/>
      </tp>
      <tp t="s">
        <v>#N/A N/A</v>
        <stp/>
        <stp>BDH|8474123436439672637</stp>
        <tr r="F57" s="2"/>
      </tp>
      <tp t="s">
        <v>#N/A N/A</v>
        <stp/>
        <stp>BDH|9829050789280383425</stp>
        <tr r="E49" s="2"/>
      </tp>
      <tp t="s">
        <v>#N/A N/A</v>
        <stp/>
        <stp>BDH|2357461210651560093</stp>
        <tr r="I62" s="2"/>
      </tp>
      <tp t="s">
        <v>#N/A N/A</v>
        <stp/>
        <stp>BDH|6986314212882601026</stp>
        <tr r="J8" s="2"/>
      </tp>
      <tp t="s">
        <v>#N/A N/A</v>
        <stp/>
        <stp>BDH|5457092725511100075</stp>
        <tr r="F24" s="2"/>
      </tp>
      <tp t="s">
        <v>#N/A N/A</v>
        <stp/>
        <stp>BDH|9513138469971440947</stp>
        <tr r="G16" s="2"/>
      </tp>
      <tp t="s">
        <v>#N/A N/A</v>
        <stp/>
        <stp>BDH|7064199450060765528</stp>
        <tr r="E7" s="2"/>
      </tp>
      <tp t="s">
        <v>#N/A N/A</v>
        <stp/>
        <stp>BDH|6280220145077120186</stp>
        <tr r="I22" s="2"/>
      </tp>
      <tp t="s">
        <v>#N/A N/A</v>
        <stp/>
        <stp>BDH|2641441204630904027</stp>
        <tr r="I66" s="2"/>
      </tp>
      <tp t="s">
        <v>#N/A N/A</v>
        <stp/>
        <stp>BDH|5496755353993866274</stp>
        <tr r="F26" s="2"/>
      </tp>
      <tp t="s">
        <v>#N/A N/A</v>
        <stp/>
        <stp>BDH|2872483263255257313</stp>
        <tr r="K67" s="2"/>
      </tp>
      <tp t="s">
        <v>#N/A N/A</v>
        <stp/>
        <stp>BDH|4271754820957207049</stp>
        <tr r="E46" s="2"/>
      </tp>
      <tp t="s">
        <v>#N/A N/A</v>
        <stp/>
        <stp>BDH|1570142732336008322</stp>
        <tr r="E47" s="2"/>
      </tp>
      <tp t="s">
        <v>#N/A N/A</v>
        <stp/>
        <stp>BDH|3466379338141523480</stp>
        <tr r="E12" s="2"/>
      </tp>
      <tp t="s">
        <v>#N/A N/A</v>
        <stp/>
        <stp>BDH|9423936357233145064</stp>
        <tr r="D44" s="2"/>
      </tp>
      <tp t="s">
        <v>#N/A N/A</v>
        <stp/>
        <stp>BDH|2632329765044096542</stp>
        <tr r="I32" s="2"/>
      </tp>
      <tp t="s">
        <v>#N/A N/A</v>
        <stp/>
        <stp>BDH|2543305623730836449</stp>
        <tr r="D69" s="2"/>
      </tp>
      <tp t="s">
        <v>#N/A N/A</v>
        <stp/>
        <stp>BDH|9815010068480104880</stp>
        <tr r="I68" s="2"/>
      </tp>
      <tp t="s">
        <v>#N/A N/A</v>
        <stp/>
        <stp>BDH|6280920815549406099</stp>
        <tr r="J13" s="2"/>
      </tp>
      <tp t="s">
        <v>#N/A N/A</v>
        <stp/>
        <stp>BDH|7082526354375872573</stp>
        <tr r="G33" s="2"/>
      </tp>
      <tp t="s">
        <v>#N/A N/A</v>
        <stp/>
        <stp>BDH|1220485831266235767</stp>
        <tr r="I63" s="2"/>
      </tp>
      <tp t="s">
        <v>#N/A N/A</v>
        <stp/>
        <stp>BDH|8862770112739163035</stp>
        <tr r="E62" s="2"/>
      </tp>
      <tp t="s">
        <v>#N/A N/A</v>
        <stp/>
        <stp>BDH|4947108580698435219</stp>
        <tr r="C57" s="2"/>
      </tp>
      <tp t="s">
        <v>#N/A N/A</v>
        <stp/>
        <stp>BDH|9655684649964187853</stp>
        <tr r="E25" s="2"/>
      </tp>
      <tp t="s">
        <v>#N/A N/A</v>
        <stp/>
        <stp>BDH|7710534546541897091</stp>
        <tr r="K25" s="2"/>
      </tp>
      <tp t="s">
        <v>#N/A N/A</v>
        <stp/>
        <stp>BDH|9511496120901894942</stp>
        <tr r="I12" s="2"/>
      </tp>
      <tp t="s">
        <v>#N/A N/A</v>
        <stp/>
        <stp>BDH|6459371743615435348</stp>
        <tr r="D66" s="2"/>
      </tp>
      <tp t="s">
        <v>#N/A N/A</v>
        <stp/>
        <stp>BDH|1933376258308971893</stp>
        <tr r="C7" s="2"/>
      </tp>
      <tp t="s">
        <v>#N/A N/A</v>
        <stp/>
        <stp>BDH|2096344238353121695</stp>
        <tr r="H26" s="2"/>
      </tp>
      <tp t="s">
        <v>#N/A N/A</v>
        <stp/>
        <stp>BDH|7621232754776286172</stp>
        <tr r="K14" s="2"/>
      </tp>
      <tp t="s">
        <v>#N/A N/A</v>
        <stp/>
        <stp>BDH|3302874193106061321</stp>
        <tr r="F45" s="2"/>
      </tp>
      <tp t="s">
        <v>#N/A N/A</v>
        <stp/>
        <stp>BDH|1924882681931570705</stp>
        <tr r="C24" s="2"/>
      </tp>
      <tp t="s">
        <v>#N/A N/A</v>
        <stp/>
        <stp>BDH|6888774203511652019</stp>
        <tr r="I37" s="2"/>
      </tp>
      <tp t="s">
        <v>#N/A N/A</v>
        <stp/>
        <stp>BDH|5542645373667924308</stp>
        <tr r="F21" s="2"/>
      </tp>
      <tp t="s">
        <v>#N/A N/A</v>
        <stp/>
        <stp>BDH|5715691685939449276</stp>
        <tr r="G48" s="2"/>
      </tp>
      <tp t="s">
        <v>#N/A N/A</v>
        <stp/>
        <stp>BDH|2938023227024726455</stp>
        <tr r="C34" s="2"/>
      </tp>
      <tp t="s">
        <v>#N/A N/A</v>
        <stp/>
        <stp>BDH|2583624332421819621</stp>
        <tr r="I34" s="2"/>
      </tp>
      <tp t="s">
        <v>#N/A N/A</v>
        <stp/>
        <stp>BDH|6442588541912334526</stp>
        <tr r="J47" s="2"/>
      </tp>
      <tp t="s">
        <v>#N/A N/A</v>
        <stp/>
        <stp>BDH|1324589313147545214</stp>
        <tr r="G41" s="2"/>
      </tp>
      <tp t="s">
        <v>#N/A N/A</v>
        <stp/>
        <stp>BDH|3028504971725224403</stp>
        <tr r="I11" s="2"/>
      </tp>
      <tp t="s">
        <v>#N/A N/A</v>
        <stp/>
        <stp>BDH|3926845058389011740</stp>
        <tr r="H10" s="2"/>
      </tp>
      <tp t="s">
        <v>#N/A N/A</v>
        <stp/>
        <stp>BDH|5042871367413889895</stp>
        <tr r="D52" s="2"/>
      </tp>
      <tp t="s">
        <v>#N/A N/A</v>
        <stp/>
        <stp>BDH|4213667058214358394</stp>
        <tr r="D24" s="2"/>
      </tp>
      <tp t="s">
        <v>#N/A N/A</v>
        <stp/>
        <stp>BDH|3585633948358942915</stp>
        <tr r="K15" s="2"/>
      </tp>
      <tp t="s">
        <v>#N/A N/A</v>
        <stp/>
        <stp>BDH|1003181404669399993</stp>
        <tr r="K64" s="2"/>
      </tp>
      <tp t="s">
        <v>#N/A N/A</v>
        <stp/>
        <stp>BDH|3316713760853180142</stp>
        <tr r="K61" s="2"/>
      </tp>
      <tp t="s">
        <v>#N/A N/A</v>
        <stp/>
        <stp>BDH|6836641825422898043</stp>
        <tr r="I50" s="2"/>
      </tp>
      <tp t="s">
        <v>#N/A N/A</v>
        <stp/>
        <stp>BDH|5676291901313778516</stp>
        <tr r="F15" s="2"/>
      </tp>
      <tp t="s">
        <v>#N/A N/A</v>
        <stp/>
        <stp>BDH|5818570208049918808</stp>
        <tr r="G18" s="2"/>
      </tp>
      <tp t="s">
        <v>#N/A N/A</v>
        <stp/>
        <stp>BDH|5866888052178818168</stp>
        <tr r="J26" s="2"/>
      </tp>
      <tp t="s">
        <v>#N/A N/A</v>
        <stp/>
        <stp>BDH|8833846861971545653</stp>
        <tr r="E18" s="2"/>
      </tp>
      <tp t="s">
        <v>#N/A N/A</v>
        <stp/>
        <stp>BDH|5168739943902628556</stp>
        <tr r="H63" s="2"/>
      </tp>
      <tp t="s">
        <v>#N/A N/A</v>
        <stp/>
        <stp>BDH|5382707419556997416</stp>
        <tr r="J61" s="2"/>
      </tp>
      <tp t="s">
        <v>#N/A N/A</v>
        <stp/>
        <stp>BDH|5575753501894195737</stp>
        <tr r="E52" s="2"/>
      </tp>
      <tp t="s">
        <v>#N/A N/A</v>
        <stp/>
        <stp>BDH|3783927659357683999</stp>
        <tr r="H14" s="2"/>
      </tp>
      <tp t="s">
        <v>#N/A N/A</v>
        <stp/>
        <stp>BDH|3426875547467524910</stp>
        <tr r="J56" s="2"/>
      </tp>
      <tp t="s">
        <v>#N/A N/A</v>
        <stp/>
        <stp>BDH|8335966770684511357</stp>
        <tr r="G24" s="2"/>
      </tp>
      <tp t="s">
        <v>#N/A N/A</v>
        <stp/>
        <stp>BDH|5660368949540992354</stp>
        <tr r="F17" s="2"/>
      </tp>
      <tp t="s">
        <v>#N/A N/A</v>
        <stp/>
        <stp>BDH|9342960457042714609</stp>
        <tr r="C50" s="2"/>
      </tp>
      <tp t="s">
        <v>#N/A N/A</v>
        <stp/>
        <stp>BDH|2471618698166479932</stp>
        <tr r="C66" s="2"/>
      </tp>
      <tp t="s">
        <v>#N/A N/A</v>
        <stp/>
        <stp>BDH|5994430700563442061</stp>
        <tr r="I60" s="2"/>
      </tp>
      <tp t="s">
        <v>#N/A N/A</v>
        <stp/>
        <stp>BDH|2508929918531280945</stp>
        <tr r="F25" s="2"/>
      </tp>
      <tp t="s">
        <v>#N/A N/A</v>
        <stp/>
        <stp>BDH|2567504307206285396</stp>
        <tr r="G63" s="2"/>
      </tp>
      <tp t="s">
        <v>#N/A N/A</v>
        <stp/>
        <stp>BDH|6053261261735897502</stp>
        <tr r="G54" s="2"/>
      </tp>
      <tp t="s">
        <v>#N/A N/A</v>
        <stp/>
        <stp>BDH|6720319278271978185</stp>
        <tr r="D11" s="2"/>
      </tp>
      <tp t="s">
        <v>#N/A N/A</v>
        <stp/>
        <stp>BDH|4860250986865284968</stp>
        <tr r="D57" s="2"/>
      </tp>
      <tp t="s">
        <v>#N/A N/A</v>
        <stp/>
        <stp>BDH|6086029539555641212</stp>
        <tr r="H34" s="2"/>
      </tp>
      <tp t="s">
        <v>#N/A N/A</v>
        <stp/>
        <stp>BDH|5921999139649301467</stp>
        <tr r="I17" s="2"/>
      </tp>
      <tp t="s">
        <v>#N/A N/A</v>
        <stp/>
        <stp>BDH|5794019477270025013</stp>
        <tr r="K54" s="2"/>
      </tp>
      <tp t="s">
        <v>#N/A N/A</v>
        <stp/>
        <stp>BDH|6366820722636530867</stp>
        <tr r="H29" s="2"/>
      </tp>
      <tp t="s">
        <v>#N/A N/A</v>
        <stp/>
        <stp>BDH|3007250712906214448</stp>
        <tr r="H35" s="2"/>
      </tp>
      <tp t="s">
        <v>#N/A N/A</v>
        <stp/>
        <stp>BDH|4667785104435206492</stp>
        <tr r="J21" s="2"/>
      </tp>
      <tp t="s">
        <v>#N/A N/A</v>
        <stp/>
        <stp>BDH|2551161554491365530</stp>
        <tr r="D13" s="2"/>
      </tp>
      <tp t="s">
        <v>#N/A N/A</v>
        <stp/>
        <stp>BDH|2520829020399946397</stp>
        <tr r="C65" s="2"/>
      </tp>
      <tp t="s">
        <v>#N/A N/A</v>
        <stp/>
        <stp>BDH|9695210734288606218</stp>
        <tr r="D30" s="2"/>
      </tp>
      <tp t="s">
        <v>#N/A N/A</v>
        <stp/>
        <stp>BDH|8759897709515176726</stp>
        <tr r="F69" s="2"/>
      </tp>
      <tp t="s">
        <v>#N/A N/A</v>
        <stp/>
        <stp>BDH|8293417376829712189</stp>
        <tr r="E66" s="2"/>
      </tp>
      <tp t="s">
        <v>#N/A N/A</v>
        <stp/>
        <stp>BDH|2491958999630539162</stp>
        <tr r="C45" s="2"/>
      </tp>
      <tp t="s">
        <v>#N/A N/A</v>
        <stp/>
        <stp>BDH|4478305306835385191</stp>
        <tr r="E45" s="2"/>
      </tp>
      <tp t="s">
        <v>#N/A N/A</v>
        <stp/>
        <stp>BDH|6896416093821775941</stp>
        <tr r="G28" s="2"/>
      </tp>
      <tp t="s">
        <v>#N/A N/A</v>
        <stp/>
        <stp>BDH|2642674836612796699</stp>
        <tr r="I42" s="2"/>
      </tp>
      <tp t="s">
        <v>#N/A N/A</v>
        <stp/>
        <stp>BDH|5221263924657729194</stp>
        <tr r="D43" s="2"/>
      </tp>
      <tp t="s">
        <v>#N/A N/A</v>
        <stp/>
        <stp>BDH|7361249556215929671</stp>
        <tr r="H64" s="2"/>
      </tp>
      <tp t="s">
        <v>#N/A N/A</v>
        <stp/>
        <stp>BDH|5030095493957398850</stp>
        <tr r="D16" s="2"/>
      </tp>
      <tp t="s">
        <v>#N/A N/A</v>
        <stp/>
        <stp>BDH|5557292400921072510</stp>
        <tr r="E32" s="2"/>
      </tp>
      <tp t="s">
        <v>#N/A N/A</v>
        <stp/>
        <stp>BDH|7464445916040424102</stp>
        <tr r="G46" s="2"/>
      </tp>
      <tp t="s">
        <v>#N/A N/A</v>
        <stp/>
        <stp>BDH|7256031910692533772</stp>
        <tr r="D63" s="2"/>
      </tp>
      <tp t="s">
        <v>#N/A N/A</v>
        <stp/>
        <stp>BDH|6272154373771574227</stp>
        <tr r="E29" s="2"/>
      </tp>
      <tp t="s">
        <v>#N/A N/A</v>
        <stp/>
        <stp>BDH|7898708700921874236</stp>
        <tr r="F64" s="2"/>
      </tp>
      <tp t="s">
        <v>#N/A N/A</v>
        <stp/>
        <stp>BDH|5136717717453136364</stp>
        <tr r="J57" s="2"/>
      </tp>
      <tp t="s">
        <v>#N/A N/A</v>
        <stp/>
        <stp>BDH|3882143983681984879</stp>
        <tr r="C26" s="2"/>
      </tp>
      <tp t="s">
        <v>#N/A N/A</v>
        <stp/>
        <stp>BDH|3782059318063850242</stp>
        <tr r="G35" s="2"/>
      </tp>
      <tp t="s">
        <v>#N/A N/A</v>
        <stp/>
        <stp>BDH|2742398203585911718</stp>
        <tr r="G44" s="2"/>
      </tp>
      <tp t="s">
        <v>#N/A N/A</v>
        <stp/>
        <stp>BDH|3309193869250182775</stp>
        <tr r="F60" s="2"/>
      </tp>
      <tp t="s">
        <v>#N/A N/A</v>
        <stp/>
        <stp>BDH|114323211737762011</stp>
        <tr r="H62" s="2"/>
      </tp>
      <tp t="s">
        <v>#N/A N/A</v>
        <stp/>
        <stp>BDH|814913832169408711</stp>
        <tr r="C41" s="2"/>
      </tp>
      <tp t="s">
        <v>#N/A N/A</v>
        <stp/>
        <stp>BDH|675820237537579832</stp>
        <tr r="I47" s="2"/>
      </tp>
      <tp t="s">
        <v>#N/A N/A</v>
        <stp/>
        <stp>BDH|860209737521039767</stp>
        <tr r="H7" s="2"/>
      </tp>
      <tp t="s">
        <v>#N/A N/A</v>
        <stp/>
        <stp>BDH|696410252487762097</stp>
        <tr r="D41" s="2"/>
      </tp>
      <tp t="s">
        <v>#N/A N/A</v>
        <stp/>
        <stp>BDH|983522839856269652</stp>
        <tr r="F32" s="2"/>
      </tp>
      <tp t="s">
        <v>#N/A N/A</v>
        <stp/>
        <stp>BDH|142608808557385781</stp>
        <tr r="G14" s="2"/>
      </tp>
      <tp t="s">
        <v>#N/A N/A</v>
        <stp/>
        <stp>BDH|186043804919015895</stp>
        <tr r="K30" s="2"/>
      </tp>
      <tp t="s">
        <v>#N/A N/A</v>
        <stp/>
        <stp>BDH|911060451821752443</stp>
        <tr r="H56" s="2"/>
      </tp>
      <tp t="s">
        <v>#N/A N/A</v>
        <stp/>
        <stp>BDH|545433688228063418</stp>
        <tr r="G49" s="2"/>
      </tp>
      <tp t="s">
        <v>#N/A N/A</v>
        <stp/>
        <stp>BDH|114246449776301048</stp>
        <tr r="G11" s="2"/>
      </tp>
      <tp t="s">
        <v>#N/A N/A</v>
        <stp/>
        <stp>BDH|867509199097561817</stp>
        <tr r="K63" s="2"/>
      </tp>
      <tp t="s">
        <v>#N/A N/A</v>
        <stp/>
        <stp>BDH|148519731635417117</stp>
        <tr r="D8" s="2"/>
      </tp>
      <tp t="s">
        <v>#N/A N/A</v>
        <stp/>
        <stp>BDH|100146744341262648</stp>
        <tr r="C64" s="2"/>
      </tp>
      <tp t="s">
        <v>#N/A N/A</v>
        <stp/>
        <stp>BDH|490505786789405959</stp>
        <tr r="E56" s="2"/>
      </tp>
      <tp t="s">
        <v>#N/A N/A</v>
        <stp/>
        <stp>BDH|984061891157125250</stp>
        <tr r="G32" s="2"/>
      </tp>
      <tp t="s">
        <v>#N/A N/A</v>
        <stp/>
        <stp>BDH|294000140080297836</stp>
        <tr r="J63" s="2"/>
      </tp>
      <tp t="s">
        <v>#N/A N/A</v>
        <stp/>
        <stp>BDH|133107674981097887</stp>
        <tr r="F28" s="2"/>
      </tp>
      <tp t="s">
        <v>#N/A N/A</v>
        <stp/>
        <stp>BDH|918418566768304596</stp>
        <tr r="H22" s="2"/>
      </tp>
      <tp t="s">
        <v>#N/A N/A</v>
        <stp/>
        <stp>BDH|682715112040097841</stp>
        <tr r="G8" s="2"/>
      </tp>
      <tp t="s">
        <v>#N/A N/A</v>
        <stp/>
        <stp>BDH|471386081037527571</stp>
        <tr r="E17" s="2"/>
      </tp>
      <tp t="s">
        <v>#N/A N/A</v>
        <stp/>
        <stp>BDH|610200526948539167</stp>
        <tr r="H43" s="2"/>
      </tp>
      <tp t="s">
        <v>#N/A N/A</v>
        <stp/>
        <stp>BDH|550407283507231091</stp>
        <tr r="H46" s="2"/>
      </tp>
      <tp t="s">
        <v>#N/A N/A</v>
        <stp/>
        <stp>BDH|447754587337742322</stp>
        <tr r="J64" s="2"/>
      </tp>
      <tp t="s">
        <v>#N/A N/A</v>
        <stp/>
        <stp>BDH|901245530119687262</stp>
        <tr r="D14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/>
  </sheetViews>
  <sheetFormatPr defaultRowHeight="14.25" x14ac:dyDescent="0.45"/>
  <cols>
    <col min="1" max="1" width="35.19921875" customWidth="1"/>
    <col min="2" max="2" width="0" hidden="1" customWidth="1"/>
    <col min="3" max="12" width="11.796875" customWidth="1"/>
  </cols>
  <sheetData>
    <row r="1" spans="1:12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65" x14ac:dyDescent="0.45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45">
      <c r="A4" s="3" t="s">
        <v>3</v>
      </c>
      <c r="B4" s="3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</row>
    <row r="5" spans="1:12" x14ac:dyDescent="0.4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</row>
    <row r="6" spans="1:12" x14ac:dyDescent="0.45">
      <c r="A6" s="6" t="s">
        <v>25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8"/>
    </row>
    <row r="7" spans="1:12" x14ac:dyDescent="0.45">
      <c r="A7" s="10" t="s">
        <v>26</v>
      </c>
      <c r="B7" s="10" t="s">
        <v>27</v>
      </c>
      <c r="C7" s="12">
        <f>_xll.BDH("MCHP US Equity","CF_NET_INC","FY 2012","FY 2012","Currency=USD","Period=FY","BEST_FPERIOD_OVERRIDE=FY","FILING_STATUS=MR","SCALING_FORMAT=MLN","Sort=A","Dates=H","DateFormat=P","Fill=—","Direction=H","UseDPDF=Y")</f>
        <v>336.70499999999998</v>
      </c>
      <c r="D7" s="12">
        <f>_xll.BDH("MCHP US Equity","CF_NET_INC","FY 2013","FY 2013","Currency=USD","Period=FY","BEST_FPERIOD_OVERRIDE=FY","FILING_STATUS=MR","SCALING_FORMAT=MLN","Sort=A","Dates=H","DateFormat=P","Fill=—","Direction=H","UseDPDF=Y")</f>
        <v>127.389</v>
      </c>
      <c r="E7" s="12">
        <f>_xll.BDH("MCHP US Equity","CF_NET_INC","FY 2014","FY 2014","Currency=USD","Period=FY","BEST_FPERIOD_OVERRIDE=FY","FILING_STATUS=MR","SCALING_FORMAT=MLN","Sort=A","Dates=H","DateFormat=P","Fill=—","Direction=H","UseDPDF=Y")</f>
        <v>395.28100000000001</v>
      </c>
      <c r="F7" s="12">
        <f>_xll.BDH("MCHP US Equity","CF_NET_INC","FY 2015","FY 2015","Currency=USD","Period=FY","BEST_FPERIOD_OVERRIDE=FY","FILING_STATUS=MR","SCALING_FORMAT=MLN","Sort=A","Dates=H","DateFormat=P","Fill=—","Direction=H","UseDPDF=Y")</f>
        <v>369.00900000000001</v>
      </c>
      <c r="G7" s="12">
        <f>_xll.BDH("MCHP US Equity","CF_NET_INC","FY 2016","FY 2016","Currency=USD","Period=FY","BEST_FPERIOD_OVERRIDE=FY","FILING_STATUS=MR","SCALING_FORMAT=MLN","Sort=A","Dates=H","DateFormat=P","Fill=—","Direction=H","UseDPDF=Y")</f>
        <v>324.10000000000002</v>
      </c>
      <c r="H7" s="12">
        <f>_xll.BDH("MCHP US Equity","CF_NET_INC","FY 2017","FY 2017","Currency=USD","Period=FY","BEST_FPERIOD_OVERRIDE=FY","FILING_STATUS=MR","SCALING_FORMAT=MLN","Sort=A","Dates=H","DateFormat=P","Fill=—","Direction=H","UseDPDF=Y")</f>
        <v>164.6</v>
      </c>
      <c r="I7" s="12">
        <f>_xll.BDH("MCHP US Equity","CF_NET_INC","FY 2018","FY 2018","Currency=USD","Period=FY","BEST_FPERIOD_OVERRIDE=FY","FILING_STATUS=MR","SCALING_FORMAT=MLN","Sort=A","Dates=H","DateFormat=P","Fill=—","Direction=H","UseDPDF=Y")</f>
        <v>255.4</v>
      </c>
      <c r="J7" s="12">
        <f>_xll.BDH("MCHP US Equity","CF_NET_INC","FY 2019","FY 2019","Currency=USD","Period=FY","BEST_FPERIOD_OVERRIDE=FY","FILING_STATUS=MR","SCALING_FORMAT=MLN","Sort=A","Dates=H","DateFormat=P","Fill=—","Direction=H","UseDPDF=Y")</f>
        <v>355.9</v>
      </c>
      <c r="K7" s="12">
        <f>_xll.BDH("MCHP US Equity","CF_NET_INC","FY 2020","FY 2020","Currency=USD","Period=FY","BEST_FPERIOD_OVERRIDE=FY","FILING_STATUS=MR","SCALING_FORMAT=MLN","Sort=A","Dates=H","DateFormat=P","Fill=—","Direction=H","UseDPDF=Y")</f>
        <v>570.6</v>
      </c>
      <c r="L7" s="14">
        <v>608.20000000000005</v>
      </c>
    </row>
    <row r="8" spans="1:12" x14ac:dyDescent="0.45">
      <c r="A8" s="10" t="s">
        <v>28</v>
      </c>
      <c r="B8" s="10" t="s">
        <v>29</v>
      </c>
      <c r="C8" s="12">
        <f>_xll.BDH("MCHP US Equity","CF_DEPR_AMORT","FY 2012","FY 2012","Currency=USD","Period=FY","BEST_FPERIOD_OVERRIDE=FY","FILING_STATUS=MR","SCALING_FORMAT=MLN","Sort=A","Dates=H","DateFormat=P","Fill=—","Direction=H","UseDPDF=Y")</f>
        <v>99.424000000000007</v>
      </c>
      <c r="D8" s="12">
        <f>_xll.BDH("MCHP US Equity","CF_DEPR_AMORT","FY 2013","FY 2013","Currency=USD","Period=FY","BEST_FPERIOD_OVERRIDE=FY","FILING_STATUS=MR","SCALING_FORMAT=MLN","Sort=A","Dates=H","DateFormat=P","Fill=—","Direction=H","UseDPDF=Y")</f>
        <v>204.09700000000001</v>
      </c>
      <c r="E8" s="12">
        <f>_xll.BDH("MCHP US Equity","CF_DEPR_AMORT","FY 2014","FY 2014","Currency=USD","Period=FY","BEST_FPERIOD_OVERRIDE=FY","FILING_STATUS=MR","SCALING_FORMAT=MLN","Sort=A","Dates=H","DateFormat=P","Fill=—","Direction=H","UseDPDF=Y")</f>
        <v>189.13900000000001</v>
      </c>
      <c r="F8" s="12">
        <f>_xll.BDH("MCHP US Equity","CF_DEPR_AMORT","FY 2015","FY 2015","Currency=USD","Period=FY","BEST_FPERIOD_OVERRIDE=FY","FILING_STATUS=MR","SCALING_FORMAT=MLN","Sort=A","Dates=H","DateFormat=P","Fill=—","Direction=H","UseDPDF=Y")</f>
        <v>278.298</v>
      </c>
      <c r="G8" s="12">
        <f>_xll.BDH("MCHP US Equity","CF_DEPR_AMORT","FY 2016","FY 2016","Currency=USD","Period=FY","BEST_FPERIOD_OVERRIDE=FY","FILING_STATUS=MR","SCALING_FORMAT=MLN","Sort=A","Dates=H","DateFormat=P","Fill=—","Direction=H","UseDPDF=Y")</f>
        <v>283.2</v>
      </c>
      <c r="H8" s="12">
        <f>_xll.BDH("MCHP US Equity","CF_DEPR_AMORT","FY 2017","FY 2017","Currency=USD","Period=FY","BEST_FPERIOD_OVERRIDE=FY","FILING_STATUS=MR","SCALING_FORMAT=MLN","Sort=A","Dates=H","DateFormat=P","Fill=—","Direction=H","UseDPDF=Y")</f>
        <v>469.2</v>
      </c>
      <c r="I8" s="12">
        <f>_xll.BDH("MCHP US Equity","CF_DEPR_AMORT","FY 2018","FY 2018","Currency=USD","Period=FY","BEST_FPERIOD_OVERRIDE=FY","FILING_STATUS=MR","SCALING_FORMAT=MLN","Sort=A","Dates=H","DateFormat=P","Fill=—","Direction=H","UseDPDF=Y")</f>
        <v>615.9</v>
      </c>
      <c r="J8" s="12">
        <f>_xll.BDH("MCHP US Equity","CF_DEPR_AMORT","FY 2019","FY 2019","Currency=USD","Period=FY","BEST_FPERIOD_OVERRIDE=FY","FILING_STATUS=MR","SCALING_FORMAT=MLN","Sort=A","Dates=H","DateFormat=P","Fill=—","Direction=H","UseDPDF=Y")</f>
        <v>876.4</v>
      </c>
      <c r="K8" s="12">
        <f>_xll.BDH("MCHP US Equity","CF_DEPR_AMORT","FY 2020","FY 2020","Currency=USD","Period=FY","BEST_FPERIOD_OVERRIDE=FY","FILING_STATUS=MR","SCALING_FORMAT=MLN","Sort=A","Dates=H","DateFormat=P","Fill=—","Direction=H","UseDPDF=Y")</f>
        <v>1215.5999999999999</v>
      </c>
      <c r="L8" s="14">
        <v>1189.5</v>
      </c>
    </row>
    <row r="9" spans="1:12" x14ac:dyDescent="0.45">
      <c r="A9" s="10" t="s">
        <v>30</v>
      </c>
      <c r="B9" s="10" t="s">
        <v>31</v>
      </c>
      <c r="C9" s="12">
        <f>_xll.BDH("MCHP US Equity","NON_CASH_ITEMS_DETAILED","FY 2012","FY 2012","Currency=USD","Period=FY","BEST_FPERIOD_OVERRIDE=FY","FILING_STATUS=MR","SCALING_FORMAT=MLN","Sort=A","Dates=H","DateFormat=P","Fill=—","Direction=H","UseDPDF=Y")</f>
        <v>92.034000000000006</v>
      </c>
      <c r="D9" s="12">
        <f>_xll.BDH("MCHP US Equity","NON_CASH_ITEMS_DETAILED","FY 2013","FY 2013","Currency=USD","Period=FY","BEST_FPERIOD_OVERRIDE=FY","FILING_STATUS=MR","SCALING_FORMAT=MLN","Sort=A","Dates=H","DateFormat=P","Fill=—","Direction=H","UseDPDF=Y")</f>
        <v>83.673000000000002</v>
      </c>
      <c r="E9" s="12">
        <f>_xll.BDH("MCHP US Equity","NON_CASH_ITEMS_DETAILED","FY 2014","FY 2014","Currency=USD","Period=FY","BEST_FPERIOD_OVERRIDE=FY","FILING_STATUS=MR","SCALING_FORMAT=MLN","Sort=A","Dates=H","DateFormat=P","Fill=—","Direction=H","UseDPDF=Y")</f>
        <v>125.93899999999999</v>
      </c>
      <c r="F9" s="12">
        <f>_xll.BDH("MCHP US Equity","NON_CASH_ITEMS_DETAILED","FY 2015","FY 2015","Currency=USD","Period=FY","BEST_FPERIOD_OVERRIDE=FY","FILING_STATUS=MR","SCALING_FORMAT=MLN","Sort=A","Dates=H","DateFormat=P","Fill=—","Direction=H","UseDPDF=Y")</f>
        <v>79.912999999999997</v>
      </c>
      <c r="G9" s="12">
        <f>_xll.BDH("MCHP US Equity","NON_CASH_ITEMS_DETAILED","FY 2016","FY 2016","Currency=USD","Period=FY","BEST_FPERIOD_OVERRIDE=FY","FILING_STATUS=MR","SCALING_FORMAT=MLN","Sort=A","Dates=H","DateFormat=P","Fill=—","Direction=H","UseDPDF=Y")</f>
        <v>59.1</v>
      </c>
      <c r="H9" s="12">
        <f>_xll.BDH("MCHP US Equity","NON_CASH_ITEMS_DETAILED","FY 2017","FY 2017","Currency=USD","Period=FY","BEST_FPERIOD_OVERRIDE=FY","FILING_STATUS=MR","SCALING_FORMAT=MLN","Sort=A","Dates=H","DateFormat=P","Fill=—","Direction=H","UseDPDF=Y")</f>
        <v>256.5</v>
      </c>
      <c r="I9" s="12">
        <f>_xll.BDH("MCHP US Equity","NON_CASH_ITEMS_DETAILED","FY 2018","FY 2018","Currency=USD","Period=FY","BEST_FPERIOD_OVERRIDE=FY","FILING_STATUS=MR","SCALING_FORMAT=MLN","Sort=A","Dates=H","DateFormat=P","Fill=—","Direction=H","UseDPDF=Y")</f>
        <v>338.8</v>
      </c>
      <c r="J9" s="12">
        <f>_xll.BDH("MCHP US Equity","NON_CASH_ITEMS_DETAILED","FY 2019","FY 2019","Currency=USD","Period=FY","BEST_FPERIOD_OVERRIDE=FY","FILING_STATUS=MR","SCALING_FORMAT=MLN","Sort=A","Dates=H","DateFormat=P","Fill=—","Direction=H","UseDPDF=Y")</f>
        <v>233.6</v>
      </c>
      <c r="K9" s="12">
        <f>_xll.BDH("MCHP US Equity","NON_CASH_ITEMS_DETAILED","FY 2020","FY 2020","Currency=USD","Period=FY","BEST_FPERIOD_OVERRIDE=FY","FILING_STATUS=MR","SCALING_FORMAT=MLN","Sort=A","Dates=H","DateFormat=P","Fill=—","Direction=H","UseDPDF=Y")</f>
        <v>-188.8</v>
      </c>
      <c r="L9" s="14">
        <v>-32.9</v>
      </c>
    </row>
    <row r="10" spans="1:12" x14ac:dyDescent="0.45">
      <c r="A10" s="10" t="s">
        <v>32</v>
      </c>
      <c r="B10" s="10" t="s">
        <v>33</v>
      </c>
      <c r="C10" s="12">
        <f>_xll.BDH("MCHP US Equity","CF_STOCK_BASED_COMPENSATION","FY 2012","FY 2012","Currency=USD","Period=FY","BEST_FPERIOD_OVERRIDE=FY","FILING_STATUS=MR","SCALING_FORMAT=MLN","Sort=A","Dates=H","DateFormat=P","Fill=—","Direction=H","UseDPDF=Y")</f>
        <v>37.713000000000001</v>
      </c>
      <c r="D10" s="12">
        <f>_xll.BDH("MCHP US Equity","CF_STOCK_BASED_COMPENSATION","FY 2013","FY 2013","Currency=USD","Period=FY","BEST_FPERIOD_OVERRIDE=FY","FILING_STATUS=MR","SCALING_FORMAT=MLN","Sort=A","Dates=H","DateFormat=P","Fill=—","Direction=H","UseDPDF=Y")</f>
        <v>51.771999999999998</v>
      </c>
      <c r="E10" s="12">
        <f>_xll.BDH("MCHP US Equity","CF_STOCK_BASED_COMPENSATION","FY 2014","FY 2014","Currency=USD","Period=FY","BEST_FPERIOD_OVERRIDE=FY","FILING_STATUS=MR","SCALING_FORMAT=MLN","Sort=A","Dates=H","DateFormat=P","Fill=—","Direction=H","UseDPDF=Y")</f>
        <v>52.375999999999998</v>
      </c>
      <c r="F10" s="12">
        <f>_xll.BDH("MCHP US Equity","CF_STOCK_BASED_COMPENSATION","FY 2015","FY 2015","Currency=USD","Period=FY","BEST_FPERIOD_OVERRIDE=FY","FILING_STATUS=MR","SCALING_FORMAT=MLN","Sort=A","Dates=H","DateFormat=P","Fill=—","Direction=H","UseDPDF=Y")</f>
        <v>57.38</v>
      </c>
      <c r="G10" s="12">
        <f>_xll.BDH("MCHP US Equity","CF_STOCK_BASED_COMPENSATION","FY 2016","FY 2016","Currency=USD","Period=FY","BEST_FPERIOD_OVERRIDE=FY","FILING_STATUS=MR","SCALING_FORMAT=MLN","Sort=A","Dates=H","DateFormat=P","Fill=—","Direction=H","UseDPDF=Y")</f>
        <v>70.599999999999994</v>
      </c>
      <c r="H10" s="12">
        <f>_xll.BDH("MCHP US Equity","CF_STOCK_BASED_COMPENSATION","FY 2017","FY 2017","Currency=USD","Period=FY","BEST_FPERIOD_OVERRIDE=FY","FILING_STATUS=MR","SCALING_FORMAT=MLN","Sort=A","Dates=H","DateFormat=P","Fill=—","Direction=H","UseDPDF=Y")</f>
        <v>128.1</v>
      </c>
      <c r="I10" s="12">
        <f>_xll.BDH("MCHP US Equity","CF_STOCK_BASED_COMPENSATION","FY 2018","FY 2018","Currency=USD","Period=FY","BEST_FPERIOD_OVERRIDE=FY","FILING_STATUS=MR","SCALING_FORMAT=MLN","Sort=A","Dates=H","DateFormat=P","Fill=—","Direction=H","UseDPDF=Y")</f>
        <v>93.2</v>
      </c>
      <c r="J10" s="12">
        <f>_xll.BDH("MCHP US Equity","CF_STOCK_BASED_COMPENSATION","FY 2019","FY 2019","Currency=USD","Period=FY","BEST_FPERIOD_OVERRIDE=FY","FILING_STATUS=MR","SCALING_FORMAT=MLN","Sort=A","Dates=H","DateFormat=P","Fill=—","Direction=H","UseDPDF=Y")</f>
        <v>166.4</v>
      </c>
      <c r="K10" s="12">
        <f>_xll.BDH("MCHP US Equity","CF_STOCK_BASED_COMPENSATION","FY 2020","FY 2020","Currency=USD","Period=FY","BEST_FPERIOD_OVERRIDE=FY","FILING_STATUS=MR","SCALING_FORMAT=MLN","Sort=A","Dates=H","DateFormat=P","Fill=—","Direction=H","UseDPDF=Y")</f>
        <v>170.2</v>
      </c>
      <c r="L10" s="14">
        <v>176.3</v>
      </c>
    </row>
    <row r="11" spans="1:12" x14ac:dyDescent="0.45">
      <c r="A11" s="10" t="s">
        <v>34</v>
      </c>
      <c r="B11" s="10" t="s">
        <v>35</v>
      </c>
      <c r="C11" s="12">
        <f>_xll.BDH("MCHP US Equity","CF_DEF_INC_TAX","FY 2012","FY 2012","Currency=USD","Period=FY","BEST_FPERIOD_OVERRIDE=FY","FILING_STATUS=MR","SCALING_FORMAT=MLN","Sort=A","Dates=H","DateFormat=P","Fill=—","Direction=H","UseDPDF=Y")</f>
        <v>21.954000000000001</v>
      </c>
      <c r="D11" s="12">
        <f>_xll.BDH("MCHP US Equity","CF_DEF_INC_TAX","FY 2013","FY 2013","Currency=USD","Period=FY","BEST_FPERIOD_OVERRIDE=FY","FILING_STATUS=MR","SCALING_FORMAT=MLN","Sort=A","Dates=H","DateFormat=P","Fill=—","Direction=H","UseDPDF=Y")</f>
        <v>-28.367999999999999</v>
      </c>
      <c r="E11" s="12">
        <f>_xll.BDH("MCHP US Equity","CF_DEF_INC_TAX","FY 2014","FY 2014","Currency=USD","Period=FY","BEST_FPERIOD_OVERRIDE=FY","FILING_STATUS=MR","SCALING_FORMAT=MLN","Sort=A","Dates=H","DateFormat=P","Fill=—","Direction=H","UseDPDF=Y")</f>
        <v>5.3209999999999997</v>
      </c>
      <c r="F11" s="12">
        <f>_xll.BDH("MCHP US Equity","CF_DEF_INC_TAX","FY 2015","FY 2015","Currency=USD","Period=FY","BEST_FPERIOD_OVERRIDE=FY","FILING_STATUS=MR","SCALING_FORMAT=MLN","Sort=A","Dates=H","DateFormat=P","Fill=—","Direction=H","UseDPDF=Y")</f>
        <v>-32.811</v>
      </c>
      <c r="G11" s="12">
        <f>_xll.BDH("MCHP US Equity","CF_DEF_INC_TAX","FY 2016","FY 2016","Currency=USD","Period=FY","BEST_FPERIOD_OVERRIDE=FY","FILING_STATUS=MR","SCALING_FORMAT=MLN","Sort=A","Dates=H","DateFormat=P","Fill=—","Direction=H","UseDPDF=Y")</f>
        <v>-60.4</v>
      </c>
      <c r="H11" s="12" t="str">
        <f>_xll.BDH("MCHP US Equity","CF_DEF_INC_TAX","FY 2017","FY 2017","Currency=USD","Period=FY","BEST_FPERIOD_OVERRIDE=FY","FILING_STATUS=MR","SCALING_FORMAT=MLN","Sort=A","Dates=H","DateFormat=P","Fill=—","Direction=H","UseDPDF=Y")</f>
        <v>—</v>
      </c>
      <c r="I11" s="12">
        <f>_xll.BDH("MCHP US Equity","CF_DEF_INC_TAX","FY 2018","FY 2018","Currency=USD","Period=FY","BEST_FPERIOD_OVERRIDE=FY","FILING_STATUS=MR","SCALING_FORMAT=MLN","Sort=A","Dates=H","DateFormat=P","Fill=—","Direction=H","UseDPDF=Y")</f>
        <v>51.2</v>
      </c>
      <c r="J11" s="12">
        <f>_xll.BDH("MCHP US Equity","CF_DEF_INC_TAX","FY 2019","FY 2019","Currency=USD","Period=FY","BEST_FPERIOD_OVERRIDE=FY","FILING_STATUS=MR","SCALING_FORMAT=MLN","Sort=A","Dates=H","DateFormat=P","Fill=—","Direction=H","UseDPDF=Y")</f>
        <v>-62.2</v>
      </c>
      <c r="K11" s="12">
        <f>_xll.BDH("MCHP US Equity","CF_DEF_INC_TAX","FY 2020","FY 2020","Currency=USD","Period=FY","BEST_FPERIOD_OVERRIDE=FY","FILING_STATUS=MR","SCALING_FORMAT=MLN","Sort=A","Dates=H","DateFormat=P","Fill=—","Direction=H","UseDPDF=Y")</f>
        <v>-490.3</v>
      </c>
      <c r="L11" s="14">
        <v>-427.49998779296902</v>
      </c>
    </row>
    <row r="12" spans="1:12" x14ac:dyDescent="0.45">
      <c r="A12" s="10" t="s">
        <v>36</v>
      </c>
      <c r="B12" s="10" t="s">
        <v>37</v>
      </c>
      <c r="C12" s="12">
        <f>_xll.BDH("MCHP US Equity","OTHER_NON_CASH_ADJ_LESS_DETAILED","FY 2012","FY 2012","Currency=USD","Period=FY","BEST_FPERIOD_OVERRIDE=FY","FILING_STATUS=MR","SCALING_FORMAT=MLN","Sort=A","Dates=H","DateFormat=P","Fill=—","Direction=H","UseDPDF=Y")</f>
        <v>32.366999999999997</v>
      </c>
      <c r="D12" s="12">
        <f>_xll.BDH("MCHP US Equity","OTHER_NON_CASH_ADJ_LESS_DETAILED","FY 2013","FY 2013","Currency=USD","Period=FY","BEST_FPERIOD_OVERRIDE=FY","FILING_STATUS=MR","SCALING_FORMAT=MLN","Sort=A","Dates=H","DateFormat=P","Fill=—","Direction=H","UseDPDF=Y")</f>
        <v>60.268999999999998</v>
      </c>
      <c r="E12" s="12">
        <f>_xll.BDH("MCHP US Equity","OTHER_NON_CASH_ADJ_LESS_DETAILED","FY 2014","FY 2014","Currency=USD","Period=FY","BEST_FPERIOD_OVERRIDE=FY","FILING_STATUS=MR","SCALING_FORMAT=MLN","Sort=A","Dates=H","DateFormat=P","Fill=—","Direction=H","UseDPDF=Y")</f>
        <v>68.242000000000004</v>
      </c>
      <c r="F12" s="12">
        <f>_xll.BDH("MCHP US Equity","OTHER_NON_CASH_ADJ_LESS_DETAILED","FY 2015","FY 2015","Currency=USD","Period=FY","BEST_FPERIOD_OVERRIDE=FY","FILING_STATUS=MR","SCALING_FORMAT=MLN","Sort=A","Dates=H","DateFormat=P","Fill=—","Direction=H","UseDPDF=Y")</f>
        <v>55.344000000000001</v>
      </c>
      <c r="G12" s="12">
        <f>_xll.BDH("MCHP US Equity","OTHER_NON_CASH_ADJ_LESS_DETAILED","FY 2016","FY 2016","Currency=USD","Period=FY","BEST_FPERIOD_OVERRIDE=FY","FILING_STATUS=MR","SCALING_FORMAT=MLN","Sort=A","Dates=H","DateFormat=P","Fill=—","Direction=H","UseDPDF=Y")</f>
        <v>48.9</v>
      </c>
      <c r="H12" s="12">
        <f>_xll.BDH("MCHP US Equity","OTHER_NON_CASH_ADJ_LESS_DETAILED","FY 2017","FY 2017","Currency=USD","Period=FY","BEST_FPERIOD_OVERRIDE=FY","FILING_STATUS=MR","SCALING_FORMAT=MLN","Sort=A","Dates=H","DateFormat=P","Fill=—","Direction=H","UseDPDF=Y")</f>
        <v>128.4</v>
      </c>
      <c r="I12" s="12">
        <f>_xll.BDH("MCHP US Equity","OTHER_NON_CASH_ADJ_LESS_DETAILED","FY 2018","FY 2018","Currency=USD","Period=FY","BEST_FPERIOD_OVERRIDE=FY","FILING_STATUS=MR","SCALING_FORMAT=MLN","Sort=A","Dates=H","DateFormat=P","Fill=—","Direction=H","UseDPDF=Y")</f>
        <v>194.4</v>
      </c>
      <c r="J12" s="12">
        <f>_xll.BDH("MCHP US Equity","OTHER_NON_CASH_ADJ_LESS_DETAILED","FY 2019","FY 2019","Currency=USD","Period=FY","BEST_FPERIOD_OVERRIDE=FY","FILING_STATUS=MR","SCALING_FORMAT=MLN","Sort=A","Dates=H","DateFormat=P","Fill=—","Direction=H","UseDPDF=Y")</f>
        <v>129.4</v>
      </c>
      <c r="K12" s="12">
        <f>_xll.BDH("MCHP US Equity","OTHER_NON_CASH_ADJ_LESS_DETAILED","FY 2020","FY 2020","Currency=USD","Period=FY","BEST_FPERIOD_OVERRIDE=FY","FILING_STATUS=MR","SCALING_FORMAT=MLN","Sort=A","Dates=H","DateFormat=P","Fill=—","Direction=H","UseDPDF=Y")</f>
        <v>131.30000000000001</v>
      </c>
      <c r="L12" s="14">
        <v>218.3</v>
      </c>
    </row>
    <row r="13" spans="1:12" x14ac:dyDescent="0.45">
      <c r="A13" s="10" t="s">
        <v>38</v>
      </c>
      <c r="B13" s="10" t="s">
        <v>39</v>
      </c>
      <c r="C13" s="12">
        <f>_xll.BDH("MCHP US Equity","CF_CHNG_NON_CASH_WORK_CAP","FY 2012","FY 2012","Currency=USD","Period=FY","BEST_FPERIOD_OVERRIDE=FY","FILING_STATUS=MR","SCALING_FORMAT=MLN","Sort=A","Dates=H","DateFormat=P","Fill=—","Direction=H","UseDPDF=Y")</f>
        <v>-116.185</v>
      </c>
      <c r="D13" s="12">
        <f>_xll.BDH("MCHP US Equity","CF_CHNG_NON_CASH_WORK_CAP","FY 2013","FY 2013","Currency=USD","Period=FY","BEST_FPERIOD_OVERRIDE=FY","FILING_STATUS=MR","SCALING_FORMAT=MLN","Sort=A","Dates=H","DateFormat=P","Fill=—","Direction=H","UseDPDF=Y")</f>
        <v>44.206000000000003</v>
      </c>
      <c r="E13" s="12">
        <f>_xll.BDH("MCHP US Equity","CF_CHNG_NON_CASH_WORK_CAP","FY 2014","FY 2014","Currency=USD","Period=FY","BEST_FPERIOD_OVERRIDE=FY","FILING_STATUS=MR","SCALING_FORMAT=MLN","Sort=A","Dates=H","DateFormat=P","Fill=—","Direction=H","UseDPDF=Y")</f>
        <v>-33.795000000000002</v>
      </c>
      <c r="F13" s="12">
        <f>_xll.BDH("MCHP US Equity","CF_CHNG_NON_CASH_WORK_CAP","FY 2015","FY 2015","Currency=USD","Period=FY","BEST_FPERIOD_OVERRIDE=FY","FILING_STATUS=MR","SCALING_FORMAT=MLN","Sort=A","Dates=H","DateFormat=P","Fill=—","Direction=H","UseDPDF=Y")</f>
        <v>-6.0380000000000003</v>
      </c>
      <c r="G13" s="12">
        <f>_xll.BDH("MCHP US Equity","CF_CHNG_NON_CASH_WORK_CAP","FY 2016","FY 2016","Currency=USD","Period=FY","BEST_FPERIOD_OVERRIDE=FY","FILING_STATUS=MR","SCALING_FORMAT=MLN","Sort=A","Dates=H","DateFormat=P","Fill=—","Direction=H","UseDPDF=Y")</f>
        <v>78</v>
      </c>
      <c r="H13" s="12">
        <f>_xll.BDH("MCHP US Equity","CF_CHNG_NON_CASH_WORK_CAP","FY 2017","FY 2017","Currency=USD","Period=FY","BEST_FPERIOD_OVERRIDE=FY","FILING_STATUS=MR","SCALING_FORMAT=MLN","Sort=A","Dates=H","DateFormat=P","Fill=—","Direction=H","UseDPDF=Y")</f>
        <v>159.9</v>
      </c>
      <c r="I13" s="12">
        <f>_xll.BDH("MCHP US Equity","CF_CHNG_NON_CASH_WORK_CAP","FY 2018","FY 2018","Currency=USD","Period=FY","BEST_FPERIOD_OVERRIDE=FY","FILING_STATUS=MR","SCALING_FORMAT=MLN","Sort=A","Dates=H","DateFormat=P","Fill=—","Direction=H","UseDPDF=Y")</f>
        <v>209.5</v>
      </c>
      <c r="J13" s="12">
        <f>_xll.BDH("MCHP US Equity","CF_CHNG_NON_CASH_WORK_CAP","FY 2019","FY 2019","Currency=USD","Period=FY","BEST_FPERIOD_OVERRIDE=FY","FILING_STATUS=MR","SCALING_FORMAT=MLN","Sort=A","Dates=H","DateFormat=P","Fill=—","Direction=H","UseDPDF=Y")</f>
        <v>208.9</v>
      </c>
      <c r="K13" s="12">
        <f>_xll.BDH("MCHP US Equity","CF_CHNG_NON_CASH_WORK_CAP","FY 2020","FY 2020","Currency=USD","Period=FY","BEST_FPERIOD_OVERRIDE=FY","FILING_STATUS=MR","SCALING_FORMAT=MLN","Sort=A","Dates=H","DateFormat=P","Fill=—","Direction=H","UseDPDF=Y")</f>
        <v>-53.6</v>
      </c>
      <c r="L13" s="14">
        <v>-40</v>
      </c>
    </row>
    <row r="14" spans="1:12" x14ac:dyDescent="0.45">
      <c r="A14" s="10" t="s">
        <v>40</v>
      </c>
      <c r="B14" s="10" t="s">
        <v>41</v>
      </c>
      <c r="C14" s="12">
        <f>_xll.BDH("MCHP US Equity","CF_ACCT_RCV_UNBILLED_REV","FY 2012","FY 2012","Currency=USD","Period=FY","BEST_FPERIOD_OVERRIDE=FY","FILING_STATUS=MR","SCALING_FORMAT=MLN","Sort=A","Dates=H","DateFormat=P","Fill=—","Direction=H","UseDPDF=Y")</f>
        <v>11.845000000000001</v>
      </c>
      <c r="D14" s="12">
        <f>_xll.BDH("MCHP US Equity","CF_ACCT_RCV_UNBILLED_REV","FY 2013","FY 2013","Currency=USD","Period=FY","BEST_FPERIOD_OVERRIDE=FY","FILING_STATUS=MR","SCALING_FORMAT=MLN","Sort=A","Dates=H","DateFormat=P","Fill=—","Direction=H","UseDPDF=Y")</f>
        <v>0.38600000000000001</v>
      </c>
      <c r="E14" s="12">
        <f>_xll.BDH("MCHP US Equity","CF_ACCT_RCV_UNBILLED_REV","FY 2014","FY 2014","Currency=USD","Period=FY","BEST_FPERIOD_OVERRIDE=FY","FILING_STATUS=MR","SCALING_FORMAT=MLN","Sort=A","Dates=H","DateFormat=P","Fill=—","Direction=H","UseDPDF=Y")</f>
        <v>-12.507999999999999</v>
      </c>
      <c r="F14" s="12">
        <f>_xll.BDH("MCHP US Equity","CF_ACCT_RCV_UNBILLED_REV","FY 2015","FY 2015","Currency=USD","Period=FY","BEST_FPERIOD_OVERRIDE=FY","FILING_STATUS=MR","SCALING_FORMAT=MLN","Sort=A","Dates=H","DateFormat=P","Fill=—","Direction=H","UseDPDF=Y")</f>
        <v>-15.893000000000001</v>
      </c>
      <c r="G14" s="12">
        <f>_xll.BDH("MCHP US Equity","CF_ACCT_RCV_UNBILLED_REV","FY 2016","FY 2016","Currency=USD","Period=FY","BEST_FPERIOD_OVERRIDE=FY","FILING_STATUS=MR","SCALING_FORMAT=MLN","Sort=A","Dates=H","DateFormat=P","Fill=—","Direction=H","UseDPDF=Y")</f>
        <v>-2.1</v>
      </c>
      <c r="H14" s="12">
        <f>_xll.BDH("MCHP US Equity","CF_ACCT_RCV_UNBILLED_REV","FY 2017","FY 2017","Currency=USD","Period=FY","BEST_FPERIOD_OVERRIDE=FY","FILING_STATUS=MR","SCALING_FORMAT=MLN","Sort=A","Dates=H","DateFormat=P","Fill=—","Direction=H","UseDPDF=Y")</f>
        <v>-46.8</v>
      </c>
      <c r="I14" s="12">
        <f>_xll.BDH("MCHP US Equity","CF_ACCT_RCV_UNBILLED_REV","FY 2018","FY 2018","Currency=USD","Period=FY","BEST_FPERIOD_OVERRIDE=FY","FILING_STATUS=MR","SCALING_FORMAT=MLN","Sort=A","Dates=H","DateFormat=P","Fill=—","Direction=H","UseDPDF=Y")</f>
        <v>-85.3</v>
      </c>
      <c r="J14" s="12">
        <f>_xll.BDH("MCHP US Equity","CF_ACCT_RCV_UNBILLED_REV","FY 2019","FY 2019","Currency=USD","Period=FY","BEST_FPERIOD_OVERRIDE=FY","FILING_STATUS=MR","SCALING_FORMAT=MLN","Sort=A","Dates=H","DateFormat=P","Fill=—","Direction=H","UseDPDF=Y")</f>
        <v>238.8</v>
      </c>
      <c r="K14" s="12">
        <f>_xll.BDH("MCHP US Equity","CF_ACCT_RCV_UNBILLED_REV","FY 2020","FY 2020","Currency=USD","Period=FY","BEST_FPERIOD_OVERRIDE=FY","FILING_STATUS=MR","SCALING_FORMAT=MLN","Sort=A","Dates=H","DateFormat=P","Fill=—","Direction=H","UseDPDF=Y")</f>
        <v>-53.3</v>
      </c>
      <c r="L14" s="14">
        <v>-55.100000762939501</v>
      </c>
    </row>
    <row r="15" spans="1:12" x14ac:dyDescent="0.45">
      <c r="A15" s="10" t="s">
        <v>42</v>
      </c>
      <c r="B15" s="10" t="s">
        <v>43</v>
      </c>
      <c r="C15" s="12">
        <f>_xll.BDH("MCHP US Equity","CF_CHANGE_IN_INVENTORIES","FY 2012","FY 2012","Currency=USD","Period=FY","BEST_FPERIOD_OVERRIDE=FY","FILING_STATUS=MR","SCALING_FORMAT=MLN","Sort=A","Dates=H","DateFormat=P","Fill=—","Direction=H","UseDPDF=Y")</f>
        <v>-35.24</v>
      </c>
      <c r="D15" s="12">
        <f>_xll.BDH("MCHP US Equity","CF_CHANGE_IN_INVENTORIES","FY 2013","FY 2013","Currency=USD","Period=FY","BEST_FPERIOD_OVERRIDE=FY","FILING_STATUS=MR","SCALING_FORMAT=MLN","Sort=A","Dates=H","DateFormat=P","Fill=—","Direction=H","UseDPDF=Y")</f>
        <v>65.867000000000004</v>
      </c>
      <c r="E15" s="12">
        <f>_xll.BDH("MCHP US Equity","CF_CHANGE_IN_INVENTORIES","FY 2014","FY 2014","Currency=USD","Period=FY","BEST_FPERIOD_OVERRIDE=FY","FILING_STATUS=MR","SCALING_FORMAT=MLN","Sort=A","Dates=H","DateFormat=P","Fill=—","Direction=H","UseDPDF=Y")</f>
        <v>-18.5</v>
      </c>
      <c r="F15" s="12">
        <f>_xll.BDH("MCHP US Equity","CF_CHANGE_IN_INVENTORIES","FY 2015","FY 2015","Currency=USD","Period=FY","BEST_FPERIOD_OVERRIDE=FY","FILING_STATUS=MR","SCALING_FORMAT=MLN","Sort=A","Dates=H","DateFormat=P","Fill=—","Direction=H","UseDPDF=Y")</f>
        <v>25.516999999999999</v>
      </c>
      <c r="G15" s="12">
        <f>_xll.BDH("MCHP US Equity","CF_CHANGE_IN_INVENTORIES","FY 2016","FY 2016","Currency=USD","Period=FY","BEST_FPERIOD_OVERRIDE=FY","FILING_STATUS=MR","SCALING_FORMAT=MLN","Sort=A","Dates=H","DateFormat=P","Fill=—","Direction=H","UseDPDF=Y")</f>
        <v>48.2</v>
      </c>
      <c r="H15" s="12">
        <f>_xll.BDH("MCHP US Equity","CF_CHANGE_IN_INVENTORIES","FY 2017","FY 2017","Currency=USD","Period=FY","BEST_FPERIOD_OVERRIDE=FY","FILING_STATUS=MR","SCALING_FORMAT=MLN","Sort=A","Dates=H","DateFormat=P","Fill=—","Direction=H","UseDPDF=Y")</f>
        <v>223.7</v>
      </c>
      <c r="I15" s="12">
        <f>_xll.BDH("MCHP US Equity","CF_CHANGE_IN_INVENTORIES","FY 2018","FY 2018","Currency=USD","Period=FY","BEST_FPERIOD_OVERRIDE=FY","FILING_STATUS=MR","SCALING_FORMAT=MLN","Sort=A","Dates=H","DateFormat=P","Fill=—","Direction=H","UseDPDF=Y")</f>
        <v>-59.2</v>
      </c>
      <c r="J15" s="12">
        <f>_xll.BDH("MCHP US Equity","CF_CHANGE_IN_INVENTORIES","FY 2019","FY 2019","Currency=USD","Period=FY","BEST_FPERIOD_OVERRIDE=FY","FILING_STATUS=MR","SCALING_FORMAT=MLN","Sort=A","Dates=H","DateFormat=P","Fill=—","Direction=H","UseDPDF=Y")</f>
        <v>341.6</v>
      </c>
      <c r="K15" s="12">
        <f>_xll.BDH("MCHP US Equity","CF_CHANGE_IN_INVENTORIES","FY 2020","FY 2020","Currency=USD","Period=FY","BEST_FPERIOD_OVERRIDE=FY","FILING_STATUS=MR","SCALING_FORMAT=MLN","Sort=A","Dates=H","DateFormat=P","Fill=—","Direction=H","UseDPDF=Y")</f>
        <v>28.8</v>
      </c>
      <c r="L15" s="14">
        <v>70.399999618530302</v>
      </c>
    </row>
    <row r="16" spans="1:12" x14ac:dyDescent="0.45">
      <c r="A16" s="10" t="s">
        <v>44</v>
      </c>
      <c r="B16" s="10" t="s">
        <v>45</v>
      </c>
      <c r="C16" s="12">
        <f>_xll.BDH("MCHP US Equity","INC_DEC_IN_OT_OP_AST_LIAB_DETAIL","FY 2012","FY 2012","Currency=USD","Period=FY","BEST_FPERIOD_OVERRIDE=FY","FILING_STATUS=MR","SCALING_FORMAT=MLN","Sort=A","Dates=H","DateFormat=P","Fill=—","Direction=H","UseDPDF=Y")</f>
        <v>-92.79</v>
      </c>
      <c r="D16" s="12">
        <f>_xll.BDH("MCHP US Equity","INC_DEC_IN_OT_OP_AST_LIAB_DETAIL","FY 2013","FY 2013","Currency=USD","Period=FY","BEST_FPERIOD_OVERRIDE=FY","FILING_STATUS=MR","SCALING_FORMAT=MLN","Sort=A","Dates=H","DateFormat=P","Fill=—","Direction=H","UseDPDF=Y")</f>
        <v>-22.047000000000001</v>
      </c>
      <c r="E16" s="12">
        <f>_xll.BDH("MCHP US Equity","INC_DEC_IN_OT_OP_AST_LIAB_DETAIL","FY 2014","FY 2014","Currency=USD","Period=FY","BEST_FPERIOD_OVERRIDE=FY","FILING_STATUS=MR","SCALING_FORMAT=MLN","Sort=A","Dates=H","DateFormat=P","Fill=—","Direction=H","UseDPDF=Y")</f>
        <v>-2.7869999999999999</v>
      </c>
      <c r="F16" s="12">
        <f>_xll.BDH("MCHP US Equity","INC_DEC_IN_OT_OP_AST_LIAB_DETAIL","FY 2015","FY 2015","Currency=USD","Period=FY","BEST_FPERIOD_OVERRIDE=FY","FILING_STATUS=MR","SCALING_FORMAT=MLN","Sort=A","Dates=H","DateFormat=P","Fill=—","Direction=H","UseDPDF=Y")</f>
        <v>-15.662000000000001</v>
      </c>
      <c r="G16" s="12">
        <f>_xll.BDH("MCHP US Equity","INC_DEC_IN_OT_OP_AST_LIAB_DETAIL","FY 2016","FY 2016","Currency=USD","Period=FY","BEST_FPERIOD_OVERRIDE=FY","FILING_STATUS=MR","SCALING_FORMAT=MLN","Sort=A","Dates=H","DateFormat=P","Fill=—","Direction=H","UseDPDF=Y")</f>
        <v>31.9</v>
      </c>
      <c r="H16" s="12">
        <f>_xll.BDH("MCHP US Equity","INC_DEC_IN_OT_OP_AST_LIAB_DETAIL","FY 2017","FY 2017","Currency=USD","Period=FY","BEST_FPERIOD_OVERRIDE=FY","FILING_STATUS=MR","SCALING_FORMAT=MLN","Sort=A","Dates=H","DateFormat=P","Fill=—","Direction=H","UseDPDF=Y")</f>
        <v>-17</v>
      </c>
      <c r="I16" s="12">
        <f>_xll.BDH("MCHP US Equity","INC_DEC_IN_OT_OP_AST_LIAB_DETAIL","FY 2018","FY 2018","Currency=USD","Period=FY","BEST_FPERIOD_OVERRIDE=FY","FILING_STATUS=MR","SCALING_FORMAT=MLN","Sort=A","Dates=H","DateFormat=P","Fill=—","Direction=H","UseDPDF=Y")</f>
        <v>354</v>
      </c>
      <c r="J16" s="12">
        <f>_xll.BDH("MCHP US Equity","INC_DEC_IN_OT_OP_AST_LIAB_DETAIL","FY 2019","FY 2019","Currency=USD","Period=FY","BEST_FPERIOD_OVERRIDE=FY","FILING_STATUS=MR","SCALING_FORMAT=MLN","Sort=A","Dates=H","DateFormat=P","Fill=—","Direction=H","UseDPDF=Y")</f>
        <v>-371.5</v>
      </c>
      <c r="K16" s="12">
        <f>_xll.BDH("MCHP US Equity","INC_DEC_IN_OT_OP_AST_LIAB_DETAIL","FY 2020","FY 2020","Currency=USD","Period=FY","BEST_FPERIOD_OVERRIDE=FY","FILING_STATUS=MR","SCALING_FORMAT=MLN","Sort=A","Dates=H","DateFormat=P","Fill=—","Direction=H","UseDPDF=Y")</f>
        <v>-29.1</v>
      </c>
      <c r="L16" s="14">
        <v>-55.3</v>
      </c>
    </row>
    <row r="17" spans="1:12" x14ac:dyDescent="0.45">
      <c r="A17" s="10" t="s">
        <v>46</v>
      </c>
      <c r="B17" s="10" t="s">
        <v>47</v>
      </c>
      <c r="C17" s="12">
        <f>_xll.BDH("MCHP US Equity","CF_NET_CASH_DISCONT_OPS_OPER","FY 2012","FY 2012","Currency=USD","Period=FY","BEST_FPERIOD_OVERRIDE=FY","FILING_STATUS=MR","SCALING_FORMAT=MLN","Sort=A","Dates=H","DateFormat=P","Fill=—","Direction=H","UseDPDF=Y")</f>
        <v>0</v>
      </c>
      <c r="D17" s="12">
        <f>_xll.BDH("MCHP US Equity","CF_NET_CASH_DISCONT_OPS_OPER","FY 2013","FY 2013","Currency=USD","Period=FY","BEST_FPERIOD_OVERRIDE=FY","FILING_STATUS=MR","SCALING_FORMAT=MLN","Sort=A","Dates=H","DateFormat=P","Fill=—","Direction=H","UseDPDF=Y")</f>
        <v>0</v>
      </c>
      <c r="E17" s="12">
        <f>_xll.BDH("MCHP US Equity","CF_NET_CASH_DISCONT_OPS_OPER","FY 2014","FY 2014","Currency=USD","Period=FY","BEST_FPERIOD_OVERRIDE=FY","FILING_STATUS=MR","SCALING_FORMAT=MLN","Sort=A","Dates=H","DateFormat=P","Fill=—","Direction=H","UseDPDF=Y")</f>
        <v>0</v>
      </c>
      <c r="F17" s="12">
        <f>_xll.BDH("MCHP US Equity","CF_NET_CASH_DISCONT_OPS_OPER","FY 2015","FY 2015","Currency=USD","Period=FY","BEST_FPERIOD_OVERRIDE=FY","FILING_STATUS=MR","SCALING_FORMAT=MLN","Sort=A","Dates=H","DateFormat=P","Fill=—","Direction=H","UseDPDF=Y")</f>
        <v>0</v>
      </c>
      <c r="G17" s="12">
        <f>_xll.BDH("MCHP US Equity","CF_NET_CASH_DISCONT_OPS_OPER","FY 2016","FY 2016","Currency=USD","Period=FY","BEST_FPERIOD_OVERRIDE=FY","FILING_STATUS=MR","SCALING_FORMAT=MLN","Sort=A","Dates=H","DateFormat=P","Fill=—","Direction=H","UseDPDF=Y")</f>
        <v>0</v>
      </c>
      <c r="H17" s="12">
        <f>_xll.BDH("MCHP US Equity","CF_NET_CASH_DISCONT_OPS_OPER","FY 2017","FY 2017","Currency=USD","Period=FY","BEST_FPERIOD_OVERRIDE=FY","FILING_STATUS=MR","SCALING_FORMAT=MLN","Sort=A","Dates=H","DateFormat=P","Fill=—","Direction=H","UseDPDF=Y")</f>
        <v>9.3000000000000007</v>
      </c>
      <c r="I17" s="12">
        <f>_xll.BDH("MCHP US Equity","CF_NET_CASH_DISCONT_OPS_OPER","FY 2018","FY 2018","Currency=USD","Period=FY","BEST_FPERIOD_OVERRIDE=FY","FILING_STATUS=MR","SCALING_FORMAT=MLN","Sort=A","Dates=H","DateFormat=P","Fill=—","Direction=H","UseDPDF=Y")</f>
        <v>0</v>
      </c>
      <c r="J17" s="12">
        <f>_xll.BDH("MCHP US Equity","CF_NET_CASH_DISCONT_OPS_OPER","FY 2019","FY 2019","Currency=USD","Period=FY","BEST_FPERIOD_OVERRIDE=FY","FILING_STATUS=MR","SCALING_FORMAT=MLN","Sort=A","Dates=H","DateFormat=P","Fill=—","Direction=H","UseDPDF=Y")</f>
        <v>0</v>
      </c>
      <c r="K17" s="12">
        <f>_xll.BDH("MCHP US Equity","CF_NET_CASH_DISCONT_OPS_OPER","FY 2020","FY 2020","Currency=USD","Period=FY","BEST_FPERIOD_OVERRIDE=FY","FILING_STATUS=MR","SCALING_FORMAT=MLN","Sort=A","Dates=H","DateFormat=P","Fill=—","Direction=H","UseDPDF=Y")</f>
        <v>0</v>
      </c>
      <c r="L17" s="14">
        <v>0</v>
      </c>
    </row>
    <row r="18" spans="1:12" x14ac:dyDescent="0.45">
      <c r="A18" s="6" t="s">
        <v>25</v>
      </c>
      <c r="B18" s="6" t="s">
        <v>48</v>
      </c>
      <c r="C18" s="17">
        <f>_xll.BDH("MCHP US Equity","CF_CASH_FROM_OPER","FY 2012","FY 2012","Currency=USD","Period=FY","BEST_FPERIOD_OVERRIDE=FY","FILING_STATUS=MR","SCALING_FORMAT=MLN","Sort=A","Dates=H","DateFormat=P","Fill=—","Direction=H","UseDPDF=Y")</f>
        <v>411.97800000000001</v>
      </c>
      <c r="D18" s="17">
        <f>_xll.BDH("MCHP US Equity","CF_CASH_FROM_OPER","FY 2013","FY 2013","Currency=USD","Period=FY","BEST_FPERIOD_OVERRIDE=FY","FILING_STATUS=MR","SCALING_FORMAT=MLN","Sort=A","Dates=H","DateFormat=P","Fill=—","Direction=H","UseDPDF=Y")</f>
        <v>459.36500000000001</v>
      </c>
      <c r="E18" s="17">
        <f>_xll.BDH("MCHP US Equity","CF_CASH_FROM_OPER","FY 2014","FY 2014","Currency=USD","Period=FY","BEST_FPERIOD_OVERRIDE=FY","FILING_STATUS=MR","SCALING_FORMAT=MLN","Sort=A","Dates=H","DateFormat=P","Fill=—","Direction=H","UseDPDF=Y")</f>
        <v>676.56399999999996</v>
      </c>
      <c r="F18" s="17">
        <f>_xll.BDH("MCHP US Equity","CF_CASH_FROM_OPER","FY 2015","FY 2015","Currency=USD","Period=FY","BEST_FPERIOD_OVERRIDE=FY","FILING_STATUS=MR","SCALING_FORMAT=MLN","Sort=A","Dates=H","DateFormat=P","Fill=—","Direction=H","UseDPDF=Y")</f>
        <v>721.18200000000002</v>
      </c>
      <c r="G18" s="17">
        <f>_xll.BDH("MCHP US Equity","CF_CASH_FROM_OPER","FY 2016","FY 2016","Currency=USD","Period=FY","BEST_FPERIOD_OVERRIDE=FY","FILING_STATUS=MR","SCALING_FORMAT=MLN","Sort=A","Dates=H","DateFormat=P","Fill=—","Direction=H","UseDPDF=Y")</f>
        <v>744.4</v>
      </c>
      <c r="H18" s="17">
        <f>_xll.BDH("MCHP US Equity","CF_CASH_FROM_OPER","FY 2017","FY 2017","Currency=USD","Period=FY","BEST_FPERIOD_OVERRIDE=FY","FILING_STATUS=MR","SCALING_FORMAT=MLN","Sort=A","Dates=H","DateFormat=P","Fill=—","Direction=H","UseDPDF=Y")</f>
        <v>1059.5</v>
      </c>
      <c r="I18" s="17">
        <f>_xll.BDH("MCHP US Equity","CF_CASH_FROM_OPER","FY 2018","FY 2018","Currency=USD","Period=FY","BEST_FPERIOD_OVERRIDE=FY","FILING_STATUS=MR","SCALING_FORMAT=MLN","Sort=A","Dates=H","DateFormat=P","Fill=—","Direction=H","UseDPDF=Y")</f>
        <v>1419.6</v>
      </c>
      <c r="J18" s="17">
        <f>_xll.BDH("MCHP US Equity","CF_CASH_FROM_OPER","FY 2019","FY 2019","Currency=USD","Period=FY","BEST_FPERIOD_OVERRIDE=FY","FILING_STATUS=MR","SCALING_FORMAT=MLN","Sort=A","Dates=H","DateFormat=P","Fill=—","Direction=H","UseDPDF=Y")</f>
        <v>1674.8</v>
      </c>
      <c r="K18" s="17">
        <f>_xll.BDH("MCHP US Equity","CF_CASH_FROM_OPER","FY 2020","FY 2020","Currency=USD","Period=FY","BEST_FPERIOD_OVERRIDE=FY","FILING_STATUS=MR","SCALING_FORMAT=MLN","Sort=A","Dates=H","DateFormat=P","Fill=—","Direction=H","UseDPDF=Y")</f>
        <v>1543.8</v>
      </c>
      <c r="L18" s="19">
        <v>1724.8</v>
      </c>
    </row>
    <row r="19" spans="1:12" x14ac:dyDescent="0.45">
      <c r="A19" s="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8"/>
    </row>
    <row r="20" spans="1:12" x14ac:dyDescent="0.45">
      <c r="A20" s="6" t="s">
        <v>49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8"/>
    </row>
    <row r="21" spans="1:12" x14ac:dyDescent="0.45">
      <c r="A21" s="10" t="s">
        <v>50</v>
      </c>
      <c r="B21" s="10" t="s">
        <v>51</v>
      </c>
      <c r="C21" s="12">
        <f>_xll.BDH("MCHP US Equity","CHG_IN_FXD_&amp;_INTANG_AST_DETAILED","FY 2012","FY 2012","Currency=USD","Period=FY","BEST_FPERIOD_OVERRIDE=FY","FILING_STATUS=MR","SCALING_FORMAT=MLN","Sort=A","Dates=H","DateFormat=P","Fill=—","Direction=H","UseDPDF=Y")</f>
        <v>-61.959000000000003</v>
      </c>
      <c r="D21" s="12">
        <f>_xll.BDH("MCHP US Equity","CHG_IN_FXD_&amp;_INTANG_AST_DETAILED","FY 2013","FY 2013","Currency=USD","Period=FY","BEST_FPERIOD_OVERRIDE=FY","FILING_STATUS=MR","SCALING_FORMAT=MLN","Sort=A","Dates=H","DateFormat=P","Fill=—","Direction=H","UseDPDF=Y")</f>
        <v>-50.512</v>
      </c>
      <c r="E21" s="12">
        <f>_xll.BDH("MCHP US Equity","CHG_IN_FXD_&amp;_INTANG_AST_DETAILED","FY 2014","FY 2014","Currency=USD","Period=FY","BEST_FPERIOD_OVERRIDE=FY","FILING_STATUS=MR","SCALING_FORMAT=MLN","Sort=A","Dates=H","DateFormat=P","Fill=—","Direction=H","UseDPDF=Y")</f>
        <v>-96.837000000000003</v>
      </c>
      <c r="F21" s="12">
        <f>_xll.BDH("MCHP US Equity","CHG_IN_FXD_&amp;_INTANG_AST_DETAILED","FY 2015","FY 2015","Currency=USD","Period=FY","BEST_FPERIOD_OVERRIDE=FY","FILING_STATUS=MR","SCALING_FORMAT=MLN","Sort=A","Dates=H","DateFormat=P","Fill=—","Direction=H","UseDPDF=Y")</f>
        <v>-149.47200000000001</v>
      </c>
      <c r="G21" s="12">
        <f>_xll.BDH("MCHP US Equity","CHG_IN_FXD_&amp;_INTANG_AST_DETAILED","FY 2016","FY 2016","Currency=USD","Period=FY","BEST_FPERIOD_OVERRIDE=FY","FILING_STATUS=MR","SCALING_FORMAT=MLN","Sort=A","Dates=H","DateFormat=P","Fill=—","Direction=H","UseDPDF=Y")</f>
        <v>-83.6</v>
      </c>
      <c r="H21" s="12">
        <f>_xll.BDH("MCHP US Equity","CHG_IN_FXD_&amp;_INTANG_AST_DETAILED","FY 2017","FY 2017","Currency=USD","Period=FY","BEST_FPERIOD_OVERRIDE=FY","FILING_STATUS=MR","SCALING_FORMAT=MLN","Sort=A","Dates=H","DateFormat=P","Fill=—","Direction=H","UseDPDF=Y")</f>
        <v>-52.3</v>
      </c>
      <c r="I21" s="12">
        <f>_xll.BDH("MCHP US Equity","CHG_IN_FXD_&amp;_INTANG_AST_DETAILED","FY 2018","FY 2018","Currency=USD","Period=FY","BEST_FPERIOD_OVERRIDE=FY","FILING_STATUS=MR","SCALING_FORMAT=MLN","Sort=A","Dates=H","DateFormat=P","Fill=—","Direction=H","UseDPDF=Y")</f>
        <v>-196.5</v>
      </c>
      <c r="J21" s="12">
        <f>_xll.BDH("MCHP US Equity","CHG_IN_FXD_&amp;_INTANG_AST_DETAILED","FY 2019","FY 2019","Currency=USD","Period=FY","BEST_FPERIOD_OVERRIDE=FY","FILING_STATUS=MR","SCALING_FORMAT=MLN","Sort=A","Dates=H","DateFormat=P","Fill=—","Direction=H","UseDPDF=Y")</f>
        <v>-228.7</v>
      </c>
      <c r="K21" s="12">
        <f>_xll.BDH("MCHP US Equity","CHG_IN_FXD_&amp;_INTANG_AST_DETAILED","FY 2020","FY 2020","Currency=USD","Period=FY","BEST_FPERIOD_OVERRIDE=FY","FILING_STATUS=MR","SCALING_FORMAT=MLN","Sort=A","Dates=H","DateFormat=P","Fill=—","Direction=H","UseDPDF=Y")</f>
        <v>-64.400000000000006</v>
      </c>
      <c r="L21" s="14">
        <v>-38.9</v>
      </c>
    </row>
    <row r="22" spans="1:12" x14ac:dyDescent="0.45">
      <c r="A22" s="10" t="s">
        <v>52</v>
      </c>
      <c r="B22" s="10" t="s">
        <v>53</v>
      </c>
      <c r="C22" s="12">
        <f>_xll.BDH("MCHP US Equity","DISP_FXD_&amp;_INTANGIBLES_DETAILED","FY 2012","FY 2012","Currency=USD","Period=FY","BEST_FPERIOD_OVERRIDE=FY","FILING_STATUS=MR","SCALING_FORMAT=MLN","Sort=A","Dates=H","DateFormat=P","Fill=—","Direction=H","UseDPDF=Y")</f>
        <v>0.41099999999999998</v>
      </c>
      <c r="D22" s="12">
        <f>_xll.BDH("MCHP US Equity","DISP_FXD_&amp;_INTANGIBLES_DETAILED","FY 2013","FY 2013","Currency=USD","Period=FY","BEST_FPERIOD_OVERRIDE=FY","FILING_STATUS=MR","SCALING_FORMAT=MLN","Sort=A","Dates=H","DateFormat=P","Fill=—","Direction=H","UseDPDF=Y")</f>
        <v>0.30599999999999999</v>
      </c>
      <c r="E22" s="12">
        <f>_xll.BDH("MCHP US Equity","DISP_FXD_&amp;_INTANGIBLES_DETAILED","FY 2014","FY 2014","Currency=USD","Period=FY","BEST_FPERIOD_OVERRIDE=FY","FILING_STATUS=MR","SCALING_FORMAT=MLN","Sort=A","Dates=H","DateFormat=P","Fill=—","Direction=H","UseDPDF=Y")</f>
        <v>16.234999999999999</v>
      </c>
      <c r="F22" s="12">
        <f>_xll.BDH("MCHP US Equity","DISP_FXD_&amp;_INTANGIBLES_DETAILED","FY 2015","FY 2015","Currency=USD","Period=FY","BEST_FPERIOD_OVERRIDE=FY","FILING_STATUS=MR","SCALING_FORMAT=MLN","Sort=A","Dates=H","DateFormat=P","Fill=—","Direction=H","UseDPDF=Y")</f>
        <v>0</v>
      </c>
      <c r="G22" s="12">
        <f>_xll.BDH("MCHP US Equity","DISP_FXD_&amp;_INTANGIBLES_DETAILED","FY 2016","FY 2016","Currency=USD","Period=FY","BEST_FPERIOD_OVERRIDE=FY","FILING_STATUS=MR","SCALING_FORMAT=MLN","Sort=A","Dates=H","DateFormat=P","Fill=—","Direction=H","UseDPDF=Y")</f>
        <v>14.3</v>
      </c>
      <c r="H22" s="12">
        <f>_xll.BDH("MCHP US Equity","DISP_FXD_&amp;_INTANGIBLES_DETAILED","FY 2017","FY 2017","Currency=USD","Period=FY","BEST_FPERIOD_OVERRIDE=FY","FILING_STATUS=MR","SCALING_FORMAT=MLN","Sort=A","Dates=H","DateFormat=P","Fill=—","Direction=H","UseDPDF=Y")</f>
        <v>23</v>
      </c>
      <c r="I22" s="12">
        <f>_xll.BDH("MCHP US Equity","DISP_FXD_&amp;_INTANGIBLES_DETAILED","FY 2018","FY 2018","Currency=USD","Period=FY","BEST_FPERIOD_OVERRIDE=FY","FILING_STATUS=MR","SCALING_FORMAT=MLN","Sort=A","Dates=H","DateFormat=P","Fill=—","Direction=H","UseDPDF=Y")</f>
        <v>10.3</v>
      </c>
      <c r="J22" s="12">
        <f>_xll.BDH("MCHP US Equity","DISP_FXD_&amp;_INTANGIBLES_DETAILED","FY 2019","FY 2019","Currency=USD","Period=FY","BEST_FPERIOD_OVERRIDE=FY","FILING_STATUS=MR","SCALING_FORMAT=MLN","Sort=A","Dates=H","DateFormat=P","Fill=—","Direction=H","UseDPDF=Y")</f>
        <v>0.2</v>
      </c>
      <c r="K22" s="12">
        <f>_xll.BDH("MCHP US Equity","DISP_FXD_&amp;_INTANGIBLES_DETAILED","FY 2020","FY 2020","Currency=USD","Period=FY","BEST_FPERIOD_OVERRIDE=FY","FILING_STATUS=MR","SCALING_FORMAT=MLN","Sort=A","Dates=H","DateFormat=P","Fill=—","Direction=H","UseDPDF=Y")</f>
        <v>3.2</v>
      </c>
      <c r="L22" s="14">
        <v>2.9</v>
      </c>
    </row>
    <row r="23" spans="1:12" x14ac:dyDescent="0.45">
      <c r="A23" s="11" t="s">
        <v>54</v>
      </c>
      <c r="B23" s="11" t="s">
        <v>55</v>
      </c>
      <c r="C23" s="20">
        <f>_xll.BDH("MCHP US Equity","CF_DISPOSAL_OF_FIXED_PROD_ASSETS","FY 2012","FY 2012","Currency=USD","Period=FY","BEST_FPERIOD_OVERRIDE=FY","FILING_STATUS=MR","SCALING_FORMAT=MLN","Sort=A","Dates=H","DateFormat=P","Fill=—","Direction=H","UseDPDF=Y")</f>
        <v>0.41099999999999998</v>
      </c>
      <c r="D23" s="20">
        <f>_xll.BDH("MCHP US Equity","CF_DISPOSAL_OF_FIXED_PROD_ASSETS","FY 2013","FY 2013","Currency=USD","Period=FY","BEST_FPERIOD_OVERRIDE=FY","FILING_STATUS=MR","SCALING_FORMAT=MLN","Sort=A","Dates=H","DateFormat=P","Fill=—","Direction=H","UseDPDF=Y")</f>
        <v>0.30599999999999999</v>
      </c>
      <c r="E23" s="20">
        <f>_xll.BDH("MCHP US Equity","CF_DISPOSAL_OF_FIXED_PROD_ASSETS","FY 2014","FY 2014","Currency=USD","Period=FY","BEST_FPERIOD_OVERRIDE=FY","FILING_STATUS=MR","SCALING_FORMAT=MLN","Sort=A","Dates=H","DateFormat=P","Fill=—","Direction=H","UseDPDF=Y")</f>
        <v>16.234999999999999</v>
      </c>
      <c r="F23" s="20">
        <f>_xll.BDH("MCHP US Equity","CF_DISPOSAL_OF_FIXED_PROD_ASSETS","FY 2015","FY 2015","Currency=USD","Period=FY","BEST_FPERIOD_OVERRIDE=FY","FILING_STATUS=MR","SCALING_FORMAT=MLN","Sort=A","Dates=H","DateFormat=P","Fill=—","Direction=H","UseDPDF=Y")</f>
        <v>0</v>
      </c>
      <c r="G23" s="20">
        <f>_xll.BDH("MCHP US Equity","CF_DISPOSAL_OF_FIXED_PROD_ASSETS","FY 2016","FY 2016","Currency=USD","Period=FY","BEST_FPERIOD_OVERRIDE=FY","FILING_STATUS=MR","SCALING_FORMAT=MLN","Sort=A","Dates=H","DateFormat=P","Fill=—","Direction=H","UseDPDF=Y")</f>
        <v>14.3</v>
      </c>
      <c r="H23" s="20">
        <f>_xll.BDH("MCHP US Equity","CF_DISPOSAL_OF_FIXED_PROD_ASSETS","FY 2017","FY 2017","Currency=USD","Period=FY","BEST_FPERIOD_OVERRIDE=FY","FILING_STATUS=MR","SCALING_FORMAT=MLN","Sort=A","Dates=H","DateFormat=P","Fill=—","Direction=H","UseDPDF=Y")</f>
        <v>23</v>
      </c>
      <c r="I23" s="20">
        <f>_xll.BDH("MCHP US Equity","CF_DISPOSAL_OF_FIXED_PROD_ASSETS","FY 2018","FY 2018","Currency=USD","Period=FY","BEST_FPERIOD_OVERRIDE=FY","FILING_STATUS=MR","SCALING_FORMAT=MLN","Sort=A","Dates=H","DateFormat=P","Fill=—","Direction=H","UseDPDF=Y")</f>
        <v>10.3</v>
      </c>
      <c r="J23" s="20">
        <f>_xll.BDH("MCHP US Equity","CF_DISPOSAL_OF_FIXED_PROD_ASSETS","FY 2019","FY 2019","Currency=USD","Period=FY","BEST_FPERIOD_OVERRIDE=FY","FILING_STATUS=MR","SCALING_FORMAT=MLN","Sort=A","Dates=H","DateFormat=P","Fill=—","Direction=H","UseDPDF=Y")</f>
        <v>0.2</v>
      </c>
      <c r="K23" s="20">
        <f>_xll.BDH("MCHP US Equity","CF_DISPOSAL_OF_FIXED_PROD_ASSETS","FY 2020","FY 2020","Currency=USD","Period=FY","BEST_FPERIOD_OVERRIDE=FY","FILING_STATUS=MR","SCALING_FORMAT=MLN","Sort=A","Dates=H","DateFormat=P","Fill=—","Direction=H","UseDPDF=Y")</f>
        <v>3.2</v>
      </c>
      <c r="L23" s="21">
        <v>2.9</v>
      </c>
    </row>
    <row r="24" spans="1:12" x14ac:dyDescent="0.45">
      <c r="A24" s="11" t="s">
        <v>56</v>
      </c>
      <c r="B24" s="11" t="s">
        <v>57</v>
      </c>
      <c r="C24" s="20">
        <f>_xll.BDH("MCHP US Equity","CF_DISPOSAL_OF_INTANGIBLE_ASSETS","FY 2012","FY 2012","Currency=USD","Period=FY","BEST_FPERIOD_OVERRIDE=FY","FILING_STATUS=MR","SCALING_FORMAT=MLN","Sort=A","Dates=H","DateFormat=P","Fill=—","Direction=H","UseDPDF=Y")</f>
        <v>0</v>
      </c>
      <c r="D24" s="20">
        <f>_xll.BDH("MCHP US Equity","CF_DISPOSAL_OF_INTANGIBLE_ASSETS","FY 2013","FY 2013","Currency=USD","Period=FY","BEST_FPERIOD_OVERRIDE=FY","FILING_STATUS=MR","SCALING_FORMAT=MLN","Sort=A","Dates=H","DateFormat=P","Fill=—","Direction=H","UseDPDF=Y")</f>
        <v>0</v>
      </c>
      <c r="E24" s="20">
        <f>_xll.BDH("MCHP US Equity","CF_DISPOSAL_OF_INTANGIBLE_ASSETS","FY 2014","FY 2014","Currency=USD","Period=FY","BEST_FPERIOD_OVERRIDE=FY","FILING_STATUS=MR","SCALING_FORMAT=MLN","Sort=A","Dates=H","DateFormat=P","Fill=—","Direction=H","UseDPDF=Y")</f>
        <v>0</v>
      </c>
      <c r="F24" s="20">
        <f>_xll.BDH("MCHP US Equity","CF_DISPOSAL_OF_INTANGIBLE_ASSETS","FY 2015","FY 2015","Currency=USD","Period=FY","BEST_FPERIOD_OVERRIDE=FY","FILING_STATUS=MR","SCALING_FORMAT=MLN","Sort=A","Dates=H","DateFormat=P","Fill=—","Direction=H","UseDPDF=Y")</f>
        <v>0</v>
      </c>
      <c r="G24" s="20">
        <f>_xll.BDH("MCHP US Equity","CF_DISPOSAL_OF_INTANGIBLE_ASSETS","FY 2016","FY 2016","Currency=USD","Period=FY","BEST_FPERIOD_OVERRIDE=FY","FILING_STATUS=MR","SCALING_FORMAT=MLN","Sort=A","Dates=H","DateFormat=P","Fill=—","Direction=H","UseDPDF=Y")</f>
        <v>0</v>
      </c>
      <c r="H24" s="20">
        <f>_xll.BDH("MCHP US Equity","CF_DISPOSAL_OF_INTANGIBLE_ASSETS","FY 2017","FY 2017","Currency=USD","Period=FY","BEST_FPERIOD_OVERRIDE=FY","FILING_STATUS=MR","SCALING_FORMAT=MLN","Sort=A","Dates=H","DateFormat=P","Fill=—","Direction=H","UseDPDF=Y")</f>
        <v>0</v>
      </c>
      <c r="I24" s="20">
        <f>_xll.BDH("MCHP US Equity","CF_DISPOSAL_OF_INTANGIBLE_ASSETS","FY 2018","FY 2018","Currency=USD","Period=FY","BEST_FPERIOD_OVERRIDE=FY","FILING_STATUS=MR","SCALING_FORMAT=MLN","Sort=A","Dates=H","DateFormat=P","Fill=—","Direction=H","UseDPDF=Y")</f>
        <v>0</v>
      </c>
      <c r="J24" s="20">
        <f>_xll.BDH("MCHP US Equity","CF_DISPOSAL_OF_INTANGIBLE_ASSETS","FY 2019","FY 2019","Currency=USD","Period=FY","BEST_FPERIOD_OVERRIDE=FY","FILING_STATUS=MR","SCALING_FORMAT=MLN","Sort=A","Dates=H","DateFormat=P","Fill=—","Direction=H","UseDPDF=Y")</f>
        <v>0</v>
      </c>
      <c r="K24" s="20">
        <f>_xll.BDH("MCHP US Equity","CF_DISPOSAL_OF_INTANGIBLE_ASSETS","FY 2020","FY 2020","Currency=USD","Period=FY","BEST_FPERIOD_OVERRIDE=FY","FILING_STATUS=MR","SCALING_FORMAT=MLN","Sort=A","Dates=H","DateFormat=P","Fill=—","Direction=H","UseDPDF=Y")</f>
        <v>0</v>
      </c>
      <c r="L24" s="21">
        <v>0</v>
      </c>
    </row>
    <row r="25" spans="1:12" x14ac:dyDescent="0.45">
      <c r="A25" s="10" t="s">
        <v>58</v>
      </c>
      <c r="B25" s="10" t="s">
        <v>59</v>
      </c>
      <c r="C25" s="12">
        <f>_xll.BDH("MCHP US Equity","ACQUIS_FXD_&amp;_INTANG_DETAILED","FY 2012","FY 2012","Currency=USD","Period=FY","BEST_FPERIOD_OVERRIDE=FY","FILING_STATUS=MR","SCALING_FORMAT=MLN","Sort=A","Dates=H","DateFormat=P","Fill=—","Direction=H","UseDPDF=Y")</f>
        <v>-62.37</v>
      </c>
      <c r="D25" s="12">
        <f>_xll.BDH("MCHP US Equity","ACQUIS_FXD_&amp;_INTANG_DETAILED","FY 2013","FY 2013","Currency=USD","Period=FY","BEST_FPERIOD_OVERRIDE=FY","FILING_STATUS=MR","SCALING_FORMAT=MLN","Sort=A","Dates=H","DateFormat=P","Fill=—","Direction=H","UseDPDF=Y")</f>
        <v>-50.817999999999998</v>
      </c>
      <c r="E25" s="12">
        <f>_xll.BDH("MCHP US Equity","ACQUIS_FXD_&amp;_INTANG_DETAILED","FY 2014","FY 2014","Currency=USD","Period=FY","BEST_FPERIOD_OVERRIDE=FY","FILING_STATUS=MR","SCALING_FORMAT=MLN","Sort=A","Dates=H","DateFormat=P","Fill=—","Direction=H","UseDPDF=Y")</f>
        <v>-113.072</v>
      </c>
      <c r="F25" s="12">
        <f>_xll.BDH("MCHP US Equity","ACQUIS_FXD_&amp;_INTANG_DETAILED","FY 2015","FY 2015","Currency=USD","Period=FY","BEST_FPERIOD_OVERRIDE=FY","FILING_STATUS=MR","SCALING_FORMAT=MLN","Sort=A","Dates=H","DateFormat=P","Fill=—","Direction=H","UseDPDF=Y")</f>
        <v>-149.47200000000001</v>
      </c>
      <c r="G25" s="12">
        <f>_xll.BDH("MCHP US Equity","ACQUIS_FXD_&amp;_INTANG_DETAILED","FY 2016","FY 2016","Currency=USD","Period=FY","BEST_FPERIOD_OVERRIDE=FY","FILING_STATUS=MR","SCALING_FORMAT=MLN","Sort=A","Dates=H","DateFormat=P","Fill=—","Direction=H","UseDPDF=Y")</f>
        <v>-97.9</v>
      </c>
      <c r="H25" s="12">
        <f>_xll.BDH("MCHP US Equity","ACQUIS_FXD_&amp;_INTANG_DETAILED","FY 2017","FY 2017","Currency=USD","Period=FY","BEST_FPERIOD_OVERRIDE=FY","FILING_STATUS=MR","SCALING_FORMAT=MLN","Sort=A","Dates=H","DateFormat=P","Fill=—","Direction=H","UseDPDF=Y")</f>
        <v>-75.3</v>
      </c>
      <c r="I25" s="12">
        <f>_xll.BDH("MCHP US Equity","ACQUIS_FXD_&amp;_INTANG_DETAILED","FY 2018","FY 2018","Currency=USD","Period=FY","BEST_FPERIOD_OVERRIDE=FY","FILING_STATUS=MR","SCALING_FORMAT=MLN","Sort=A","Dates=H","DateFormat=P","Fill=—","Direction=H","UseDPDF=Y")</f>
        <v>-206.8</v>
      </c>
      <c r="J25" s="12">
        <f>_xll.BDH("MCHP US Equity","ACQUIS_FXD_&amp;_INTANG_DETAILED","FY 2019","FY 2019","Currency=USD","Period=FY","BEST_FPERIOD_OVERRIDE=FY","FILING_STATUS=MR","SCALING_FORMAT=MLN","Sort=A","Dates=H","DateFormat=P","Fill=—","Direction=H","UseDPDF=Y")</f>
        <v>-228.9</v>
      </c>
      <c r="K25" s="12">
        <f>_xll.BDH("MCHP US Equity","ACQUIS_FXD_&amp;_INTANG_DETAILED","FY 2020","FY 2020","Currency=USD","Period=FY","BEST_FPERIOD_OVERRIDE=FY","FILING_STATUS=MR","SCALING_FORMAT=MLN","Sort=A","Dates=H","DateFormat=P","Fill=—","Direction=H","UseDPDF=Y")</f>
        <v>-67.599999999999994</v>
      </c>
      <c r="L25" s="14">
        <v>-41.8</v>
      </c>
    </row>
    <row r="26" spans="1:12" x14ac:dyDescent="0.45">
      <c r="A26" s="11" t="s">
        <v>60</v>
      </c>
      <c r="B26" s="11" t="s">
        <v>61</v>
      </c>
      <c r="C26" s="20">
        <f>_xll.BDH("MCHP US Equity","CF_PURCHASE_OF_FIXED_PROD_ASSETS","FY 2012","FY 2012","Currency=USD","Period=FY","BEST_FPERIOD_OVERRIDE=FY","FILING_STATUS=MR","SCALING_FORMAT=MLN","Sort=A","Dates=H","DateFormat=P","Fill=—","Direction=H","UseDPDF=Y")</f>
        <v>-62.37</v>
      </c>
      <c r="D26" s="20">
        <f>_xll.BDH("MCHP US Equity","CF_PURCHASE_OF_FIXED_PROD_ASSETS","FY 2013","FY 2013","Currency=USD","Period=FY","BEST_FPERIOD_OVERRIDE=FY","FILING_STATUS=MR","SCALING_FORMAT=MLN","Sort=A","Dates=H","DateFormat=P","Fill=—","Direction=H","UseDPDF=Y")</f>
        <v>-50.817999999999998</v>
      </c>
      <c r="E26" s="20">
        <f>_xll.BDH("MCHP US Equity","CF_PURCHASE_OF_FIXED_PROD_ASSETS","FY 2014","FY 2014","Currency=USD","Period=FY","BEST_FPERIOD_OVERRIDE=FY","FILING_STATUS=MR","SCALING_FORMAT=MLN","Sort=A","Dates=H","DateFormat=P","Fill=—","Direction=H","UseDPDF=Y")</f>
        <v>-113.072</v>
      </c>
      <c r="F26" s="20">
        <f>_xll.BDH("MCHP US Equity","CF_PURCHASE_OF_FIXED_PROD_ASSETS","FY 2015","FY 2015","Currency=USD","Period=FY","BEST_FPERIOD_OVERRIDE=FY","FILING_STATUS=MR","SCALING_FORMAT=MLN","Sort=A","Dates=H","DateFormat=P","Fill=—","Direction=H","UseDPDF=Y")</f>
        <v>-149.47200000000001</v>
      </c>
      <c r="G26" s="20">
        <f>_xll.BDH("MCHP US Equity","CF_PURCHASE_OF_FIXED_PROD_ASSETS","FY 2016","FY 2016","Currency=USD","Period=FY","BEST_FPERIOD_OVERRIDE=FY","FILING_STATUS=MR","SCALING_FORMAT=MLN","Sort=A","Dates=H","DateFormat=P","Fill=—","Direction=H","UseDPDF=Y")</f>
        <v>-97.9</v>
      </c>
      <c r="H26" s="20">
        <f>_xll.BDH("MCHP US Equity","CF_PURCHASE_OF_FIXED_PROD_ASSETS","FY 2017","FY 2017","Currency=USD","Period=FY","BEST_FPERIOD_OVERRIDE=FY","FILING_STATUS=MR","SCALING_FORMAT=MLN","Sort=A","Dates=H","DateFormat=P","Fill=—","Direction=H","UseDPDF=Y")</f>
        <v>-75.3</v>
      </c>
      <c r="I26" s="20">
        <f>_xll.BDH("MCHP US Equity","CF_PURCHASE_OF_FIXED_PROD_ASSETS","FY 2018","FY 2018","Currency=USD","Period=FY","BEST_FPERIOD_OVERRIDE=FY","FILING_STATUS=MR","SCALING_FORMAT=MLN","Sort=A","Dates=H","DateFormat=P","Fill=—","Direction=H","UseDPDF=Y")</f>
        <v>-206.8</v>
      </c>
      <c r="J26" s="20">
        <f>_xll.BDH("MCHP US Equity","CF_PURCHASE_OF_FIXED_PROD_ASSETS","FY 2019","FY 2019","Currency=USD","Period=FY","BEST_FPERIOD_OVERRIDE=FY","FILING_STATUS=MR","SCALING_FORMAT=MLN","Sort=A","Dates=H","DateFormat=P","Fill=—","Direction=H","UseDPDF=Y")</f>
        <v>-228.9</v>
      </c>
      <c r="K26" s="20">
        <f>_xll.BDH("MCHP US Equity","CF_PURCHASE_OF_FIXED_PROD_ASSETS","FY 2020","FY 2020","Currency=USD","Period=FY","BEST_FPERIOD_OVERRIDE=FY","FILING_STATUS=MR","SCALING_FORMAT=MLN","Sort=A","Dates=H","DateFormat=P","Fill=—","Direction=H","UseDPDF=Y")</f>
        <v>-67.599999999999994</v>
      </c>
      <c r="L26" s="21">
        <v>-41.8</v>
      </c>
    </row>
    <row r="27" spans="1:12" x14ac:dyDescent="0.45">
      <c r="A27" s="11" t="s">
        <v>62</v>
      </c>
      <c r="B27" s="11" t="s">
        <v>63</v>
      </c>
      <c r="C27" s="20">
        <f>_xll.BDH("MCHP US Equity","CF_ACQUISITION_OF_INTANG_ASSETS","FY 2012","FY 2012","Currency=USD","Period=FY","BEST_FPERIOD_OVERRIDE=FY","FILING_STATUS=MR","SCALING_FORMAT=MLN","Sort=A","Dates=H","DateFormat=P","Fill=—","Direction=H","UseDPDF=Y")</f>
        <v>0</v>
      </c>
      <c r="D27" s="20">
        <f>_xll.BDH("MCHP US Equity","CF_ACQUISITION_OF_INTANG_ASSETS","FY 2013","FY 2013","Currency=USD","Period=FY","BEST_FPERIOD_OVERRIDE=FY","FILING_STATUS=MR","SCALING_FORMAT=MLN","Sort=A","Dates=H","DateFormat=P","Fill=—","Direction=H","UseDPDF=Y")</f>
        <v>0</v>
      </c>
      <c r="E27" s="20">
        <f>_xll.BDH("MCHP US Equity","CF_ACQUISITION_OF_INTANG_ASSETS","FY 2014","FY 2014","Currency=USD","Period=FY","BEST_FPERIOD_OVERRIDE=FY","FILING_STATUS=MR","SCALING_FORMAT=MLN","Sort=A","Dates=H","DateFormat=P","Fill=—","Direction=H","UseDPDF=Y")</f>
        <v>0</v>
      </c>
      <c r="F27" s="20">
        <f>_xll.BDH("MCHP US Equity","CF_ACQUISITION_OF_INTANG_ASSETS","FY 2015","FY 2015","Currency=USD","Period=FY","BEST_FPERIOD_OVERRIDE=FY","FILING_STATUS=MR","SCALING_FORMAT=MLN","Sort=A","Dates=H","DateFormat=P","Fill=—","Direction=H","UseDPDF=Y")</f>
        <v>0</v>
      </c>
      <c r="G27" s="20">
        <f>_xll.BDH("MCHP US Equity","CF_ACQUISITION_OF_INTANG_ASSETS","FY 2016","FY 2016","Currency=USD","Period=FY","BEST_FPERIOD_OVERRIDE=FY","FILING_STATUS=MR","SCALING_FORMAT=MLN","Sort=A","Dates=H","DateFormat=P","Fill=—","Direction=H","UseDPDF=Y")</f>
        <v>0</v>
      </c>
      <c r="H27" s="20">
        <f>_xll.BDH("MCHP US Equity","CF_ACQUISITION_OF_INTANG_ASSETS","FY 2017","FY 2017","Currency=USD","Period=FY","BEST_FPERIOD_OVERRIDE=FY","FILING_STATUS=MR","SCALING_FORMAT=MLN","Sort=A","Dates=H","DateFormat=P","Fill=—","Direction=H","UseDPDF=Y")</f>
        <v>0</v>
      </c>
      <c r="I27" s="20">
        <f>_xll.BDH("MCHP US Equity","CF_ACQUISITION_OF_INTANG_ASSETS","FY 2018","FY 2018","Currency=USD","Period=FY","BEST_FPERIOD_OVERRIDE=FY","FILING_STATUS=MR","SCALING_FORMAT=MLN","Sort=A","Dates=H","DateFormat=P","Fill=—","Direction=H","UseDPDF=Y")</f>
        <v>0</v>
      </c>
      <c r="J27" s="20">
        <f>_xll.BDH("MCHP US Equity","CF_ACQUISITION_OF_INTANG_ASSETS","FY 2019","FY 2019","Currency=USD","Period=FY","BEST_FPERIOD_OVERRIDE=FY","FILING_STATUS=MR","SCALING_FORMAT=MLN","Sort=A","Dates=H","DateFormat=P","Fill=—","Direction=H","UseDPDF=Y")</f>
        <v>0</v>
      </c>
      <c r="K27" s="20">
        <f>_xll.BDH("MCHP US Equity","CF_ACQUISITION_OF_INTANG_ASSETS","FY 2020","FY 2020","Currency=USD","Period=FY","BEST_FPERIOD_OVERRIDE=FY","FILING_STATUS=MR","SCALING_FORMAT=MLN","Sort=A","Dates=H","DateFormat=P","Fill=—","Direction=H","UseDPDF=Y")</f>
        <v>0</v>
      </c>
      <c r="L27" s="21">
        <v>0</v>
      </c>
    </row>
    <row r="28" spans="1:12" x14ac:dyDescent="0.45">
      <c r="A28" s="10" t="s">
        <v>64</v>
      </c>
      <c r="B28" s="10" t="s">
        <v>65</v>
      </c>
      <c r="C28" s="12">
        <f>_xll.BDH("MCHP US Equity","NET_CHG_IN_LT_INVEST_DETAILED","FY 2012","FY 2012","Currency=USD","Period=FY","BEST_FPERIOD_OVERRIDE=FY","FILING_STATUS=MR","SCALING_FORMAT=MLN","Sort=A","Dates=H","DateFormat=P","Fill=—","Direction=H","UseDPDF=Y")</f>
        <v>0</v>
      </c>
      <c r="D28" s="12">
        <f>_xll.BDH("MCHP US Equity","NET_CHG_IN_LT_INVEST_DETAILED","FY 2013","FY 2013","Currency=USD","Period=FY","BEST_FPERIOD_OVERRIDE=FY","FILING_STATUS=MR","SCALING_FORMAT=MLN","Sort=A","Dates=H","DateFormat=P","Fill=—","Direction=H","UseDPDF=Y")</f>
        <v>0</v>
      </c>
      <c r="E28" s="12">
        <f>_xll.BDH("MCHP US Equity","NET_CHG_IN_LT_INVEST_DETAILED","FY 2014","FY 2014","Currency=USD","Period=FY","BEST_FPERIOD_OVERRIDE=FY","FILING_STATUS=MR","SCALING_FORMAT=MLN","Sort=A","Dates=H","DateFormat=P","Fill=—","Direction=H","UseDPDF=Y")</f>
        <v>0</v>
      </c>
      <c r="F28" s="12">
        <f>_xll.BDH("MCHP US Equity","NET_CHG_IN_LT_INVEST_DETAILED","FY 2015","FY 2015","Currency=USD","Period=FY","BEST_FPERIOD_OVERRIDE=FY","FILING_STATUS=MR","SCALING_FORMAT=MLN","Sort=A","Dates=H","DateFormat=P","Fill=—","Direction=H","UseDPDF=Y")</f>
        <v>0</v>
      </c>
      <c r="G28" s="12">
        <f>_xll.BDH("MCHP US Equity","NET_CHG_IN_LT_INVEST_DETAILED","FY 2016","FY 2016","Currency=USD","Period=FY","BEST_FPERIOD_OVERRIDE=FY","FILING_STATUS=MR","SCALING_FORMAT=MLN","Sort=A","Dates=H","DateFormat=P","Fill=—","Direction=H","UseDPDF=Y")</f>
        <v>0</v>
      </c>
      <c r="H28" s="12">
        <f>_xll.BDH("MCHP US Equity","NET_CHG_IN_LT_INVEST_DETAILED","FY 2017","FY 2017","Currency=USD","Period=FY","BEST_FPERIOD_OVERRIDE=FY","FILING_STATUS=MR","SCALING_FORMAT=MLN","Sort=A","Dates=H","DateFormat=P","Fill=—","Direction=H","UseDPDF=Y")</f>
        <v>0</v>
      </c>
      <c r="I28" s="12">
        <f>_xll.BDH("MCHP US Equity","NET_CHG_IN_LT_INVEST_DETAILED","FY 2018","FY 2018","Currency=USD","Period=FY","BEST_FPERIOD_OVERRIDE=FY","FILING_STATUS=MR","SCALING_FORMAT=MLN","Sort=A","Dates=H","DateFormat=P","Fill=—","Direction=H","UseDPDF=Y")</f>
        <v>0</v>
      </c>
      <c r="J28" s="12">
        <f>_xll.BDH("MCHP US Equity","NET_CHG_IN_LT_INVEST_DETAILED","FY 2019","FY 2019","Currency=USD","Period=FY","BEST_FPERIOD_OVERRIDE=FY","FILING_STATUS=MR","SCALING_FORMAT=MLN","Sort=A","Dates=H","DateFormat=P","Fill=—","Direction=H","UseDPDF=Y")</f>
        <v>0</v>
      </c>
      <c r="K28" s="12">
        <f>_xll.BDH("MCHP US Equity","NET_CHG_IN_LT_INVEST_DETAILED","FY 2020","FY 2020","Currency=USD","Period=FY","BEST_FPERIOD_OVERRIDE=FY","FILING_STATUS=MR","SCALING_FORMAT=MLN","Sort=A","Dates=H","DateFormat=P","Fill=—","Direction=H","UseDPDF=Y")</f>
        <v>0</v>
      </c>
      <c r="L28" s="14">
        <v>0</v>
      </c>
    </row>
    <row r="29" spans="1:12" x14ac:dyDescent="0.45">
      <c r="A29" s="10" t="s">
        <v>66</v>
      </c>
      <c r="B29" s="10" t="s">
        <v>67</v>
      </c>
      <c r="C29" s="12">
        <f>_xll.BDH("MCHP US Equity","CF_DECR_INVEST","FY 2012","FY 2012","Currency=USD","Period=FY","BEST_FPERIOD_OVERRIDE=FY","FILING_STATUS=MR","SCALING_FORMAT=MLN","Sort=A","Dates=H","DateFormat=P","Fill=—","Direction=H","UseDPDF=Y")</f>
        <v>0</v>
      </c>
      <c r="D29" s="12">
        <f>_xll.BDH("MCHP US Equity","CF_DECR_INVEST","FY 2013","FY 2013","Currency=USD","Period=FY","BEST_FPERIOD_OVERRIDE=FY","FILING_STATUS=MR","SCALING_FORMAT=MLN","Sort=A","Dates=H","DateFormat=P","Fill=—","Direction=H","UseDPDF=Y")</f>
        <v>0</v>
      </c>
      <c r="E29" s="12">
        <f>_xll.BDH("MCHP US Equity","CF_DECR_INVEST","FY 2014","FY 2014","Currency=USD","Period=FY","BEST_FPERIOD_OVERRIDE=FY","FILING_STATUS=MR","SCALING_FORMAT=MLN","Sort=A","Dates=H","DateFormat=P","Fill=—","Direction=H","UseDPDF=Y")</f>
        <v>0</v>
      </c>
      <c r="F29" s="12">
        <f>_xll.BDH("MCHP US Equity","CF_DECR_INVEST","FY 2015","FY 2015","Currency=USD","Period=FY","BEST_FPERIOD_OVERRIDE=FY","FILING_STATUS=MR","SCALING_FORMAT=MLN","Sort=A","Dates=H","DateFormat=P","Fill=—","Direction=H","UseDPDF=Y")</f>
        <v>0</v>
      </c>
      <c r="G29" s="12">
        <f>_xll.BDH("MCHP US Equity","CF_DECR_INVEST","FY 2016","FY 2016","Currency=USD","Period=FY","BEST_FPERIOD_OVERRIDE=FY","FILING_STATUS=MR","SCALING_FORMAT=MLN","Sort=A","Dates=H","DateFormat=P","Fill=—","Direction=H","UseDPDF=Y")</f>
        <v>0</v>
      </c>
      <c r="H29" s="12" t="str">
        <f>_xll.BDH("MCHP US Equity","CF_DECR_INVEST","FY 2017","FY 2017","Currency=USD","Period=FY","BEST_FPERIOD_OVERRIDE=FY","FILING_STATUS=MR","SCALING_FORMAT=MLN","Sort=A","Dates=H","DateFormat=P","Fill=—","Direction=H","UseDPDF=Y")</f>
        <v>—</v>
      </c>
      <c r="I29" s="12" t="str">
        <f>_xll.BDH("MCHP US Equity","CF_DECR_INVEST","FY 2018","FY 2018","Currency=USD","Period=FY","BEST_FPERIOD_OVERRIDE=FY","FILING_STATUS=MR","SCALING_FORMAT=MLN","Sort=A","Dates=H","DateFormat=P","Fill=—","Direction=H","UseDPDF=Y")</f>
        <v>—</v>
      </c>
      <c r="J29" s="12" t="str">
        <f>_xll.BDH("MCHP US Equity","CF_DECR_INVEST","FY 2019","FY 2019","Currency=USD","Period=FY","BEST_FPERIOD_OVERRIDE=FY","FILING_STATUS=MR","SCALING_FORMAT=MLN","Sort=A","Dates=H","DateFormat=P","Fill=—","Direction=H","UseDPDF=Y")</f>
        <v>—</v>
      </c>
      <c r="K29" s="12" t="str">
        <f>_xll.BDH("MCHP US Equity","CF_DECR_INVEST","FY 2020","FY 2020","Currency=USD","Period=FY","BEST_FPERIOD_OVERRIDE=FY","FILING_STATUS=MR","SCALING_FORMAT=MLN","Sort=A","Dates=H","DateFormat=P","Fill=—","Direction=H","UseDPDF=Y")</f>
        <v>—</v>
      </c>
      <c r="L29" s="14">
        <v>0</v>
      </c>
    </row>
    <row r="30" spans="1:12" x14ac:dyDescent="0.45">
      <c r="A30" s="10" t="s">
        <v>68</v>
      </c>
      <c r="B30" s="10" t="s">
        <v>69</v>
      </c>
      <c r="C30" s="12">
        <f>_xll.BDH("MCHP US Equity","CF_INCR_INVEST","FY 2012","FY 2012","Currency=USD","Period=FY","BEST_FPERIOD_OVERRIDE=FY","FILING_STATUS=MR","SCALING_FORMAT=MLN","Sort=A","Dates=H","DateFormat=P","Fill=—","Direction=H","UseDPDF=Y")</f>
        <v>0</v>
      </c>
      <c r="D30" s="12">
        <f>_xll.BDH("MCHP US Equity","CF_INCR_INVEST","FY 2013","FY 2013","Currency=USD","Period=FY","BEST_FPERIOD_OVERRIDE=FY","FILING_STATUS=MR","SCALING_FORMAT=MLN","Sort=A","Dates=H","DateFormat=P","Fill=—","Direction=H","UseDPDF=Y")</f>
        <v>0</v>
      </c>
      <c r="E30" s="12">
        <f>_xll.BDH("MCHP US Equity","CF_INCR_INVEST","FY 2014","FY 2014","Currency=USD","Period=FY","BEST_FPERIOD_OVERRIDE=FY","FILING_STATUS=MR","SCALING_FORMAT=MLN","Sort=A","Dates=H","DateFormat=P","Fill=—","Direction=H","UseDPDF=Y")</f>
        <v>0</v>
      </c>
      <c r="F30" s="12">
        <f>_xll.BDH("MCHP US Equity","CF_INCR_INVEST","FY 2015","FY 2015","Currency=USD","Period=FY","BEST_FPERIOD_OVERRIDE=FY","FILING_STATUS=MR","SCALING_FORMAT=MLN","Sort=A","Dates=H","DateFormat=P","Fill=—","Direction=H","UseDPDF=Y")</f>
        <v>0</v>
      </c>
      <c r="G30" s="12">
        <f>_xll.BDH("MCHP US Equity","CF_INCR_INVEST","FY 2016","FY 2016","Currency=USD","Period=FY","BEST_FPERIOD_OVERRIDE=FY","FILING_STATUS=MR","SCALING_FORMAT=MLN","Sort=A","Dates=H","DateFormat=P","Fill=—","Direction=H","UseDPDF=Y")</f>
        <v>0</v>
      </c>
      <c r="H30" s="12" t="str">
        <f>_xll.BDH("MCHP US Equity","CF_INCR_INVEST","FY 2017","FY 2017","Currency=USD","Period=FY","BEST_FPERIOD_OVERRIDE=FY","FILING_STATUS=MR","SCALING_FORMAT=MLN","Sort=A","Dates=H","DateFormat=P","Fill=—","Direction=H","UseDPDF=Y")</f>
        <v>—</v>
      </c>
      <c r="I30" s="12" t="str">
        <f>_xll.BDH("MCHP US Equity","CF_INCR_INVEST","FY 2018","FY 2018","Currency=USD","Period=FY","BEST_FPERIOD_OVERRIDE=FY","FILING_STATUS=MR","SCALING_FORMAT=MLN","Sort=A","Dates=H","DateFormat=P","Fill=—","Direction=H","UseDPDF=Y")</f>
        <v>—</v>
      </c>
      <c r="J30" s="12" t="str">
        <f>_xll.BDH("MCHP US Equity","CF_INCR_INVEST","FY 2019","FY 2019","Currency=USD","Period=FY","BEST_FPERIOD_OVERRIDE=FY","FILING_STATUS=MR","SCALING_FORMAT=MLN","Sort=A","Dates=H","DateFormat=P","Fill=—","Direction=H","UseDPDF=Y")</f>
        <v>—</v>
      </c>
      <c r="K30" s="12" t="str">
        <f>_xll.BDH("MCHP US Equity","CF_INCR_INVEST","FY 2020","FY 2020","Currency=USD","Period=FY","BEST_FPERIOD_OVERRIDE=FY","FILING_STATUS=MR","SCALING_FORMAT=MLN","Sort=A","Dates=H","DateFormat=P","Fill=—","Direction=H","UseDPDF=Y")</f>
        <v>—</v>
      </c>
      <c r="L30" s="14">
        <v>0</v>
      </c>
    </row>
    <row r="31" spans="1:12" x14ac:dyDescent="0.45">
      <c r="A31" s="10" t="s">
        <v>70</v>
      </c>
      <c r="B31" s="10" t="s">
        <v>71</v>
      </c>
      <c r="C31" s="12">
        <f>_xll.BDH("MCHP US Equity","CF_NT_CSH_RCVD_PD_FOR_ACQUIS_DIV","FY 2012","FY 2012","Currency=USD","Period=FY","BEST_FPERIOD_OVERRIDE=FY","FILING_STATUS=MR","SCALING_FORMAT=MLN","Sort=A","Dates=H","DateFormat=P","Fill=—","Direction=H","UseDPDF=Y")</f>
        <v>-38.58</v>
      </c>
      <c r="D31" s="12">
        <f>_xll.BDH("MCHP US Equity","CF_NT_CSH_RCVD_PD_FOR_ACQUIS_DIV","FY 2013","FY 2013","Currency=USD","Period=FY","BEST_FPERIOD_OVERRIDE=FY","FILING_STATUS=MR","SCALING_FORMAT=MLN","Sort=A","Dates=H","DateFormat=P","Fill=—","Direction=H","UseDPDF=Y")</f>
        <v>-752.30200000000002</v>
      </c>
      <c r="E31" s="12">
        <f>_xll.BDH("MCHP US Equity","CF_NT_CSH_RCVD_PD_FOR_ACQUIS_DIV","FY 2014","FY 2014","Currency=USD","Period=FY","BEST_FPERIOD_OVERRIDE=FY","FILING_STATUS=MR","SCALING_FORMAT=MLN","Sort=A","Dates=H","DateFormat=P","Fill=—","Direction=H","UseDPDF=Y")</f>
        <v>-11.186999999999999</v>
      </c>
      <c r="F31" s="12">
        <f>_xll.BDH("MCHP US Equity","CF_NT_CSH_RCVD_PD_FOR_ACQUIS_DIV","FY 2015","FY 2015","Currency=USD","Period=FY","BEST_FPERIOD_OVERRIDE=FY","FILING_STATUS=MR","SCALING_FORMAT=MLN","Sort=A","Dates=H","DateFormat=P","Fill=—","Direction=H","UseDPDF=Y")</f>
        <v>-627.83399999999995</v>
      </c>
      <c r="G31" s="12">
        <f>_xll.BDH("MCHP US Equity","CF_NT_CSH_RCVD_PD_FOR_ACQUIS_DIV","FY 2016","FY 2016","Currency=USD","Period=FY","BEST_FPERIOD_OVERRIDE=FY","FILING_STATUS=MR","SCALING_FORMAT=MLN","Sort=A","Dates=H","DateFormat=P","Fill=—","Direction=H","UseDPDF=Y")</f>
        <v>-343.9</v>
      </c>
      <c r="H31" s="12">
        <f>_xll.BDH("MCHP US Equity","CF_NT_CSH_RCVD_PD_FOR_ACQUIS_DIV","FY 2017","FY 2017","Currency=USD","Period=FY","BEST_FPERIOD_OVERRIDE=FY","FILING_STATUS=MR","SCALING_FORMAT=MLN","Sort=A","Dates=H","DateFormat=P","Fill=—","Direction=H","UseDPDF=Y")</f>
        <v>-2747.5</v>
      </c>
      <c r="I31" s="12">
        <f>_xll.BDH("MCHP US Equity","CF_NT_CSH_RCVD_PD_FOR_ACQUIS_DIV","FY 2018","FY 2018","Currency=USD","Period=FY","BEST_FPERIOD_OVERRIDE=FY","FILING_STATUS=MR","SCALING_FORMAT=MLN","Sort=A","Dates=H","DateFormat=P","Fill=—","Direction=H","UseDPDF=Y")</f>
        <v>0</v>
      </c>
      <c r="J31" s="12">
        <f>_xll.BDH("MCHP US Equity","CF_NT_CSH_RCVD_PD_FOR_ACQUIS_DIV","FY 2019","FY 2019","Currency=USD","Period=FY","BEST_FPERIOD_OVERRIDE=FY","FILING_STATUS=MR","SCALING_FORMAT=MLN","Sort=A","Dates=H","DateFormat=P","Fill=—","Direction=H","UseDPDF=Y")</f>
        <v>-7850.6</v>
      </c>
      <c r="K31" s="12">
        <f>_xll.BDH("MCHP US Equity","CF_NT_CSH_RCVD_PD_FOR_ACQUIS_DIV","FY 2020","FY 2020","Currency=USD","Period=FY","BEST_FPERIOD_OVERRIDE=FY","FILING_STATUS=MR","SCALING_FORMAT=MLN","Sort=A","Dates=H","DateFormat=P","Fill=—","Direction=H","UseDPDF=Y")</f>
        <v>0</v>
      </c>
      <c r="L31" s="14">
        <v>0</v>
      </c>
    </row>
    <row r="32" spans="1:12" x14ac:dyDescent="0.45">
      <c r="A32" s="10" t="s">
        <v>72</v>
      </c>
      <c r="B32" s="10" t="s">
        <v>73</v>
      </c>
      <c r="C32" s="12">
        <f>_xll.BDH("MCHP US Equity","CF_CASH_FOR_DIVESTITURES","FY 2012","FY 2012","Currency=USD","Period=FY","BEST_FPERIOD_OVERRIDE=FY","FILING_STATUS=MR","SCALING_FORMAT=MLN","Sort=A","Dates=H","DateFormat=P","Fill=—","Direction=H","UseDPDF=Y")</f>
        <v>0</v>
      </c>
      <c r="D32" s="12">
        <f>_xll.BDH("MCHP US Equity","CF_CASH_FOR_DIVESTITURES","FY 2013","FY 2013","Currency=USD","Period=FY","BEST_FPERIOD_OVERRIDE=FY","FILING_STATUS=MR","SCALING_FORMAT=MLN","Sort=A","Dates=H","DateFormat=P","Fill=—","Direction=H","UseDPDF=Y")</f>
        <v>0</v>
      </c>
      <c r="E32" s="12">
        <f>_xll.BDH("MCHP US Equity","CF_CASH_FOR_DIVESTITURES","FY 2014","FY 2014","Currency=USD","Period=FY","BEST_FPERIOD_OVERRIDE=FY","FILING_STATUS=MR","SCALING_FORMAT=MLN","Sort=A","Dates=H","DateFormat=P","Fill=—","Direction=H","UseDPDF=Y")</f>
        <v>0</v>
      </c>
      <c r="F32" s="12">
        <f>_xll.BDH("MCHP US Equity","CF_CASH_FOR_DIVESTITURES","FY 2015","FY 2015","Currency=USD","Period=FY","BEST_FPERIOD_OVERRIDE=FY","FILING_STATUS=MR","SCALING_FORMAT=MLN","Sort=A","Dates=H","DateFormat=P","Fill=—","Direction=H","UseDPDF=Y")</f>
        <v>0</v>
      </c>
      <c r="G32" s="12">
        <f>_xll.BDH("MCHP US Equity","CF_CASH_FOR_DIVESTITURES","FY 2016","FY 2016","Currency=USD","Period=FY","BEST_FPERIOD_OVERRIDE=FY","FILING_STATUS=MR","SCALING_FORMAT=MLN","Sort=A","Dates=H","DateFormat=P","Fill=—","Direction=H","UseDPDF=Y")</f>
        <v>0</v>
      </c>
      <c r="H32" s="12">
        <f>_xll.BDH("MCHP US Equity","CF_CASH_FOR_DIVESTITURES","FY 2017","FY 2017","Currency=USD","Period=FY","BEST_FPERIOD_OVERRIDE=FY","FILING_STATUS=MR","SCALING_FORMAT=MLN","Sort=A","Dates=H","DateFormat=P","Fill=—","Direction=H","UseDPDF=Y")</f>
        <v>0</v>
      </c>
      <c r="I32" s="12">
        <f>_xll.BDH("MCHP US Equity","CF_CASH_FOR_DIVESTITURES","FY 2018","FY 2018","Currency=USD","Period=FY","BEST_FPERIOD_OVERRIDE=FY","FILING_STATUS=MR","SCALING_FORMAT=MLN","Sort=A","Dates=H","DateFormat=P","Fill=—","Direction=H","UseDPDF=Y")</f>
        <v>0</v>
      </c>
      <c r="J32" s="12">
        <f>_xll.BDH("MCHP US Equity","CF_CASH_FOR_DIVESTITURES","FY 2019","FY 2019","Currency=USD","Period=FY","BEST_FPERIOD_OVERRIDE=FY","FILING_STATUS=MR","SCALING_FORMAT=MLN","Sort=A","Dates=H","DateFormat=P","Fill=—","Direction=H","UseDPDF=Y")</f>
        <v>0</v>
      </c>
      <c r="K32" s="12">
        <f>_xll.BDH("MCHP US Equity","CF_CASH_FOR_DIVESTITURES","FY 2020","FY 2020","Currency=USD","Period=FY","BEST_FPERIOD_OVERRIDE=FY","FILING_STATUS=MR","SCALING_FORMAT=MLN","Sort=A","Dates=H","DateFormat=P","Fill=—","Direction=H","UseDPDF=Y")</f>
        <v>0</v>
      </c>
      <c r="L32" s="14">
        <v>0</v>
      </c>
    </row>
    <row r="33" spans="1:12" x14ac:dyDescent="0.45">
      <c r="A33" s="10" t="s">
        <v>74</v>
      </c>
      <c r="B33" s="10" t="s">
        <v>75</v>
      </c>
      <c r="C33" s="12">
        <f>_xll.BDH("MCHP US Equity","CF_CASH_FOR_ACQUIS_SUBSIDIARIES","FY 2012","FY 2012","Currency=USD","Period=FY","BEST_FPERIOD_OVERRIDE=FY","FILING_STATUS=MR","SCALING_FORMAT=MLN","Sort=A","Dates=H","DateFormat=P","Fill=—","Direction=H","UseDPDF=Y")</f>
        <v>-38.58</v>
      </c>
      <c r="D33" s="12">
        <f>_xll.BDH("MCHP US Equity","CF_CASH_FOR_ACQUIS_SUBSIDIARIES","FY 2013","FY 2013","Currency=USD","Period=FY","BEST_FPERIOD_OVERRIDE=FY","FILING_STATUS=MR","SCALING_FORMAT=MLN","Sort=A","Dates=H","DateFormat=P","Fill=—","Direction=H","UseDPDF=Y")</f>
        <v>-752.30200000000002</v>
      </c>
      <c r="E33" s="12">
        <f>_xll.BDH("MCHP US Equity","CF_CASH_FOR_ACQUIS_SUBSIDIARIES","FY 2014","FY 2014","Currency=USD","Period=FY","BEST_FPERIOD_OVERRIDE=FY","FILING_STATUS=MR","SCALING_FORMAT=MLN","Sort=A","Dates=H","DateFormat=P","Fill=—","Direction=H","UseDPDF=Y")</f>
        <v>-11.186999999999999</v>
      </c>
      <c r="F33" s="12">
        <f>_xll.BDH("MCHP US Equity","CF_CASH_FOR_ACQUIS_SUBSIDIARIES","FY 2015","FY 2015","Currency=USD","Period=FY","BEST_FPERIOD_OVERRIDE=FY","FILING_STATUS=MR","SCALING_FORMAT=MLN","Sort=A","Dates=H","DateFormat=P","Fill=—","Direction=H","UseDPDF=Y")</f>
        <v>-627.83399999999995</v>
      </c>
      <c r="G33" s="12">
        <f>_xll.BDH("MCHP US Equity","CF_CASH_FOR_ACQUIS_SUBSIDIARIES","FY 2016","FY 2016","Currency=USD","Period=FY","BEST_FPERIOD_OVERRIDE=FY","FILING_STATUS=MR","SCALING_FORMAT=MLN","Sort=A","Dates=H","DateFormat=P","Fill=—","Direction=H","UseDPDF=Y")</f>
        <v>-343.9</v>
      </c>
      <c r="H33" s="12">
        <f>_xll.BDH("MCHP US Equity","CF_CASH_FOR_ACQUIS_SUBSIDIARIES","FY 2017","FY 2017","Currency=USD","Period=FY","BEST_FPERIOD_OVERRIDE=FY","FILING_STATUS=MR","SCALING_FORMAT=MLN","Sort=A","Dates=H","DateFormat=P","Fill=—","Direction=H","UseDPDF=Y")</f>
        <v>-2747.5</v>
      </c>
      <c r="I33" s="12">
        <f>_xll.BDH("MCHP US Equity","CF_CASH_FOR_ACQUIS_SUBSIDIARIES","FY 2018","FY 2018","Currency=USD","Period=FY","BEST_FPERIOD_OVERRIDE=FY","FILING_STATUS=MR","SCALING_FORMAT=MLN","Sort=A","Dates=H","DateFormat=P","Fill=—","Direction=H","UseDPDF=Y")</f>
        <v>0</v>
      </c>
      <c r="J33" s="12">
        <f>_xll.BDH("MCHP US Equity","CF_CASH_FOR_ACQUIS_SUBSIDIARIES","FY 2019","FY 2019","Currency=USD","Period=FY","BEST_FPERIOD_OVERRIDE=FY","FILING_STATUS=MR","SCALING_FORMAT=MLN","Sort=A","Dates=H","DateFormat=P","Fill=—","Direction=H","UseDPDF=Y")</f>
        <v>-7850.6</v>
      </c>
      <c r="K33" s="12">
        <f>_xll.BDH("MCHP US Equity","CF_CASH_FOR_ACQUIS_SUBSIDIARIES","FY 2020","FY 2020","Currency=USD","Period=FY","BEST_FPERIOD_OVERRIDE=FY","FILING_STATUS=MR","SCALING_FORMAT=MLN","Sort=A","Dates=H","DateFormat=P","Fill=—","Direction=H","UseDPDF=Y")</f>
        <v>0</v>
      </c>
      <c r="L33" s="14">
        <v>0</v>
      </c>
    </row>
    <row r="34" spans="1:12" x14ac:dyDescent="0.45">
      <c r="A34" s="10" t="s">
        <v>76</v>
      </c>
      <c r="B34" s="10" t="s">
        <v>77</v>
      </c>
      <c r="C34" s="12">
        <f>_xll.BDH("MCHP US Equity","CF_CASH_FOR_JOINT_VENTURES_ASSOC","FY 2012","FY 2012","Currency=USD","Period=FY","BEST_FPERIOD_OVERRIDE=FY","FILING_STATUS=MR","SCALING_FORMAT=MLN","Sort=A","Dates=H","DateFormat=P","Fill=—","Direction=H","UseDPDF=Y")</f>
        <v>0</v>
      </c>
      <c r="D34" s="12">
        <f>_xll.BDH("MCHP US Equity","CF_CASH_FOR_JOINT_VENTURES_ASSOC","FY 2013","FY 2013","Currency=USD","Period=FY","BEST_FPERIOD_OVERRIDE=FY","FILING_STATUS=MR","SCALING_FORMAT=MLN","Sort=A","Dates=H","DateFormat=P","Fill=—","Direction=H","UseDPDF=Y")</f>
        <v>0</v>
      </c>
      <c r="E34" s="12">
        <f>_xll.BDH("MCHP US Equity","CF_CASH_FOR_JOINT_VENTURES_ASSOC","FY 2014","FY 2014","Currency=USD","Period=FY","BEST_FPERIOD_OVERRIDE=FY","FILING_STATUS=MR","SCALING_FORMAT=MLN","Sort=A","Dates=H","DateFormat=P","Fill=—","Direction=H","UseDPDF=Y")</f>
        <v>0</v>
      </c>
      <c r="F34" s="12">
        <f>_xll.BDH("MCHP US Equity","CF_CASH_FOR_JOINT_VENTURES_ASSOC","FY 2015","FY 2015","Currency=USD","Period=FY","BEST_FPERIOD_OVERRIDE=FY","FILING_STATUS=MR","SCALING_FORMAT=MLN","Sort=A","Dates=H","DateFormat=P","Fill=—","Direction=H","UseDPDF=Y")</f>
        <v>0</v>
      </c>
      <c r="G34" s="12">
        <f>_xll.BDH("MCHP US Equity","CF_CASH_FOR_JOINT_VENTURES_ASSOC","FY 2016","FY 2016","Currency=USD","Period=FY","BEST_FPERIOD_OVERRIDE=FY","FILING_STATUS=MR","SCALING_FORMAT=MLN","Sort=A","Dates=H","DateFormat=P","Fill=—","Direction=H","UseDPDF=Y")</f>
        <v>0</v>
      </c>
      <c r="H34" s="12">
        <f>_xll.BDH("MCHP US Equity","CF_CASH_FOR_JOINT_VENTURES_ASSOC","FY 2017","FY 2017","Currency=USD","Period=FY","BEST_FPERIOD_OVERRIDE=FY","FILING_STATUS=MR","SCALING_FORMAT=MLN","Sort=A","Dates=H","DateFormat=P","Fill=—","Direction=H","UseDPDF=Y")</f>
        <v>0</v>
      </c>
      <c r="I34" s="12">
        <f>_xll.BDH("MCHP US Equity","CF_CASH_FOR_JOINT_VENTURES_ASSOC","FY 2018","FY 2018","Currency=USD","Period=FY","BEST_FPERIOD_OVERRIDE=FY","FILING_STATUS=MR","SCALING_FORMAT=MLN","Sort=A","Dates=H","DateFormat=P","Fill=—","Direction=H","UseDPDF=Y")</f>
        <v>0</v>
      </c>
      <c r="J34" s="12">
        <f>_xll.BDH("MCHP US Equity","CF_CASH_FOR_JOINT_VENTURES_ASSOC","FY 2019","FY 2019","Currency=USD","Period=FY","BEST_FPERIOD_OVERRIDE=FY","FILING_STATUS=MR","SCALING_FORMAT=MLN","Sort=A","Dates=H","DateFormat=P","Fill=—","Direction=H","UseDPDF=Y")</f>
        <v>0</v>
      </c>
      <c r="K34" s="12">
        <f>_xll.BDH("MCHP US Equity","CF_CASH_FOR_JOINT_VENTURES_ASSOC","FY 2020","FY 2020","Currency=USD","Period=FY","BEST_FPERIOD_OVERRIDE=FY","FILING_STATUS=MR","SCALING_FORMAT=MLN","Sort=A","Dates=H","DateFormat=P","Fill=—","Direction=H","UseDPDF=Y")</f>
        <v>0</v>
      </c>
      <c r="L34" s="14">
        <v>0</v>
      </c>
    </row>
    <row r="35" spans="1:12" x14ac:dyDescent="0.45">
      <c r="A35" s="10" t="s">
        <v>78</v>
      </c>
      <c r="B35" s="10" t="s">
        <v>79</v>
      </c>
      <c r="C35" s="12">
        <f>_xll.BDH("MCHP US Equity","OTHER_INVESTING_ACT_DETAILED","FY 2012","FY 2012","Currency=USD","Period=FY","BEST_FPERIOD_OVERRIDE=FY","FILING_STATUS=MR","SCALING_FORMAT=MLN","Sort=A","Dates=H","DateFormat=P","Fill=—","Direction=H","UseDPDF=Y")</f>
        <v>-171.46299999999999</v>
      </c>
      <c r="D35" s="12">
        <f>_xll.BDH("MCHP US Equity","OTHER_INVESTING_ACT_DETAILED","FY 2013","FY 2013","Currency=USD","Period=FY","BEST_FPERIOD_OVERRIDE=FY","FILING_STATUS=MR","SCALING_FORMAT=MLN","Sort=A","Dates=H","DateFormat=P","Fill=—","Direction=H","UseDPDF=Y")</f>
        <v>-147.12799999999999</v>
      </c>
      <c r="E35" s="12">
        <f>_xll.BDH("MCHP US Equity","OTHER_INVESTING_ACT_DETAILED","FY 2014","FY 2014","Currency=USD","Period=FY","BEST_FPERIOD_OVERRIDE=FY","FILING_STATUS=MR","SCALING_FORMAT=MLN","Sort=A","Dates=H","DateFormat=P","Fill=—","Direction=H","UseDPDF=Y")</f>
        <v>-395.255</v>
      </c>
      <c r="F35" s="12">
        <f>_xll.BDH("MCHP US Equity","OTHER_INVESTING_ACT_DETAILED","FY 2015","FY 2015","Currency=USD","Period=FY","BEST_FPERIOD_OVERRIDE=FY","FILING_STATUS=MR","SCALING_FORMAT=MLN","Sort=A","Dates=H","DateFormat=P","Fill=—","Direction=H","UseDPDF=Y")</f>
        <v>98.989000000000004</v>
      </c>
      <c r="G35" s="12">
        <f>_xll.BDH("MCHP US Equity","OTHER_INVESTING_ACT_DETAILED","FY 2016","FY 2016","Currency=USD","Period=FY","BEST_FPERIOD_OVERRIDE=FY","FILING_STATUS=MR","SCALING_FORMAT=MLN","Sort=A","Dates=H","DateFormat=P","Fill=—","Direction=H","UseDPDF=Y")</f>
        <v>1227.9000000000001</v>
      </c>
      <c r="H35" s="12">
        <f>_xll.BDH("MCHP US Equity","OTHER_INVESTING_ACT_DETAILED","FY 2017","FY 2017","Currency=USD","Period=FY","BEST_FPERIOD_OVERRIDE=FY","FILING_STATUS=MR","SCALING_FORMAT=MLN","Sort=A","Dates=H","DateFormat=P","Fill=—","Direction=H","UseDPDF=Y")</f>
        <v>-38.200000000000003</v>
      </c>
      <c r="I35" s="12">
        <f>_xll.BDH("MCHP US Equity","OTHER_INVESTING_ACT_DETAILED","FY 2018","FY 2018","Currency=USD","Period=FY","BEST_FPERIOD_OVERRIDE=FY","FILING_STATUS=MR","SCALING_FORMAT=MLN","Sort=A","Dates=H","DateFormat=P","Fill=—","Direction=H","UseDPDF=Y")</f>
        <v>-815.2</v>
      </c>
      <c r="J35" s="12">
        <f>_xll.BDH("MCHP US Equity","OTHER_INVESTING_ACT_DETAILED","FY 2019","FY 2019","Currency=USD","Period=FY","BEST_FPERIOD_OVERRIDE=FY","FILING_STATUS=MR","SCALING_FORMAT=MLN","Sort=A","Dates=H","DateFormat=P","Fill=—","Direction=H","UseDPDF=Y")</f>
        <v>1268.3</v>
      </c>
      <c r="K35" s="12">
        <f>_xll.BDH("MCHP US Equity","OTHER_INVESTING_ACT_DETAILED","FY 2020","FY 2020","Currency=USD","Period=FY","BEST_FPERIOD_OVERRIDE=FY","FILING_STATUS=MR","SCALING_FORMAT=MLN","Sort=A","Dates=H","DateFormat=P","Fill=—","Direction=H","UseDPDF=Y")</f>
        <v>-68.8</v>
      </c>
      <c r="L35" s="14">
        <v>-98.2</v>
      </c>
    </row>
    <row r="36" spans="1:12" x14ac:dyDescent="0.45">
      <c r="A36" s="10" t="s">
        <v>46</v>
      </c>
      <c r="B36" s="10" t="s">
        <v>80</v>
      </c>
      <c r="C36" s="12">
        <f>_xll.BDH("MCHP US Equity","CF_NET_CASH_DISCONTINUED_OPS_INV","FY 2012","FY 2012","Currency=USD","Period=FY","BEST_FPERIOD_OVERRIDE=FY","FILING_STATUS=MR","SCALING_FORMAT=MLN","Sort=A","Dates=H","DateFormat=P","Fill=—","Direction=H","UseDPDF=Y")</f>
        <v>0</v>
      </c>
      <c r="D36" s="12">
        <f>_xll.BDH("MCHP US Equity","CF_NET_CASH_DISCONTINUED_OPS_INV","FY 2013","FY 2013","Currency=USD","Period=FY","BEST_FPERIOD_OVERRIDE=FY","FILING_STATUS=MR","SCALING_FORMAT=MLN","Sort=A","Dates=H","DateFormat=P","Fill=—","Direction=H","UseDPDF=Y")</f>
        <v>0</v>
      </c>
      <c r="E36" s="12">
        <f>_xll.BDH("MCHP US Equity","CF_NET_CASH_DISCONTINUED_OPS_INV","FY 2014","FY 2014","Currency=USD","Period=FY","BEST_FPERIOD_OVERRIDE=FY","FILING_STATUS=MR","SCALING_FORMAT=MLN","Sort=A","Dates=H","DateFormat=P","Fill=—","Direction=H","UseDPDF=Y")</f>
        <v>0</v>
      </c>
      <c r="F36" s="12">
        <f>_xll.BDH("MCHP US Equity","CF_NET_CASH_DISCONTINUED_OPS_INV","FY 2015","FY 2015","Currency=USD","Period=FY","BEST_FPERIOD_OVERRIDE=FY","FILING_STATUS=MR","SCALING_FORMAT=MLN","Sort=A","Dates=H","DateFormat=P","Fill=—","Direction=H","UseDPDF=Y")</f>
        <v>0</v>
      </c>
      <c r="G36" s="12">
        <f>_xll.BDH("MCHP US Equity","CF_NET_CASH_DISCONTINUED_OPS_INV","FY 2016","FY 2016","Currency=USD","Period=FY","BEST_FPERIOD_OVERRIDE=FY","FILING_STATUS=MR","SCALING_FORMAT=MLN","Sort=A","Dates=H","DateFormat=P","Fill=—","Direction=H","UseDPDF=Y")</f>
        <v>0</v>
      </c>
      <c r="H36" s="12" t="str">
        <f>_xll.BDH("MCHP US Equity","CF_NET_CASH_DISCONTINUED_OPS_INV","FY 2017","FY 2017","Currency=USD","Period=FY","BEST_FPERIOD_OVERRIDE=FY","FILING_STATUS=MR","SCALING_FORMAT=MLN","Sort=A","Dates=H","DateFormat=P","Fill=—","Direction=H","UseDPDF=Y")</f>
        <v>—</v>
      </c>
      <c r="I36" s="12" t="str">
        <f>_xll.BDH("MCHP US Equity","CF_NET_CASH_DISCONTINUED_OPS_INV","FY 2018","FY 2018","Currency=USD","Period=FY","BEST_FPERIOD_OVERRIDE=FY","FILING_STATUS=MR","SCALING_FORMAT=MLN","Sort=A","Dates=H","DateFormat=P","Fill=—","Direction=H","UseDPDF=Y")</f>
        <v>—</v>
      </c>
      <c r="J36" s="12">
        <f>_xll.BDH("MCHP US Equity","CF_NET_CASH_DISCONTINUED_OPS_INV","FY 2019","FY 2019","Currency=USD","Period=FY","BEST_FPERIOD_OVERRIDE=FY","FILING_STATUS=MR","SCALING_FORMAT=MLN","Sort=A","Dates=H","DateFormat=P","Fill=—","Direction=H","UseDPDF=Y")</f>
        <v>0</v>
      </c>
      <c r="K36" s="12">
        <f>_xll.BDH("MCHP US Equity","CF_NET_CASH_DISCONTINUED_OPS_INV","FY 2020","FY 2020","Currency=USD","Period=FY","BEST_FPERIOD_OVERRIDE=FY","FILING_STATUS=MR","SCALING_FORMAT=MLN","Sort=A","Dates=H","DateFormat=P","Fill=—","Direction=H","UseDPDF=Y")</f>
        <v>0</v>
      </c>
      <c r="L36" s="14">
        <v>0</v>
      </c>
    </row>
    <row r="37" spans="1:12" x14ac:dyDescent="0.45">
      <c r="A37" s="6" t="s">
        <v>49</v>
      </c>
      <c r="B37" s="6" t="s">
        <v>81</v>
      </c>
      <c r="C37" s="17">
        <f>_xll.BDH("MCHP US Equity","CF_CASH_FROM_INV_ACT","FY 2012","FY 2012","Currency=USD","Period=FY","BEST_FPERIOD_OVERRIDE=FY","FILING_STATUS=MR","SCALING_FORMAT=MLN","Sort=A","Dates=H","DateFormat=P","Fill=—","Direction=H","UseDPDF=Y")</f>
        <v>-272.00200000000001</v>
      </c>
      <c r="D37" s="17">
        <f>_xll.BDH("MCHP US Equity","CF_CASH_FROM_INV_ACT","FY 2013","FY 2013","Currency=USD","Period=FY","BEST_FPERIOD_OVERRIDE=FY","FILING_STATUS=MR","SCALING_FORMAT=MLN","Sort=A","Dates=H","DateFormat=P","Fill=—","Direction=H","UseDPDF=Y")</f>
        <v>-949.94200000000001</v>
      </c>
      <c r="E37" s="17">
        <f>_xll.BDH("MCHP US Equity","CF_CASH_FROM_INV_ACT","FY 2014","FY 2014","Currency=USD","Period=FY","BEST_FPERIOD_OVERRIDE=FY","FILING_STATUS=MR","SCALING_FORMAT=MLN","Sort=A","Dates=H","DateFormat=P","Fill=—","Direction=H","UseDPDF=Y")</f>
        <v>-503.279</v>
      </c>
      <c r="F37" s="17">
        <f>_xll.BDH("MCHP US Equity","CF_CASH_FROM_INV_ACT","FY 2015","FY 2015","Currency=USD","Period=FY","BEST_FPERIOD_OVERRIDE=FY","FILING_STATUS=MR","SCALING_FORMAT=MLN","Sort=A","Dates=H","DateFormat=P","Fill=—","Direction=H","UseDPDF=Y")</f>
        <v>-678.31700000000001</v>
      </c>
      <c r="G37" s="17">
        <f>_xll.BDH("MCHP US Equity","CF_CASH_FROM_INV_ACT","FY 2016","FY 2016","Currency=USD","Period=FY","BEST_FPERIOD_OVERRIDE=FY","FILING_STATUS=MR","SCALING_FORMAT=MLN","Sort=A","Dates=H","DateFormat=P","Fill=—","Direction=H","UseDPDF=Y")</f>
        <v>800.4</v>
      </c>
      <c r="H37" s="17">
        <f>_xll.BDH("MCHP US Equity","CF_CASH_FROM_INV_ACT","FY 2017","FY 2017","Currency=USD","Period=FY","BEST_FPERIOD_OVERRIDE=FY","FILING_STATUS=MR","SCALING_FORMAT=MLN","Sort=A","Dates=H","DateFormat=P","Fill=—","Direction=H","UseDPDF=Y")</f>
        <v>-2838</v>
      </c>
      <c r="I37" s="17">
        <f>_xll.BDH("MCHP US Equity","CF_CASH_FROM_INV_ACT","FY 2018","FY 2018","Currency=USD","Period=FY","BEST_FPERIOD_OVERRIDE=FY","FILING_STATUS=MR","SCALING_FORMAT=MLN","Sort=A","Dates=H","DateFormat=P","Fill=—","Direction=H","UseDPDF=Y")</f>
        <v>-1011.7</v>
      </c>
      <c r="J37" s="17">
        <f>_xll.BDH("MCHP US Equity","CF_CASH_FROM_INV_ACT","FY 2019","FY 2019","Currency=USD","Period=FY","BEST_FPERIOD_OVERRIDE=FY","FILING_STATUS=MR","SCALING_FORMAT=MLN","Sort=A","Dates=H","DateFormat=P","Fill=—","Direction=H","UseDPDF=Y")</f>
        <v>-6811</v>
      </c>
      <c r="K37" s="17">
        <f>_xll.BDH("MCHP US Equity","CF_CASH_FROM_INV_ACT","FY 2020","FY 2020","Currency=USD","Period=FY","BEST_FPERIOD_OVERRIDE=FY","FILING_STATUS=MR","SCALING_FORMAT=MLN","Sort=A","Dates=H","DateFormat=P","Fill=—","Direction=H","UseDPDF=Y")</f>
        <v>-133.19999999999999</v>
      </c>
      <c r="L37" s="19">
        <v>-137.09999961853001</v>
      </c>
    </row>
    <row r="38" spans="1:12" x14ac:dyDescent="0.45">
      <c r="A38" s="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8"/>
    </row>
    <row r="39" spans="1:12" x14ac:dyDescent="0.45">
      <c r="A39" s="6" t="s">
        <v>82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8"/>
    </row>
    <row r="40" spans="1:12" x14ac:dyDescent="0.45">
      <c r="A40" s="10" t="s">
        <v>83</v>
      </c>
      <c r="B40" s="10" t="s">
        <v>84</v>
      </c>
      <c r="C40" s="12">
        <f>_xll.BDH("MCHP US Equity","CF_DVD_PAID","FY 2012","FY 2012","Currency=USD","Period=FY","BEST_FPERIOD_OVERRIDE=FY","FILING_STATUS=MR","SCALING_FORMAT=MLN","Sort=A","Dates=H","DateFormat=P","Fill=—","Direction=H","UseDPDF=Y")</f>
        <v>-266.178</v>
      </c>
      <c r="D40" s="12">
        <f>_xll.BDH("MCHP US Equity","CF_DVD_PAID","FY 2013","FY 2013","Currency=USD","Period=FY","BEST_FPERIOD_OVERRIDE=FY","FILING_STATUS=MR","SCALING_FORMAT=MLN","Sort=A","Dates=H","DateFormat=P","Fill=—","Direction=H","UseDPDF=Y")</f>
        <v>-273.822</v>
      </c>
      <c r="E40" s="12">
        <f>_xll.BDH("MCHP US Equity","CF_DVD_PAID","FY 2014","FY 2014","Currency=USD","Period=FY","BEST_FPERIOD_OVERRIDE=FY","FILING_STATUS=MR","SCALING_FORMAT=MLN","Sort=A","Dates=H","DateFormat=P","Fill=—","Direction=H","UseDPDF=Y")</f>
        <v>-281.20400000000001</v>
      </c>
      <c r="F40" s="12">
        <f>_xll.BDH("MCHP US Equity","CF_DVD_PAID","FY 2015","FY 2015","Currency=USD","Period=FY","BEST_FPERIOD_OVERRIDE=FY","FILING_STATUS=MR","SCALING_FORMAT=MLN","Sort=A","Dates=H","DateFormat=P","Fill=—","Direction=H","UseDPDF=Y")</f>
        <v>-286.47800000000001</v>
      </c>
      <c r="G40" s="12">
        <f>_xll.BDH("MCHP US Equity","CF_DVD_PAID","FY 2016","FY 2016","Currency=USD","Period=FY","BEST_FPERIOD_OVERRIDE=FY","FILING_STATUS=MR","SCALING_FORMAT=MLN","Sort=A","Dates=H","DateFormat=P","Fill=—","Direction=H","UseDPDF=Y")</f>
        <v>-291.10000000000002</v>
      </c>
      <c r="H40" s="12">
        <f>_xll.BDH("MCHP US Equity","CF_DVD_PAID","FY 2017","FY 2017","Currency=USD","Period=FY","BEST_FPERIOD_OVERRIDE=FY","FILING_STATUS=MR","SCALING_FORMAT=MLN","Sort=A","Dates=H","DateFormat=P","Fill=—","Direction=H","UseDPDF=Y")</f>
        <v>-315.39999999999998</v>
      </c>
      <c r="I40" s="12">
        <f>_xll.BDH("MCHP US Equity","CF_DVD_PAID","FY 2018","FY 2018","Currency=USD","Period=FY","BEST_FPERIOD_OVERRIDE=FY","FILING_STATUS=MR","SCALING_FORMAT=MLN","Sort=A","Dates=H","DateFormat=P","Fill=—","Direction=H","UseDPDF=Y")</f>
        <v>-337.5</v>
      </c>
      <c r="J40" s="12">
        <f>_xll.BDH("MCHP US Equity","CF_DVD_PAID","FY 2019","FY 2019","Currency=USD","Period=FY","BEST_FPERIOD_OVERRIDE=FY","FILING_STATUS=MR","SCALING_FORMAT=MLN","Sort=A","Dates=H","DateFormat=P","Fill=—","Direction=H","UseDPDF=Y")</f>
        <v>-344.4</v>
      </c>
      <c r="K40" s="12">
        <f>_xll.BDH("MCHP US Equity","CF_DVD_PAID","FY 2020","FY 2020","Currency=USD","Period=FY","BEST_FPERIOD_OVERRIDE=FY","FILING_STATUS=MR","SCALING_FORMAT=MLN","Sort=A","Dates=H","DateFormat=P","Fill=—","Direction=H","UseDPDF=Y")</f>
        <v>-350.1</v>
      </c>
      <c r="L40" s="14">
        <v>-361.39999847412099</v>
      </c>
    </row>
    <row r="41" spans="1:12" x14ac:dyDescent="0.45">
      <c r="A41" s="10" t="s">
        <v>85</v>
      </c>
      <c r="B41" s="10" t="s">
        <v>86</v>
      </c>
      <c r="C41" s="12">
        <f>_xll.BDH("MCHP US Equity","PROC_FR_REPAYMNTS_BOR_DETAILED","FY 2012","FY 2012","Currency=USD","Period=FY","BEST_FPERIOD_OVERRIDE=FY","FILING_STATUS=MR","SCALING_FORMAT=MLN","Sort=A","Dates=H","DateFormat=P","Fill=—","Direction=H","UseDPDF=Y")</f>
        <v>0</v>
      </c>
      <c r="D41" s="12">
        <f>_xll.BDH("MCHP US Equity","PROC_FR_REPAYMNTS_BOR_DETAILED","FY 2013","FY 2013","Currency=USD","Period=FY","BEST_FPERIOD_OVERRIDE=FY","FILING_STATUS=MR","SCALING_FORMAT=MLN","Sort=A","Dates=H","DateFormat=P","Fill=—","Direction=H","UseDPDF=Y")</f>
        <v>620</v>
      </c>
      <c r="E41" s="12">
        <f>_xll.BDH("MCHP US Equity","PROC_FR_REPAYMNTS_BOR_DETAILED","FY 2014","FY 2014","Currency=USD","Period=FY","BEST_FPERIOD_OVERRIDE=FY","FILING_STATUS=MR","SCALING_FORMAT=MLN","Sort=A","Dates=H","DateFormat=P","Fill=—","Direction=H","UseDPDF=Y")</f>
        <v>30</v>
      </c>
      <c r="F41" s="12">
        <f>_xll.BDH("MCHP US Equity","PROC_FR_REPAYMNTS_BOR_DETAILED","FY 2015","FY 2015","Currency=USD","Period=FY","BEST_FPERIOD_OVERRIDE=FY","FILING_STATUS=MR","SCALING_FORMAT=MLN","Sort=A","Dates=H","DateFormat=P","Fill=—","Direction=H","UseDPDF=Y")</f>
        <v>401.72699999999998</v>
      </c>
      <c r="G41" s="12">
        <f>_xll.BDH("MCHP US Equity","PROC_FR_REPAYMNTS_BOR_DETAILED","FY 2016","FY 2016","Currency=USD","Period=FY","BEST_FPERIOD_OVERRIDE=FY","FILING_STATUS=MR","SCALING_FORMAT=MLN","Sort=A","Dates=H","DateFormat=P","Fill=—","Direction=H","UseDPDF=Y")</f>
        <v>589.5</v>
      </c>
      <c r="H41" s="12">
        <f>_xll.BDH("MCHP US Equity","PROC_FR_REPAYMNTS_BOR_DETAILED","FY 2017","FY 2017","Currency=USD","Period=FY","BEST_FPERIOD_OVERRIDE=FY","FILING_STATUS=MR","SCALING_FORMAT=MLN","Sort=A","Dates=H","DateFormat=P","Fill=—","Direction=H","UseDPDF=Y")</f>
        <v>964</v>
      </c>
      <c r="I41" s="12">
        <f>_xll.BDH("MCHP US Equity","PROC_FR_REPAYMNTS_BOR_DETAILED","FY 2018","FY 2018","Currency=USD","Period=FY","BEST_FPERIOD_OVERRIDE=FY","FILING_STATUS=MR","SCALING_FORMAT=MLN","Sort=A","Dates=H","DateFormat=P","Fill=—","Direction=H","UseDPDF=Y")</f>
        <v>-74.2</v>
      </c>
      <c r="J41" s="12">
        <f>_xll.BDH("MCHP US Equity","PROC_FR_REPAYMNTS_BOR_DETAILED","FY 2019","FY 2019","Currency=USD","Period=FY","BEST_FPERIOD_OVERRIDE=FY","FILING_STATUS=MR","SCALING_FORMAT=MLN","Sort=A","Dates=H","DateFormat=P","Fill=—","Direction=H","UseDPDF=Y")</f>
        <v>5109.8</v>
      </c>
      <c r="K41" s="12">
        <f>_xll.BDH("MCHP US Equity","PROC_FR_REPAYMNTS_BOR_DETAILED","FY 2020","FY 2020","Currency=USD","Period=FY","BEST_FPERIOD_OVERRIDE=FY","FILING_STATUS=MR","SCALING_FORMAT=MLN","Sort=A","Dates=H","DateFormat=P","Fill=—","Direction=H","UseDPDF=Y")</f>
        <v>-1069.9000000000001</v>
      </c>
      <c r="L41" s="14">
        <v>1433</v>
      </c>
    </row>
    <row r="42" spans="1:12" x14ac:dyDescent="0.45">
      <c r="A42" s="10" t="s">
        <v>87</v>
      </c>
      <c r="B42" s="10" t="s">
        <v>88</v>
      </c>
      <c r="C42" s="12">
        <f>_xll.BDH("MCHP US Equity","CF_NET_CHG_IN_ST_DBT_&amp;_CPTL_LEAS","FY 2012","FY 2012","Currency=USD","Period=FY","BEST_FPERIOD_OVERRIDE=FY","FILING_STATUS=MR","SCALING_FORMAT=MLN","Sort=A","Dates=H","DateFormat=P","Fill=—","Direction=H","UseDPDF=Y")</f>
        <v>0</v>
      </c>
      <c r="D42" s="12">
        <f>_xll.BDH("MCHP US Equity","CF_NET_CHG_IN_ST_DBT_&amp;_CPTL_LEAS","FY 2013","FY 2013","Currency=USD","Period=FY","BEST_FPERIOD_OVERRIDE=FY","FILING_STATUS=MR","SCALING_FORMAT=MLN","Sort=A","Dates=H","DateFormat=P","Fill=—","Direction=H","UseDPDF=Y")</f>
        <v>0</v>
      </c>
      <c r="E42" s="12">
        <f>_xll.BDH("MCHP US Equity","CF_NET_CHG_IN_ST_DBT_&amp;_CPTL_LEAS","FY 2014","FY 2014","Currency=USD","Period=FY","BEST_FPERIOD_OVERRIDE=FY","FILING_STATUS=MR","SCALING_FORMAT=MLN","Sort=A","Dates=H","DateFormat=P","Fill=—","Direction=H","UseDPDF=Y")</f>
        <v>0</v>
      </c>
      <c r="F42" s="12">
        <f>_xll.BDH("MCHP US Equity","CF_NET_CHG_IN_ST_DBT_&amp;_CPTL_LEAS","FY 2015","FY 2015","Currency=USD","Period=FY","BEST_FPERIOD_OVERRIDE=FY","FILING_STATUS=MR","SCALING_FORMAT=MLN","Sort=A","Dates=H","DateFormat=P","Fill=—","Direction=H","UseDPDF=Y")</f>
        <v>0</v>
      </c>
      <c r="G42" s="12">
        <f>_xll.BDH("MCHP US Equity","CF_NET_CHG_IN_ST_DBT_&amp;_CPTL_LEAS","FY 2016","FY 2016","Currency=USD","Period=FY","BEST_FPERIOD_OVERRIDE=FY","FILING_STATUS=MR","SCALING_FORMAT=MLN","Sort=A","Dates=H","DateFormat=P","Fill=—","Direction=H","UseDPDF=Y")</f>
        <v>0</v>
      </c>
      <c r="H42" s="12" t="str">
        <f>_xll.BDH("MCHP US Equity","CF_NET_CHG_IN_ST_DBT_&amp;_CPTL_LEAS","FY 2017","FY 2017","Currency=USD","Period=FY","BEST_FPERIOD_OVERRIDE=FY","FILING_STATUS=MR","SCALING_FORMAT=MLN","Sort=A","Dates=H","DateFormat=P","Fill=—","Direction=H","UseDPDF=Y")</f>
        <v>—</v>
      </c>
      <c r="I42" s="12" t="str">
        <f>_xll.BDH("MCHP US Equity","CF_NET_CHG_IN_ST_DBT_&amp;_CPTL_LEAS","FY 2018","FY 2018","Currency=USD","Period=FY","BEST_FPERIOD_OVERRIDE=FY","FILING_STATUS=MR","SCALING_FORMAT=MLN","Sort=A","Dates=H","DateFormat=P","Fill=—","Direction=H","UseDPDF=Y")</f>
        <v>—</v>
      </c>
      <c r="J42" s="12" t="str">
        <f>_xll.BDH("MCHP US Equity","CF_NET_CHG_IN_ST_DBT_&amp;_CPTL_LEAS","FY 2019","FY 2019","Currency=USD","Period=FY","BEST_FPERIOD_OVERRIDE=FY","FILING_STATUS=MR","SCALING_FORMAT=MLN","Sort=A","Dates=H","DateFormat=P","Fill=—","Direction=H","UseDPDF=Y")</f>
        <v>—</v>
      </c>
      <c r="K42" s="12" t="str">
        <f>_xll.BDH("MCHP US Equity","CF_NET_CHG_IN_ST_DBT_&amp;_CPTL_LEAS","FY 2020","FY 2020","Currency=USD","Period=FY","BEST_FPERIOD_OVERRIDE=FY","FILING_STATUS=MR","SCALING_FORMAT=MLN","Sort=A","Dates=H","DateFormat=P","Fill=—","Direction=H","UseDPDF=Y")</f>
        <v>—</v>
      </c>
      <c r="L42" s="14"/>
    </row>
    <row r="43" spans="1:12" x14ac:dyDescent="0.45">
      <c r="A43" s="10" t="s">
        <v>89</v>
      </c>
      <c r="B43" s="10" t="s">
        <v>90</v>
      </c>
      <c r="C43" s="12">
        <f>_xll.BDH("MCHP US Equity","CF_PROC_LT_DEBT_&amp;_CAPITAL_LEASE","FY 2012","FY 2012","Currency=USD","Period=FY","BEST_FPERIOD_OVERRIDE=FY","FILING_STATUS=MR","SCALING_FORMAT=MLN","Sort=A","Dates=H","DateFormat=P","Fill=—","Direction=H","UseDPDF=Y")</f>
        <v>0</v>
      </c>
      <c r="D43" s="12">
        <f>_xll.BDH("MCHP US Equity","CF_PROC_LT_DEBT_&amp;_CAPITAL_LEASE","FY 2013","FY 2013","Currency=USD","Period=FY","BEST_FPERIOD_OVERRIDE=FY","FILING_STATUS=MR","SCALING_FORMAT=MLN","Sort=A","Dates=H","DateFormat=P","Fill=—","Direction=H","UseDPDF=Y")</f>
        <v>1381</v>
      </c>
      <c r="E43" s="12">
        <f>_xll.BDH("MCHP US Equity","CF_PROC_LT_DEBT_&amp;_CAPITAL_LEASE","FY 2014","FY 2014","Currency=USD","Period=FY","BEST_FPERIOD_OVERRIDE=FY","FILING_STATUS=MR","SCALING_FORMAT=MLN","Sort=A","Dates=H","DateFormat=P","Fill=—","Direction=H","UseDPDF=Y")</f>
        <v>1133.5</v>
      </c>
      <c r="F43" s="12">
        <f>_xll.BDH("MCHP US Equity","CF_PROC_LT_DEBT_&amp;_CAPITAL_LEASE","FY 2015","FY 2015","Currency=USD","Period=FY","BEST_FPERIOD_OVERRIDE=FY","FILING_STATUS=MR","SCALING_FORMAT=MLN","Sort=A","Dates=H","DateFormat=P","Fill=—","Direction=H","UseDPDF=Y")</f>
        <v>3584.5940000000001</v>
      </c>
      <c r="G43" s="12">
        <f>_xll.BDH("MCHP US Equity","CF_PROC_LT_DEBT_&amp;_CAPITAL_LEASE","FY 2016","FY 2016","Currency=USD","Period=FY","BEST_FPERIOD_OVERRIDE=FY","FILING_STATUS=MR","SCALING_FORMAT=MLN","Sort=A","Dates=H","DateFormat=P","Fill=—","Direction=H","UseDPDF=Y")</f>
        <v>2204.5</v>
      </c>
      <c r="H43" s="12">
        <f>_xll.BDH("MCHP US Equity","CF_PROC_LT_DEBT_&amp;_CAPITAL_LEASE","FY 2017","FY 2017","Currency=USD","Period=FY","BEST_FPERIOD_OVERRIDE=FY","FILING_STATUS=MR","SCALING_FORMAT=MLN","Sort=A","Dates=H","DateFormat=P","Fill=—","Direction=H","UseDPDF=Y")</f>
        <v>4182</v>
      </c>
      <c r="I43" s="12">
        <f>_xll.BDH("MCHP US Equity","CF_PROC_LT_DEBT_&amp;_CAPITAL_LEASE","FY 2018","FY 2018","Currency=USD","Period=FY","BEST_FPERIOD_OVERRIDE=FY","FILING_STATUS=MR","SCALING_FORMAT=MLN","Sort=A","Dates=H","DateFormat=P","Fill=—","Direction=H","UseDPDF=Y")</f>
        <v>187</v>
      </c>
      <c r="J43" s="12">
        <f>_xll.BDH("MCHP US Equity","CF_PROC_LT_DEBT_&amp;_CAPITAL_LEASE","FY 2019","FY 2019","Currency=USD","Period=FY","BEST_FPERIOD_OVERRIDE=FY","FILING_STATUS=MR","SCALING_FORMAT=MLN","Sort=A","Dates=H","DateFormat=P","Fill=—","Direction=H","UseDPDF=Y")</f>
        <v>9406</v>
      </c>
      <c r="K43" s="12">
        <f>_xll.BDH("MCHP US Equity","CF_PROC_LT_DEBT_&amp;_CAPITAL_LEASE","FY 2020","FY 2020","Currency=USD","Period=FY","BEST_FPERIOD_OVERRIDE=FY","FILING_STATUS=MR","SCALING_FORMAT=MLN","Sort=A","Dates=H","DateFormat=P","Fill=—","Direction=H","UseDPDF=Y")</f>
        <v>1637.9</v>
      </c>
      <c r="L43" s="14"/>
    </row>
    <row r="44" spans="1:12" x14ac:dyDescent="0.45">
      <c r="A44" s="10" t="s">
        <v>91</v>
      </c>
      <c r="B44" s="10" t="s">
        <v>92</v>
      </c>
      <c r="C44" s="12">
        <f>_xll.BDH("MCHP US Equity","CF_PYMT_LT_DEBT_&amp;_CAPITAL_LEASE","FY 2012","FY 2012","Currency=USD","Period=FY","BEST_FPERIOD_OVERRIDE=FY","FILING_STATUS=MR","SCALING_FORMAT=MLN","Sort=A","Dates=H","DateFormat=P","Fill=—","Direction=H","UseDPDF=Y")</f>
        <v>0</v>
      </c>
      <c r="D44" s="12">
        <f>_xll.BDH("MCHP US Equity","CF_PYMT_LT_DEBT_&amp;_CAPITAL_LEASE","FY 2013","FY 2013","Currency=USD","Period=FY","BEST_FPERIOD_OVERRIDE=FY","FILING_STATUS=MR","SCALING_FORMAT=MLN","Sort=A","Dates=H","DateFormat=P","Fill=—","Direction=H","UseDPDF=Y")</f>
        <v>-761</v>
      </c>
      <c r="E44" s="12">
        <f>_xll.BDH("MCHP US Equity","CF_PYMT_LT_DEBT_&amp;_CAPITAL_LEASE","FY 2014","FY 2014","Currency=USD","Period=FY","BEST_FPERIOD_OVERRIDE=FY","FILING_STATUS=MR","SCALING_FORMAT=MLN","Sort=A","Dates=H","DateFormat=P","Fill=—","Direction=H","UseDPDF=Y")</f>
        <v>-1103.5</v>
      </c>
      <c r="F44" s="12">
        <f>_xll.BDH("MCHP US Equity","CF_PYMT_LT_DEBT_&amp;_CAPITAL_LEASE","FY 2015","FY 2015","Currency=USD","Period=FY","BEST_FPERIOD_OVERRIDE=FY","FILING_STATUS=MR","SCALING_FORMAT=MLN","Sort=A","Dates=H","DateFormat=P","Fill=—","Direction=H","UseDPDF=Y")</f>
        <v>-3182.8670000000002</v>
      </c>
      <c r="G44" s="12">
        <f>_xll.BDH("MCHP US Equity","CF_PYMT_LT_DEBT_&amp;_CAPITAL_LEASE","FY 2016","FY 2016","Currency=USD","Period=FY","BEST_FPERIOD_OVERRIDE=FY","FILING_STATUS=MR","SCALING_FORMAT=MLN","Sort=A","Dates=H","DateFormat=P","Fill=—","Direction=H","UseDPDF=Y")</f>
        <v>-1615</v>
      </c>
      <c r="H44" s="12">
        <f>_xll.BDH("MCHP US Equity","CF_PYMT_LT_DEBT_&amp;_CAPITAL_LEASE","FY 2017","FY 2017","Currency=USD","Period=FY","BEST_FPERIOD_OVERRIDE=FY","FILING_STATUS=MR","SCALING_FORMAT=MLN","Sort=A","Dates=H","DateFormat=P","Fill=—","Direction=H","UseDPDF=Y")</f>
        <v>-3218</v>
      </c>
      <c r="I44" s="12">
        <f>_xll.BDH("MCHP US Equity","CF_PYMT_LT_DEBT_&amp;_CAPITAL_LEASE","FY 2018","FY 2018","Currency=USD","Period=FY","BEST_FPERIOD_OVERRIDE=FY","FILING_STATUS=MR","SCALING_FORMAT=MLN","Sort=A","Dates=H","DateFormat=P","Fill=—","Direction=H","UseDPDF=Y")</f>
        <v>-261.2</v>
      </c>
      <c r="J44" s="12">
        <f>_xll.BDH("MCHP US Equity","CF_PYMT_LT_DEBT_&amp;_CAPITAL_LEASE","FY 2019","FY 2019","Currency=USD","Period=FY","BEST_FPERIOD_OVERRIDE=FY","FILING_STATUS=MR","SCALING_FORMAT=MLN","Sort=A","Dates=H","DateFormat=P","Fill=—","Direction=H","UseDPDF=Y")</f>
        <v>-4296.2</v>
      </c>
      <c r="K44" s="12">
        <f>_xll.BDH("MCHP US Equity","CF_PYMT_LT_DEBT_&amp;_CAPITAL_LEASE","FY 2020","FY 2020","Currency=USD","Period=FY","BEST_FPERIOD_OVERRIDE=FY","FILING_STATUS=MR","SCALING_FORMAT=MLN","Sort=A","Dates=H","DateFormat=P","Fill=—","Direction=H","UseDPDF=Y")</f>
        <v>-2707.8</v>
      </c>
      <c r="L44" s="14"/>
    </row>
    <row r="45" spans="1:12" x14ac:dyDescent="0.45">
      <c r="A45" s="10" t="s">
        <v>93</v>
      </c>
      <c r="B45" s="10" t="s">
        <v>94</v>
      </c>
      <c r="C45" s="12">
        <f>_xll.BDH("MCHP US Equity","PROC_FR_REPURCH_EQTY_DETAILED","FY 2012","FY 2012","Currency=USD","Period=FY","BEST_FPERIOD_OVERRIDE=FY","FILING_STATUS=MR","SCALING_FORMAT=MLN","Sort=A","Dates=H","DateFormat=P","Fill=—","Direction=H","UseDPDF=Y")</f>
        <v>58.033000000000001</v>
      </c>
      <c r="D45" s="12">
        <f>_xll.BDH("MCHP US Equity","PROC_FR_REPURCH_EQTY_DETAILED","FY 2013","FY 2013","Currency=USD","Period=FY","BEST_FPERIOD_OVERRIDE=FY","FILING_STATUS=MR","SCALING_FORMAT=MLN","Sort=A","Dates=H","DateFormat=P","Fill=—","Direction=H","UseDPDF=Y")</f>
        <v>51.661999999999999</v>
      </c>
      <c r="E45" s="12">
        <f>_xll.BDH("MCHP US Equity","PROC_FR_REPURCH_EQTY_DETAILED","FY 2014","FY 2014","Currency=USD","Period=FY","BEST_FPERIOD_OVERRIDE=FY","FILING_STATUS=MR","SCALING_FORMAT=MLN","Sort=A","Dates=H","DateFormat=P","Fill=—","Direction=H","UseDPDF=Y")</f>
        <v>38.856999999999999</v>
      </c>
      <c r="F45" s="12">
        <f>_xll.BDH("MCHP US Equity","PROC_FR_REPURCH_EQTY_DETAILED","FY 2015","FY 2015","Currency=USD","Period=FY","BEST_FPERIOD_OVERRIDE=FY","FILING_STATUS=MR","SCALING_FORMAT=MLN","Sort=A","Dates=H","DateFormat=P","Fill=—","Direction=H","UseDPDF=Y")</f>
        <v>35.649000000000001</v>
      </c>
      <c r="G45" s="12">
        <f>_xll.BDH("MCHP US Equity","PROC_FR_REPURCH_EQTY_DETAILED","FY 2016","FY 2016","Currency=USD","Period=FY","BEST_FPERIOD_OVERRIDE=FY","FILING_STATUS=MR","SCALING_FORMAT=MLN","Sort=A","Dates=H","DateFormat=P","Fill=—","Direction=H","UseDPDF=Y")</f>
        <v>-334.4</v>
      </c>
      <c r="H45" s="12">
        <f>_xll.BDH("MCHP US Equity","PROC_FR_REPURCH_EQTY_DETAILED","FY 2017","FY 2017","Currency=USD","Period=FY","BEST_FPERIOD_OVERRIDE=FY","FILING_STATUS=MR","SCALING_FORMAT=MLN","Sort=A","Dates=H","DateFormat=P","Fill=—","Direction=H","UseDPDF=Y")</f>
        <v>42.2</v>
      </c>
      <c r="I45" s="12">
        <f>_xll.BDH("MCHP US Equity","PROC_FR_REPURCH_EQTY_DETAILED","FY 2018","FY 2018","Currency=USD","Period=FY","BEST_FPERIOD_OVERRIDE=FY","FILING_STATUS=MR","SCALING_FORMAT=MLN","Sort=A","Dates=H","DateFormat=P","Fill=—","Direction=H","UseDPDF=Y")</f>
        <v>42</v>
      </c>
      <c r="J45" s="12">
        <f>_xll.BDH("MCHP US Equity","PROC_FR_REPURCH_EQTY_DETAILED","FY 2019","FY 2019","Currency=USD","Period=FY","BEST_FPERIOD_OVERRIDE=FY","FILING_STATUS=MR","SCALING_FORMAT=MLN","Sort=A","Dates=H","DateFormat=P","Fill=—","Direction=H","UseDPDF=Y")</f>
        <v>42.6</v>
      </c>
      <c r="K45" s="12">
        <f>_xll.BDH("MCHP US Equity","PROC_FR_REPURCH_EQTY_DETAILED","FY 2020","FY 2020","Currency=USD","Period=FY","BEST_FPERIOD_OVERRIDE=FY","FILING_STATUS=MR","SCALING_FORMAT=MLN","Sort=A","Dates=H","DateFormat=P","Fill=—","Direction=H","UseDPDF=Y")</f>
        <v>58.8</v>
      </c>
      <c r="L45" s="14">
        <v>60.9</v>
      </c>
    </row>
    <row r="46" spans="1:12" x14ac:dyDescent="0.45">
      <c r="A46" s="10" t="s">
        <v>95</v>
      </c>
      <c r="B46" s="10" t="s">
        <v>96</v>
      </c>
      <c r="C46" s="12">
        <f>_xll.BDH("MCHP US Equity","CF_INCR_CAP_STOCK","FY 2012","FY 2012","Currency=USD","Period=FY","BEST_FPERIOD_OVERRIDE=FY","FILING_STATUS=MR","SCALING_FORMAT=MLN","Sort=A","Dates=H","DateFormat=P","Fill=—","Direction=H","UseDPDF=Y")</f>
        <v>58.033000000000001</v>
      </c>
      <c r="D46" s="12">
        <f>_xll.BDH("MCHP US Equity","CF_INCR_CAP_STOCK","FY 2013","FY 2013","Currency=USD","Period=FY","BEST_FPERIOD_OVERRIDE=FY","FILING_STATUS=MR","SCALING_FORMAT=MLN","Sort=A","Dates=H","DateFormat=P","Fill=—","Direction=H","UseDPDF=Y")</f>
        <v>51.661999999999999</v>
      </c>
      <c r="E46" s="12">
        <f>_xll.BDH("MCHP US Equity","CF_INCR_CAP_STOCK","FY 2014","FY 2014","Currency=USD","Period=FY","BEST_FPERIOD_OVERRIDE=FY","FILING_STATUS=MR","SCALING_FORMAT=MLN","Sort=A","Dates=H","DateFormat=P","Fill=—","Direction=H","UseDPDF=Y")</f>
        <v>38.856999999999999</v>
      </c>
      <c r="F46" s="12">
        <f>_xll.BDH("MCHP US Equity","CF_INCR_CAP_STOCK","FY 2015","FY 2015","Currency=USD","Period=FY","BEST_FPERIOD_OVERRIDE=FY","FILING_STATUS=MR","SCALING_FORMAT=MLN","Sort=A","Dates=H","DateFormat=P","Fill=—","Direction=H","UseDPDF=Y")</f>
        <v>35.649000000000001</v>
      </c>
      <c r="G46" s="12">
        <f>_xll.BDH("MCHP US Equity","CF_INCR_CAP_STOCK","FY 2016","FY 2016","Currency=USD","Period=FY","BEST_FPERIOD_OVERRIDE=FY","FILING_STATUS=MR","SCALING_FORMAT=MLN","Sort=A","Dates=H","DateFormat=P","Fill=—","Direction=H","UseDPDF=Y")</f>
        <v>29.4</v>
      </c>
      <c r="H46" s="12">
        <f>_xll.BDH("MCHP US Equity","CF_INCR_CAP_STOCK","FY 2017","FY 2017","Currency=USD","Period=FY","BEST_FPERIOD_OVERRIDE=FY","FILING_STATUS=MR","SCALING_FORMAT=MLN","Sort=A","Dates=H","DateFormat=P","Fill=—","Direction=H","UseDPDF=Y")</f>
        <v>42.2</v>
      </c>
      <c r="I46" s="12">
        <f>_xll.BDH("MCHP US Equity","CF_INCR_CAP_STOCK","FY 2018","FY 2018","Currency=USD","Period=FY","BEST_FPERIOD_OVERRIDE=FY","FILING_STATUS=MR","SCALING_FORMAT=MLN","Sort=A","Dates=H","DateFormat=P","Fill=—","Direction=H","UseDPDF=Y")</f>
        <v>42</v>
      </c>
      <c r="J46" s="12">
        <f>_xll.BDH("MCHP US Equity","CF_INCR_CAP_STOCK","FY 2019","FY 2019","Currency=USD","Period=FY","BEST_FPERIOD_OVERRIDE=FY","FILING_STATUS=MR","SCALING_FORMAT=MLN","Sort=A","Dates=H","DateFormat=P","Fill=—","Direction=H","UseDPDF=Y")</f>
        <v>42.6</v>
      </c>
      <c r="K46" s="12">
        <f>_xll.BDH("MCHP US Equity","CF_INCR_CAP_STOCK","FY 2020","FY 2020","Currency=USD","Period=FY","BEST_FPERIOD_OVERRIDE=FY","FILING_STATUS=MR","SCALING_FORMAT=MLN","Sort=A","Dates=H","DateFormat=P","Fill=—","Direction=H","UseDPDF=Y")</f>
        <v>58.8</v>
      </c>
      <c r="L46" s="14">
        <v>60.9000001907349</v>
      </c>
    </row>
    <row r="47" spans="1:12" x14ac:dyDescent="0.45">
      <c r="A47" s="10" t="s">
        <v>97</v>
      </c>
      <c r="B47" s="10" t="s">
        <v>98</v>
      </c>
      <c r="C47" s="12">
        <f>_xll.BDH("MCHP US Equity","CF_DECR_CAP_STOCK","FY 2012","FY 2012","Currency=USD","Period=FY","BEST_FPERIOD_OVERRIDE=FY","FILING_STATUS=MR","SCALING_FORMAT=MLN","Sort=A","Dates=H","DateFormat=P","Fill=—","Direction=H","UseDPDF=Y")</f>
        <v>0</v>
      </c>
      <c r="D47" s="12">
        <f>_xll.BDH("MCHP US Equity","CF_DECR_CAP_STOCK","FY 2013","FY 2013","Currency=USD","Period=FY","BEST_FPERIOD_OVERRIDE=FY","FILING_STATUS=MR","SCALING_FORMAT=MLN","Sort=A","Dates=H","DateFormat=P","Fill=—","Direction=H","UseDPDF=Y")</f>
        <v>0</v>
      </c>
      <c r="E47" s="12">
        <f>_xll.BDH("MCHP US Equity","CF_DECR_CAP_STOCK","FY 2014","FY 2014","Currency=USD","Period=FY","BEST_FPERIOD_OVERRIDE=FY","FILING_STATUS=MR","SCALING_FORMAT=MLN","Sort=A","Dates=H","DateFormat=P","Fill=—","Direction=H","UseDPDF=Y")</f>
        <v>0</v>
      </c>
      <c r="F47" s="12">
        <f>_xll.BDH("MCHP US Equity","CF_DECR_CAP_STOCK","FY 2015","FY 2015","Currency=USD","Period=FY","BEST_FPERIOD_OVERRIDE=FY","FILING_STATUS=MR","SCALING_FORMAT=MLN","Sort=A","Dates=H","DateFormat=P","Fill=—","Direction=H","UseDPDF=Y")</f>
        <v>0</v>
      </c>
      <c r="G47" s="12">
        <f>_xll.BDH("MCHP US Equity","CF_DECR_CAP_STOCK","FY 2016","FY 2016","Currency=USD","Period=FY","BEST_FPERIOD_OVERRIDE=FY","FILING_STATUS=MR","SCALING_FORMAT=MLN","Sort=A","Dates=H","DateFormat=P","Fill=—","Direction=H","UseDPDF=Y")</f>
        <v>-363.8</v>
      </c>
      <c r="H47" s="12">
        <f>_xll.BDH("MCHP US Equity","CF_DECR_CAP_STOCK","FY 2017","FY 2017","Currency=USD","Period=FY","BEST_FPERIOD_OVERRIDE=FY","FILING_STATUS=MR","SCALING_FORMAT=MLN","Sort=A","Dates=H","DateFormat=P","Fill=—","Direction=H","UseDPDF=Y")</f>
        <v>0</v>
      </c>
      <c r="I47" s="12">
        <f>_xll.BDH("MCHP US Equity","CF_DECR_CAP_STOCK","FY 2018","FY 2018","Currency=USD","Period=FY","BEST_FPERIOD_OVERRIDE=FY","FILING_STATUS=MR","SCALING_FORMAT=MLN","Sort=A","Dates=H","DateFormat=P","Fill=—","Direction=H","UseDPDF=Y")</f>
        <v>0</v>
      </c>
      <c r="J47" s="12">
        <f>_xll.BDH("MCHP US Equity","CF_DECR_CAP_STOCK","FY 2019","FY 2019","Currency=USD","Period=FY","BEST_FPERIOD_OVERRIDE=FY","FILING_STATUS=MR","SCALING_FORMAT=MLN","Sort=A","Dates=H","DateFormat=P","Fill=—","Direction=H","UseDPDF=Y")</f>
        <v>0</v>
      </c>
      <c r="K47" s="12">
        <f>_xll.BDH("MCHP US Equity","CF_DECR_CAP_STOCK","FY 2020","FY 2020","Currency=USD","Period=FY","BEST_FPERIOD_OVERRIDE=FY","FILING_STATUS=MR","SCALING_FORMAT=MLN","Sort=A","Dates=H","DateFormat=P","Fill=—","Direction=H","UseDPDF=Y")</f>
        <v>0</v>
      </c>
      <c r="L47" s="14">
        <v>0</v>
      </c>
    </row>
    <row r="48" spans="1:12" x14ac:dyDescent="0.45">
      <c r="A48" s="10" t="s">
        <v>99</v>
      </c>
      <c r="B48" s="10" t="s">
        <v>100</v>
      </c>
      <c r="C48" s="12">
        <f>_xll.BDH("MCHP US Equity","OTHER_FIN_AND_DEC_CAP","FY 2012","FY 2012","Currency=USD","Period=FY","BEST_FPERIOD_OVERRIDE=FY","FILING_STATUS=MR","SCALING_FORMAT=MLN","Sort=A","Dates=H","DateFormat=P","Fill=—","Direction=H","UseDPDF=Y")</f>
        <v>0</v>
      </c>
      <c r="D48" s="12">
        <f>_xll.BDH("MCHP US Equity","OTHER_FIN_AND_DEC_CAP","FY 2013","FY 2013","Currency=USD","Period=FY","BEST_FPERIOD_OVERRIDE=FY","FILING_STATUS=MR","SCALING_FORMAT=MLN","Sort=A","Dates=H","DateFormat=P","Fill=—","Direction=H","UseDPDF=Y")</f>
        <v>-15.67</v>
      </c>
      <c r="E48" s="12">
        <f>_xll.BDH("MCHP US Equity","OTHER_FIN_AND_DEC_CAP","FY 2014","FY 2014","Currency=USD","Period=FY","BEST_FPERIOD_OVERRIDE=FY","FILING_STATUS=MR","SCALING_FORMAT=MLN","Sort=A","Dates=H","DateFormat=P","Fill=—","Direction=H","UseDPDF=Y")</f>
        <v>-22.669</v>
      </c>
      <c r="F48" s="12">
        <f>_xll.BDH("MCHP US Equity","OTHER_FIN_AND_DEC_CAP","FY 2015","FY 2015","Currency=USD","Period=FY","BEST_FPERIOD_OVERRIDE=FY","FILING_STATUS=MR","SCALING_FORMAT=MLN","Sort=A","Dates=H","DateFormat=P","Fill=—","Direction=H","UseDPDF=Y")</f>
        <v>-52.35</v>
      </c>
      <c r="G48" s="12">
        <f>_xll.BDH("MCHP US Equity","OTHER_FIN_AND_DEC_CAP","FY 2016","FY 2016","Currency=USD","Period=FY","BEST_FPERIOD_OVERRIDE=FY","FILING_STATUS=MR","SCALING_FORMAT=MLN","Sort=A","Dates=H","DateFormat=P","Fill=—","Direction=H","UseDPDF=Y")</f>
        <v>-23.9</v>
      </c>
      <c r="H48" s="12">
        <f>_xll.BDH("MCHP US Equity","OTHER_FIN_AND_DEC_CAP","FY 2017","FY 2017","Currency=USD","Period=FY","BEST_FPERIOD_OVERRIDE=FY","FILING_STATUS=MR","SCALING_FORMAT=MLN","Sort=A","Dates=H","DateFormat=P","Fill=—","Direction=H","UseDPDF=Y")</f>
        <v>-95.3</v>
      </c>
      <c r="I48" s="12">
        <f>_xll.BDH("MCHP US Equity","OTHER_FIN_AND_DEC_CAP","FY 2018","FY 2018","Currency=USD","Period=FY","BEST_FPERIOD_OVERRIDE=FY","FILING_STATUS=MR","SCALING_FORMAT=MLN","Sort=A","Dates=H","DateFormat=P","Fill=—","Direction=H","UseDPDF=Y")</f>
        <v>-45.6</v>
      </c>
      <c r="J48" s="12">
        <f>_xll.BDH("MCHP US Equity","OTHER_FIN_AND_DEC_CAP","FY 2019","FY 2019","Currency=USD","Period=FY","BEST_FPERIOD_OVERRIDE=FY","FILING_STATUS=MR","SCALING_FORMAT=MLN","Sort=A","Dates=H","DateFormat=P","Fill=—","Direction=H","UseDPDF=Y")</f>
        <v>-144.5</v>
      </c>
      <c r="K48" s="12">
        <f>_xll.BDH("MCHP US Equity","OTHER_FIN_AND_DEC_CAP","FY 2020","FY 2020","Currency=USD","Period=FY","BEST_FPERIOD_OVERRIDE=FY","FILING_STATUS=MR","SCALING_FORMAT=MLN","Sort=A","Dates=H","DateFormat=P","Fill=—","Direction=H","UseDPDF=Y")</f>
        <v>-77</v>
      </c>
      <c r="L48" s="14">
        <v>-2753.7</v>
      </c>
    </row>
    <row r="49" spans="1:12" x14ac:dyDescent="0.45">
      <c r="A49" s="10" t="s">
        <v>46</v>
      </c>
      <c r="B49" s="10" t="s">
        <v>101</v>
      </c>
      <c r="C49" s="12">
        <f>_xll.BDH("MCHP US Equity","CF_NET_CASH_DISCONTINUED_OPS_FIN","FY 2012","FY 2012","Currency=USD","Period=FY","BEST_FPERIOD_OVERRIDE=FY","FILING_STATUS=MR","SCALING_FORMAT=MLN","Sort=A","Dates=H","DateFormat=P","Fill=—","Direction=H","UseDPDF=Y")</f>
        <v>0</v>
      </c>
      <c r="D49" s="12">
        <f>_xll.BDH("MCHP US Equity","CF_NET_CASH_DISCONTINUED_OPS_FIN","FY 2013","FY 2013","Currency=USD","Period=FY","BEST_FPERIOD_OVERRIDE=FY","FILING_STATUS=MR","SCALING_FORMAT=MLN","Sort=A","Dates=H","DateFormat=P","Fill=—","Direction=H","UseDPDF=Y")</f>
        <v>0</v>
      </c>
      <c r="E49" s="12">
        <f>_xll.BDH("MCHP US Equity","CF_NET_CASH_DISCONTINUED_OPS_FIN","FY 2014","FY 2014","Currency=USD","Period=FY","BEST_FPERIOD_OVERRIDE=FY","FILING_STATUS=MR","SCALING_FORMAT=MLN","Sort=A","Dates=H","DateFormat=P","Fill=—","Direction=H","UseDPDF=Y")</f>
        <v>0</v>
      </c>
      <c r="F49" s="12">
        <f>_xll.BDH("MCHP US Equity","CF_NET_CASH_DISCONTINUED_OPS_FIN","FY 2015","FY 2015","Currency=USD","Period=FY","BEST_FPERIOD_OVERRIDE=FY","FILING_STATUS=MR","SCALING_FORMAT=MLN","Sort=A","Dates=H","DateFormat=P","Fill=—","Direction=H","UseDPDF=Y")</f>
        <v>0</v>
      </c>
      <c r="G49" s="12">
        <f>_xll.BDH("MCHP US Equity","CF_NET_CASH_DISCONTINUED_OPS_FIN","FY 2016","FY 2016","Currency=USD","Period=FY","BEST_FPERIOD_OVERRIDE=FY","FILING_STATUS=MR","SCALING_FORMAT=MLN","Sort=A","Dates=H","DateFormat=P","Fill=—","Direction=H","UseDPDF=Y")</f>
        <v>0</v>
      </c>
      <c r="H49" s="12" t="str">
        <f>_xll.BDH("MCHP US Equity","CF_NET_CASH_DISCONTINUED_OPS_FIN","FY 2017","FY 2017","Currency=USD","Period=FY","BEST_FPERIOD_OVERRIDE=FY","FILING_STATUS=MR","SCALING_FORMAT=MLN","Sort=A","Dates=H","DateFormat=P","Fill=—","Direction=H","UseDPDF=Y")</f>
        <v>—</v>
      </c>
      <c r="I49" s="12" t="str">
        <f>_xll.BDH("MCHP US Equity","CF_NET_CASH_DISCONTINUED_OPS_FIN","FY 2018","FY 2018","Currency=USD","Period=FY","BEST_FPERIOD_OVERRIDE=FY","FILING_STATUS=MR","SCALING_FORMAT=MLN","Sort=A","Dates=H","DateFormat=P","Fill=—","Direction=H","UseDPDF=Y")</f>
        <v>—</v>
      </c>
      <c r="J49" s="12">
        <f>_xll.BDH("MCHP US Equity","CF_NET_CASH_DISCONTINUED_OPS_FIN","FY 2019","FY 2019","Currency=USD","Period=FY","BEST_FPERIOD_OVERRIDE=FY","FILING_STATUS=MR","SCALING_FORMAT=MLN","Sort=A","Dates=H","DateFormat=P","Fill=—","Direction=H","UseDPDF=Y")</f>
        <v>0</v>
      </c>
      <c r="K49" s="12">
        <f>_xll.BDH("MCHP US Equity","CF_NET_CASH_DISCONTINUED_OPS_FIN","FY 2020","FY 2020","Currency=USD","Period=FY","BEST_FPERIOD_OVERRIDE=FY","FILING_STATUS=MR","SCALING_FORMAT=MLN","Sort=A","Dates=H","DateFormat=P","Fill=—","Direction=H","UseDPDF=Y")</f>
        <v>0</v>
      </c>
      <c r="L49" s="14">
        <v>0</v>
      </c>
    </row>
    <row r="50" spans="1:12" x14ac:dyDescent="0.45">
      <c r="A50" s="6" t="s">
        <v>82</v>
      </c>
      <c r="B50" s="6" t="s">
        <v>102</v>
      </c>
      <c r="C50" s="17">
        <f>_xll.BDH("MCHP US Equity","CFF_ACTIVITIES_DETAILED","FY 2012","FY 2012","Currency=USD","Period=FY","BEST_FPERIOD_OVERRIDE=FY","FILING_STATUS=MR","SCALING_FORMAT=MLN","Sort=A","Dates=H","DateFormat=P","Fill=—","Direction=H","UseDPDF=Y")</f>
        <v>-208.14500000000001</v>
      </c>
      <c r="D50" s="17">
        <f>_xll.BDH("MCHP US Equity","CFF_ACTIVITIES_DETAILED","FY 2013","FY 2013","Currency=USD","Period=FY","BEST_FPERIOD_OVERRIDE=FY","FILING_STATUS=MR","SCALING_FORMAT=MLN","Sort=A","Dates=H","DateFormat=P","Fill=—","Direction=H","UseDPDF=Y")</f>
        <v>382.17</v>
      </c>
      <c r="E50" s="17">
        <f>_xll.BDH("MCHP US Equity","CFF_ACTIVITIES_DETAILED","FY 2014","FY 2014","Currency=USD","Period=FY","BEST_FPERIOD_OVERRIDE=FY","FILING_STATUS=MR","SCALING_FORMAT=MLN","Sort=A","Dates=H","DateFormat=P","Fill=—","Direction=H","UseDPDF=Y")</f>
        <v>-235.01599999999999</v>
      </c>
      <c r="F50" s="17">
        <f>_xll.BDH("MCHP US Equity","CFF_ACTIVITIES_DETAILED","FY 2015","FY 2015","Currency=USD","Period=FY","BEST_FPERIOD_OVERRIDE=FY","FILING_STATUS=MR","SCALING_FORMAT=MLN","Sort=A","Dates=H","DateFormat=P","Fill=—","Direction=H","UseDPDF=Y")</f>
        <v>98.548000000000002</v>
      </c>
      <c r="G50" s="17">
        <f>_xll.BDH("MCHP US Equity","CFF_ACTIVITIES_DETAILED","FY 2016","FY 2016","Currency=USD","Period=FY","BEST_FPERIOD_OVERRIDE=FY","FILING_STATUS=MR","SCALING_FORMAT=MLN","Sort=A","Dates=H","DateFormat=P","Fill=—","Direction=H","UseDPDF=Y")</f>
        <v>-59.9</v>
      </c>
      <c r="H50" s="17">
        <f>_xll.BDH("MCHP US Equity","CFF_ACTIVITIES_DETAILED","FY 2017","FY 2017","Currency=USD","Period=FY","BEST_FPERIOD_OVERRIDE=FY","FILING_STATUS=MR","SCALING_FORMAT=MLN","Sort=A","Dates=H","DateFormat=P","Fill=—","Direction=H","UseDPDF=Y")</f>
        <v>595.5</v>
      </c>
      <c r="I50" s="17">
        <f>_xll.BDH("MCHP US Equity","CFF_ACTIVITIES_DETAILED","FY 2018","FY 2018","Currency=USD","Period=FY","BEST_FPERIOD_OVERRIDE=FY","FILING_STATUS=MR","SCALING_FORMAT=MLN","Sort=A","Dates=H","DateFormat=P","Fill=—","Direction=H","UseDPDF=Y")</f>
        <v>-415.3</v>
      </c>
      <c r="J50" s="17">
        <f>_xll.BDH("MCHP US Equity","CFF_ACTIVITIES_DETAILED","FY 2019","FY 2019","Currency=USD","Period=FY","BEST_FPERIOD_OVERRIDE=FY","FILING_STATUS=MR","SCALING_FORMAT=MLN","Sort=A","Dates=H","DateFormat=P","Fill=—","Direction=H","UseDPDF=Y")</f>
        <v>4663.5</v>
      </c>
      <c r="K50" s="17">
        <f>_xll.BDH("MCHP US Equity","CFF_ACTIVITIES_DETAILED","FY 2020","FY 2020","Currency=USD","Period=FY","BEST_FPERIOD_OVERRIDE=FY","FILING_STATUS=MR","SCALING_FORMAT=MLN","Sort=A","Dates=H","DateFormat=P","Fill=—","Direction=H","UseDPDF=Y")</f>
        <v>-1438.2</v>
      </c>
      <c r="L50" s="19">
        <v>-1621.2</v>
      </c>
    </row>
    <row r="51" spans="1:12" x14ac:dyDescent="0.45">
      <c r="A51" s="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8"/>
    </row>
    <row r="52" spans="1:12" x14ac:dyDescent="0.45">
      <c r="A52" s="10" t="s">
        <v>103</v>
      </c>
      <c r="B52" s="10" t="s">
        <v>104</v>
      </c>
      <c r="C52" s="12">
        <f>_xll.BDH("MCHP US Equity","CF_EFFECT_FOREIGN_EXCHANGES","FY 2012","FY 2012","Currency=USD","Period=FY","BEST_FPERIOD_OVERRIDE=FY","FILING_STATUS=MR","SCALING_FORMAT=MLN","Sort=A","Dates=H","DateFormat=P","Fill=—","Direction=H","UseDPDF=Y")</f>
        <v>0</v>
      </c>
      <c r="D52" s="12">
        <f>_xll.BDH("MCHP US Equity","CF_EFFECT_FOREIGN_EXCHANGES","FY 2013","FY 2013","Currency=USD","Period=FY","BEST_FPERIOD_OVERRIDE=FY","FILING_STATUS=MR","SCALING_FORMAT=MLN","Sort=A","Dates=H","DateFormat=P","Fill=—","Direction=H","UseDPDF=Y")</f>
        <v>0.98599999999999999</v>
      </c>
      <c r="E52" s="12">
        <f>_xll.BDH("MCHP US Equity","CF_EFFECT_FOREIGN_EXCHANGES","FY 2014","FY 2014","Currency=USD","Period=FY","BEST_FPERIOD_OVERRIDE=FY","FILING_STATUS=MR","SCALING_FORMAT=MLN","Sort=A","Dates=H","DateFormat=P","Fill=—","Direction=H","UseDPDF=Y")</f>
        <v>0</v>
      </c>
      <c r="F52" s="12">
        <f>_xll.BDH("MCHP US Equity","CF_EFFECT_FOREIGN_EXCHANGES","FY 2015","FY 2015","Currency=USD","Period=FY","BEST_FPERIOD_OVERRIDE=FY","FILING_STATUS=MR","SCALING_FORMAT=MLN","Sort=A","Dates=H","DateFormat=P","Fill=—","Direction=H","UseDPDF=Y")</f>
        <v>-0.20100000000000001</v>
      </c>
      <c r="G52" s="12">
        <f>_xll.BDH("MCHP US Equity","CF_EFFECT_FOREIGN_EXCHANGES","FY 2016","FY 2016","Currency=USD","Period=FY","BEST_FPERIOD_OVERRIDE=FY","FILING_STATUS=MR","SCALING_FORMAT=MLN","Sort=A","Dates=H","DateFormat=P","Fill=—","Direction=H","UseDPDF=Y")</f>
        <v>0</v>
      </c>
      <c r="H52" s="12">
        <f>_xll.BDH("MCHP US Equity","CF_EFFECT_FOREIGN_EXCHANGES","FY 2017","FY 2017","Currency=USD","Period=FY","BEST_FPERIOD_OVERRIDE=FY","FILING_STATUS=MR","SCALING_FORMAT=MLN","Sort=A","Dates=H","DateFormat=P","Fill=—","Direction=H","UseDPDF=Y")</f>
        <v>-1</v>
      </c>
      <c r="I52" s="12">
        <f>_xll.BDH("MCHP US Equity","CF_EFFECT_FOREIGN_EXCHANGES","FY 2018","FY 2018","Currency=USD","Period=FY","BEST_FPERIOD_OVERRIDE=FY","FILING_STATUS=MR","SCALING_FORMAT=MLN","Sort=A","Dates=H","DateFormat=P","Fill=—","Direction=H","UseDPDF=Y")</f>
        <v>0</v>
      </c>
      <c r="J52" s="12">
        <f>_xll.BDH("MCHP US Equity","CF_EFFECT_FOREIGN_EXCHANGES","FY 2019","FY 2019","Currency=USD","Period=FY","BEST_FPERIOD_OVERRIDE=FY","FILING_STATUS=MR","SCALING_FORMAT=MLN","Sort=A","Dates=H","DateFormat=P","Fill=—","Direction=H","UseDPDF=Y")</f>
        <v>0</v>
      </c>
      <c r="K52" s="12">
        <f>_xll.BDH("MCHP US Equity","CF_EFFECT_FOREIGN_EXCHANGES","FY 2020","FY 2020","Currency=USD","Period=FY","BEST_FPERIOD_OVERRIDE=FY","FILING_STATUS=MR","SCALING_FORMAT=MLN","Sort=A","Dates=H","DateFormat=P","Fill=—","Direction=H","UseDPDF=Y")</f>
        <v>0</v>
      </c>
      <c r="L52" s="14">
        <v>0</v>
      </c>
    </row>
    <row r="53" spans="1:12" x14ac:dyDescent="0.45">
      <c r="A53" s="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8"/>
    </row>
    <row r="54" spans="1:12" x14ac:dyDescent="0.45">
      <c r="A54" s="6" t="s">
        <v>105</v>
      </c>
      <c r="B54" s="6" t="s">
        <v>106</v>
      </c>
      <c r="C54" s="17">
        <f>_xll.BDH("MCHP US Equity","CF_NET_CHNG_CASH","FY 2012","FY 2012","Currency=USD","Period=FY","BEST_FPERIOD_OVERRIDE=FY","FILING_STATUS=MR","SCALING_FORMAT=MLN","Sort=A","Dates=H","DateFormat=P","Fill=—","Direction=H","UseDPDF=Y")</f>
        <v>-68.168999999999997</v>
      </c>
      <c r="D54" s="17">
        <f>_xll.BDH("MCHP US Equity","CF_NET_CHNG_CASH","FY 2013","FY 2013","Currency=USD","Period=FY","BEST_FPERIOD_OVERRIDE=FY","FILING_STATUS=MR","SCALING_FORMAT=MLN","Sort=A","Dates=H","DateFormat=P","Fill=—","Direction=H","UseDPDF=Y")</f>
        <v>-107.42100000000001</v>
      </c>
      <c r="E54" s="17">
        <f>_xll.BDH("MCHP US Equity","CF_NET_CHNG_CASH","FY 2014","FY 2014","Currency=USD","Period=FY","BEST_FPERIOD_OVERRIDE=FY","FILING_STATUS=MR","SCALING_FORMAT=MLN","Sort=A","Dates=H","DateFormat=P","Fill=—","Direction=H","UseDPDF=Y")</f>
        <v>-61.731000000000002</v>
      </c>
      <c r="F54" s="17">
        <f>_xll.BDH("MCHP US Equity","CF_NET_CHNG_CASH","FY 2015","FY 2015","Currency=USD","Period=FY","BEST_FPERIOD_OVERRIDE=FY","FILING_STATUS=MR","SCALING_FORMAT=MLN","Sort=A","Dates=H","DateFormat=P","Fill=—","Direction=H","UseDPDF=Y")</f>
        <v>141.21199999999999</v>
      </c>
      <c r="G54" s="17">
        <f>_xll.BDH("MCHP US Equity","CF_NET_CHNG_CASH","FY 2016","FY 2016","Currency=USD","Period=FY","BEST_FPERIOD_OVERRIDE=FY","FILING_STATUS=MR","SCALING_FORMAT=MLN","Sort=A","Dates=H","DateFormat=P","Fill=—","Direction=H","UseDPDF=Y")</f>
        <v>1484.9</v>
      </c>
      <c r="H54" s="17">
        <f>_xll.BDH("MCHP US Equity","CF_NET_CHNG_CASH","FY 2017","FY 2017","Currency=USD","Period=FY","BEST_FPERIOD_OVERRIDE=FY","FILING_STATUS=MR","SCALING_FORMAT=MLN","Sort=A","Dates=H","DateFormat=P","Fill=—","Direction=H","UseDPDF=Y")</f>
        <v>-1184</v>
      </c>
      <c r="I54" s="17">
        <f>_xll.BDH("MCHP US Equity","CF_NET_CHNG_CASH","FY 2018","FY 2018","Currency=USD","Period=FY","BEST_FPERIOD_OVERRIDE=FY","FILING_STATUS=MR","SCALING_FORMAT=MLN","Sort=A","Dates=H","DateFormat=P","Fill=—","Direction=H","UseDPDF=Y")</f>
        <v>-7.4</v>
      </c>
      <c r="J54" s="17">
        <f>_xll.BDH("MCHP US Equity","CF_NET_CHNG_CASH","FY 2019","FY 2019","Currency=USD","Period=FY","BEST_FPERIOD_OVERRIDE=FY","FILING_STATUS=MR","SCALING_FORMAT=MLN","Sort=A","Dates=H","DateFormat=P","Fill=—","Direction=H","UseDPDF=Y")</f>
        <v>-472.7</v>
      </c>
      <c r="K54" s="17">
        <f>_xll.BDH("MCHP US Equity","CF_NET_CHNG_CASH","FY 2020","FY 2020","Currency=USD","Period=FY","BEST_FPERIOD_OVERRIDE=FY","FILING_STATUS=MR","SCALING_FORMAT=MLN","Sort=A","Dates=H","DateFormat=P","Fill=—","Direction=H","UseDPDF=Y")</f>
        <v>-27.6</v>
      </c>
      <c r="L54" s="19">
        <v>-33.4999989509583</v>
      </c>
    </row>
    <row r="55" spans="1:12" x14ac:dyDescent="0.45">
      <c r="A55" s="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8"/>
    </row>
    <row r="56" spans="1:12" x14ac:dyDescent="0.45">
      <c r="A56" s="6" t="s">
        <v>107</v>
      </c>
      <c r="B56" s="6" t="s">
        <v>108</v>
      </c>
      <c r="C56" s="17">
        <f>_xll.BDH("MCHP US Equity","CF_CASH_PAID_FOR_TAX","FY 2012","FY 2012","Currency=USD","Period=FY","BEST_FPERIOD_OVERRIDE=FY","FILING_STATUS=MR","SCALING_FORMAT=MLN","Sort=A","Dates=H","DateFormat=P","Fill=—","Direction=H","UseDPDF=Y")</f>
        <v>20.100000000000001</v>
      </c>
      <c r="D56" s="17">
        <f>_xll.BDH("MCHP US Equity","CF_CASH_PAID_FOR_TAX","FY 2013","FY 2013","Currency=USD","Period=FY","BEST_FPERIOD_OVERRIDE=FY","FILING_STATUS=MR","SCALING_FORMAT=MLN","Sort=A","Dates=H","DateFormat=P","Fill=—","Direction=H","UseDPDF=Y")</f>
        <v>21.4</v>
      </c>
      <c r="E56" s="17">
        <f>_xll.BDH("MCHP US Equity","CF_CASH_PAID_FOR_TAX","FY 2014","FY 2014","Currency=USD","Period=FY","BEST_FPERIOD_OVERRIDE=FY","FILING_STATUS=MR","SCALING_FORMAT=MLN","Sort=A","Dates=H","DateFormat=P","Fill=—","Direction=H","UseDPDF=Y")</f>
        <v>25.7</v>
      </c>
      <c r="F56" s="17">
        <f>_xll.BDH("MCHP US Equity","CF_CASH_PAID_FOR_TAX","FY 2015","FY 2015","Currency=USD","Period=FY","BEST_FPERIOD_OVERRIDE=FY","FILING_STATUS=MR","SCALING_FORMAT=MLN","Sort=A","Dates=H","DateFormat=P","Fill=—","Direction=H","UseDPDF=Y")</f>
        <v>25.5</v>
      </c>
      <c r="G56" s="17">
        <f>_xll.BDH("MCHP US Equity","CF_CASH_PAID_FOR_TAX","FY 2016","FY 2016","Currency=USD","Period=FY","BEST_FPERIOD_OVERRIDE=FY","FILING_STATUS=MR","SCALING_FORMAT=MLN","Sort=A","Dates=H","DateFormat=P","Fill=—","Direction=H","UseDPDF=Y")</f>
        <v>25.4</v>
      </c>
      <c r="H56" s="17">
        <f>_xll.BDH("MCHP US Equity","CF_CASH_PAID_FOR_TAX","FY 2017","FY 2017","Currency=USD","Period=FY","BEST_FPERIOD_OVERRIDE=FY","FILING_STATUS=MR","SCALING_FORMAT=MLN","Sort=A","Dates=H","DateFormat=P","Fill=—","Direction=H","UseDPDF=Y")</f>
        <v>48.4</v>
      </c>
      <c r="I56" s="17">
        <f>_xll.BDH("MCHP US Equity","CF_CASH_PAID_FOR_TAX","FY 2018","FY 2018","Currency=USD","Period=FY","BEST_FPERIOD_OVERRIDE=FY","FILING_STATUS=MR","SCALING_FORMAT=MLN","Sort=A","Dates=H","DateFormat=P","Fill=—","Direction=H","UseDPDF=Y")</f>
        <v>25.9</v>
      </c>
      <c r="J56" s="17">
        <f>_xll.BDH("MCHP US Equity","CF_CASH_PAID_FOR_TAX","FY 2019","FY 2019","Currency=USD","Period=FY","BEST_FPERIOD_OVERRIDE=FY","FILING_STATUS=MR","SCALING_FORMAT=MLN","Sort=A","Dates=H","DateFormat=P","Fill=—","Direction=H","UseDPDF=Y")</f>
        <v>77.599999999999994</v>
      </c>
      <c r="K56" s="17">
        <f>_xll.BDH("MCHP US Equity","CF_CASH_PAID_FOR_TAX","FY 2020","FY 2020","Currency=USD","Period=FY","BEST_FPERIOD_OVERRIDE=FY","FILING_STATUS=MR","SCALING_FORMAT=MLN","Sort=A","Dates=H","DateFormat=P","Fill=—","Direction=H","UseDPDF=Y")</f>
        <v>101.3</v>
      </c>
      <c r="L56" s="19"/>
    </row>
    <row r="57" spans="1:12" x14ac:dyDescent="0.45">
      <c r="A57" s="6" t="s">
        <v>109</v>
      </c>
      <c r="B57" s="6" t="s">
        <v>110</v>
      </c>
      <c r="C57" s="17">
        <f>_xll.BDH("MCHP US Equity","CF_ACT_CASH_PAID_FOR_INT_DEBT","FY 2012","FY 2012","Currency=USD","Period=FY","BEST_FPERIOD_OVERRIDE=FY","FILING_STATUS=MR","SCALING_FORMAT=MLN","Sort=A","Dates=H","DateFormat=P","Fill=—","Direction=H","UseDPDF=Y")</f>
        <v>24.4</v>
      </c>
      <c r="D57" s="17">
        <f>_xll.BDH("MCHP US Equity","CF_ACT_CASH_PAID_FOR_INT_DEBT","FY 2013","FY 2013","Currency=USD","Period=FY","BEST_FPERIOD_OVERRIDE=FY","FILING_STATUS=MR","SCALING_FORMAT=MLN","Sort=A","Dates=H","DateFormat=P","Fill=—","Direction=H","UseDPDF=Y")</f>
        <v>28.8</v>
      </c>
      <c r="E57" s="17">
        <f>_xll.BDH("MCHP US Equity","CF_ACT_CASH_PAID_FOR_INT_DEBT","FY 2014","FY 2014","Currency=USD","Period=FY","BEST_FPERIOD_OVERRIDE=FY","FILING_STATUS=MR","SCALING_FORMAT=MLN","Sort=A","Dates=H","DateFormat=P","Fill=—","Direction=H","UseDPDF=Y")</f>
        <v>34.6</v>
      </c>
      <c r="F57" s="17">
        <f>_xll.BDH("MCHP US Equity","CF_ACT_CASH_PAID_FOR_INT_DEBT","FY 2015","FY 2015","Currency=USD","Period=FY","BEST_FPERIOD_OVERRIDE=FY","FILING_STATUS=MR","SCALING_FORMAT=MLN","Sort=A","Dates=H","DateFormat=P","Fill=—","Direction=H","UseDPDF=Y")</f>
        <v>40.200000000000003</v>
      </c>
      <c r="G57" s="17">
        <f>_xll.BDH("MCHP US Equity","CF_ACT_CASH_PAID_FOR_INT_DEBT","FY 2016","FY 2016","Currency=USD","Period=FY","BEST_FPERIOD_OVERRIDE=FY","FILING_STATUS=MR","SCALING_FORMAT=MLN","Sort=A","Dates=H","DateFormat=P","Fill=—","Direction=H","UseDPDF=Y")</f>
        <v>52.9</v>
      </c>
      <c r="H57" s="17">
        <f>_xll.BDH("MCHP US Equity","CF_ACT_CASH_PAID_FOR_INT_DEBT","FY 2017","FY 2017","Currency=USD","Period=FY","BEST_FPERIOD_OVERRIDE=FY","FILING_STATUS=MR","SCALING_FORMAT=MLN","Sort=A","Dates=H","DateFormat=P","Fill=—","Direction=H","UseDPDF=Y")</f>
        <v>82.5</v>
      </c>
      <c r="I57" s="17">
        <f>_xll.BDH("MCHP US Equity","CF_ACT_CASH_PAID_FOR_INT_DEBT","FY 2018","FY 2018","Currency=USD","Period=FY","BEST_FPERIOD_OVERRIDE=FY","FILING_STATUS=MR","SCALING_FORMAT=MLN","Sort=A","Dates=H","DateFormat=P","Fill=—","Direction=H","UseDPDF=Y")</f>
        <v>85.3</v>
      </c>
      <c r="J57" s="17">
        <f>_xll.BDH("MCHP US Equity","CF_ACT_CASH_PAID_FOR_INT_DEBT","FY 2019","FY 2019","Currency=USD","Period=FY","BEST_FPERIOD_OVERRIDE=FY","FILING_STATUS=MR","SCALING_FORMAT=MLN","Sort=A","Dates=H","DateFormat=P","Fill=—","Direction=H","UseDPDF=Y")</f>
        <v>347.9</v>
      </c>
      <c r="K57" s="17">
        <f>_xll.BDH("MCHP US Equity","CF_ACT_CASH_PAID_FOR_INT_DEBT","FY 2020","FY 2020","Currency=USD","Period=FY","BEST_FPERIOD_OVERRIDE=FY","FILING_STATUS=MR","SCALING_FORMAT=MLN","Sort=A","Dates=H","DateFormat=P","Fill=—","Direction=H","UseDPDF=Y")</f>
        <v>355.2</v>
      </c>
      <c r="L57" s="19"/>
    </row>
    <row r="58" spans="1:12" x14ac:dyDescent="0.45">
      <c r="A58" s="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8"/>
    </row>
    <row r="59" spans="1:12" x14ac:dyDescent="0.45">
      <c r="A59" s="6" t="s">
        <v>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8"/>
    </row>
    <row r="60" spans="1:12" x14ac:dyDescent="0.45">
      <c r="A60" s="10" t="s">
        <v>111</v>
      </c>
      <c r="B60" s="10" t="s">
        <v>111</v>
      </c>
      <c r="C60" s="12">
        <f>_xll.BDH("MCHP US Equity","EBITDA","FY 2012","FY 2012","Currency=USD","Period=FY","BEST_FPERIOD_OVERRIDE=FY","FILING_STATUS=MR","SCALING_FORMAT=MLN","FA_ADJUSTED=GAAP","Sort=A","Dates=H","DateFormat=P","Fill=—","Direction=H","UseDPDF=Y")</f>
        <v>495.94</v>
      </c>
      <c r="D60" s="12">
        <f>_xll.BDH("MCHP US Equity","EBITDA","FY 2013","FY 2013","Currency=USD","Period=FY","BEST_FPERIOD_OVERRIDE=FY","FILING_STATUS=MR","SCALING_FORMAT=MLN","FA_ADJUSTED=GAAP","Sort=A","Dates=H","DateFormat=P","Fill=—","Direction=H","UseDPDF=Y")</f>
        <v>382.65</v>
      </c>
      <c r="E60" s="12">
        <f>_xll.BDH("MCHP US Equity","EBITDA","FY 2014","FY 2014","Currency=USD","Period=FY","BEST_FPERIOD_OVERRIDE=FY","FILING_STATUS=MR","SCALING_FORMAT=MLN","FA_ADJUSTED=GAAP","Sort=A","Dates=H","DateFormat=P","Fill=—","Direction=H","UseDPDF=Y")</f>
        <v>648.00300000000004</v>
      </c>
      <c r="F60" s="12">
        <f>_xll.BDH("MCHP US Equity","EBITDA","FY 2015","FY 2015","Currency=USD","Period=FY","BEST_FPERIOD_OVERRIDE=FY","FILING_STATUS=MR","SCALING_FORMAT=MLN","FA_ADJUSTED=GAAP","Sort=A","Dates=H","DateFormat=P","Fill=—","Direction=H","UseDPDF=Y")</f>
        <v>703.91800000000001</v>
      </c>
      <c r="G60" s="12">
        <f>_xll.BDH("MCHP US Equity","EBITDA","FY 2016","FY 2016","Currency=USD","Period=FY","BEST_FPERIOD_OVERRIDE=FY","FILING_STATUS=MR","SCALING_FORMAT=MLN","FA_ADJUSTED=GAAP","Sort=A","Dates=H","DateFormat=P","Fill=—","Direction=H","UseDPDF=Y")</f>
        <v>635.5</v>
      </c>
      <c r="H60" s="12">
        <f>_xll.BDH("MCHP US Equity","EBITDA","FY 2017","FY 2017","Currency=USD","Period=FY","BEST_FPERIOD_OVERRIDE=FY","FILING_STATUS=MR","SCALING_FORMAT=MLN","FA_ADJUSTED=GAAP","Sort=A","Dates=H","DateFormat=P","Fill=—","Direction=H","UseDPDF=Y")</f>
        <v>745</v>
      </c>
      <c r="I60" s="12">
        <f>_xll.BDH("MCHP US Equity","EBITDA","FY 2018","FY 2018","Currency=USD","Period=FY","BEST_FPERIOD_OVERRIDE=FY","FILING_STATUS=MR","SCALING_FORMAT=MLN","FA_ADJUSTED=GAAP","Sort=A","Dates=H","DateFormat=P","Fill=—","Direction=H","UseDPDF=Y")</f>
        <v>1552.2</v>
      </c>
      <c r="J60" s="12">
        <f>_xll.BDH("MCHP US Equity","EBITDA","FY 2019","FY 2019","Currency=USD","Period=FY","BEST_FPERIOD_OVERRIDE=FY","FILING_STATUS=MR","SCALING_FORMAT=MLN","FA_ADJUSTED=GAAP","Sort=A","Dates=H","DateFormat=P","Fill=—","Direction=H","UseDPDF=Y")</f>
        <v>1590.7</v>
      </c>
      <c r="K60" s="12">
        <f>_xll.BDH("MCHP US Equity","EBITDA","FY 2020","FY 2020","Currency=USD","Period=FY","BEST_FPERIOD_OVERRIDE=FY","FILING_STATUS=MR","SCALING_FORMAT=MLN","FA_ADJUSTED=GAAP","Sort=A","Dates=H","DateFormat=P","Fill=—","Direction=H","UseDPDF=Y")</f>
        <v>1913.5</v>
      </c>
      <c r="L60" s="14">
        <v>1952.2</v>
      </c>
    </row>
    <row r="61" spans="1:12" x14ac:dyDescent="0.45">
      <c r="A61" s="10" t="s">
        <v>112</v>
      </c>
      <c r="B61" s="10" t="s">
        <v>113</v>
      </c>
      <c r="C61" s="13">
        <f>_xll.BDH("MCHP US Equity","EBITDA_MARGIN","FY 2012","FY 2012","Currency=USD","Period=FY","BEST_FPERIOD_OVERRIDE=FY","FILING_STATUS=MR","FA_ADJUSTED=GAAP","Sort=A","Dates=H","DateFormat=P","Fill=—","Direction=H","UseDPDF=Y")</f>
        <v>35.855199999999996</v>
      </c>
      <c r="D61" s="13">
        <f>_xll.BDH("MCHP US Equity","EBITDA_MARGIN","FY 2013","FY 2013","Currency=USD","Period=FY","BEST_FPERIOD_OVERRIDE=FY","FILING_STATUS=MR","FA_ADJUSTED=GAAP","Sort=A","Dates=H","DateFormat=P","Fill=—","Direction=H","UseDPDF=Y")</f>
        <v>24.1935</v>
      </c>
      <c r="E61" s="13">
        <f>_xll.BDH("MCHP US Equity","EBITDA_MARGIN","FY 2014","FY 2014","Currency=USD","Period=FY","BEST_FPERIOD_OVERRIDE=FY","FILING_STATUS=MR","FA_ADJUSTED=GAAP","Sort=A","Dates=H","DateFormat=P","Fill=—","Direction=H","UseDPDF=Y")</f>
        <v>33.554099999999998</v>
      </c>
      <c r="F61" s="13">
        <f>_xll.BDH("MCHP US Equity","EBITDA_MARGIN","FY 2015","FY 2015","Currency=USD","Period=FY","BEST_FPERIOD_OVERRIDE=FY","FILING_STATUS=MR","FA_ADJUSTED=GAAP","Sort=A","Dates=H","DateFormat=P","Fill=—","Direction=H","UseDPDF=Y")</f>
        <v>32.785600000000002</v>
      </c>
      <c r="G61" s="13">
        <f>_xll.BDH("MCHP US Equity","EBITDA_MARGIN","FY 2016","FY 2016","Currency=USD","Period=FY","BEST_FPERIOD_OVERRIDE=FY","FILING_STATUS=MR","FA_ADJUSTED=GAAP","Sort=A","Dates=H","DateFormat=P","Fill=—","Direction=H","UseDPDF=Y")</f>
        <v>29.241199999999999</v>
      </c>
      <c r="H61" s="13">
        <f>_xll.BDH("MCHP US Equity","EBITDA_MARGIN","FY 2017","FY 2017","Currency=USD","Period=FY","BEST_FPERIOD_OVERRIDE=FY","FILING_STATUS=MR","FA_ADJUSTED=GAAP","Sort=A","Dates=H","DateFormat=P","Fill=—","Direction=H","UseDPDF=Y")</f>
        <v>21.861599999999999</v>
      </c>
      <c r="I61" s="13">
        <f>_xll.BDH("MCHP US Equity","EBITDA_MARGIN","FY 2018","FY 2018","Currency=USD","Period=FY","BEST_FPERIOD_OVERRIDE=FY","FILING_STATUS=MR","FA_ADJUSTED=GAAP","Sort=A","Dates=H","DateFormat=P","Fill=—","Direction=H","UseDPDF=Y")</f>
        <v>38.992199999999997</v>
      </c>
      <c r="J61" s="13">
        <f>_xll.BDH("MCHP US Equity","EBITDA_MARGIN","FY 2019","FY 2019","Currency=USD","Period=FY","BEST_FPERIOD_OVERRIDE=FY","FILING_STATUS=MR","FA_ADJUSTED=GAAP","Sort=A","Dates=H","DateFormat=P","Fill=—","Direction=H","UseDPDF=Y")</f>
        <v>29.735500000000002</v>
      </c>
      <c r="K61" s="13">
        <f>_xll.BDH("MCHP US Equity","EBITDA_MARGIN","FY 2020","FY 2020","Currency=USD","Period=FY","BEST_FPERIOD_OVERRIDE=FY","FILING_STATUS=MR","FA_ADJUSTED=GAAP","Sort=A","Dates=H","DateFormat=P","Fill=—","Direction=H","UseDPDF=Y")</f>
        <v>36.2804</v>
      </c>
      <c r="L61" s="15">
        <v>37.305560863749299</v>
      </c>
    </row>
    <row r="62" spans="1:12" x14ac:dyDescent="0.45">
      <c r="A62" s="10" t="s">
        <v>114</v>
      </c>
      <c r="B62" s="10" t="s">
        <v>115</v>
      </c>
      <c r="C62" s="12">
        <f>_xll.BDH("MCHP US Equity","CF_NET_CASH_PAID_FOR_AQUIS","FY 2012","FY 2012","Currency=USD","Period=FY","BEST_FPERIOD_OVERRIDE=FY","FILING_STATUS=MR","SCALING_FORMAT=MLN","Sort=A","Dates=H","DateFormat=P","Fill=—","Direction=H","UseDPDF=Y")</f>
        <v>38.58</v>
      </c>
      <c r="D62" s="12">
        <f>_xll.BDH("MCHP US Equity","CF_NET_CASH_PAID_FOR_AQUIS","FY 2013","FY 2013","Currency=USD","Period=FY","BEST_FPERIOD_OVERRIDE=FY","FILING_STATUS=MR","SCALING_FORMAT=MLN","Sort=A","Dates=H","DateFormat=P","Fill=—","Direction=H","UseDPDF=Y")</f>
        <v>752.30200000000002</v>
      </c>
      <c r="E62" s="12">
        <f>_xll.BDH("MCHP US Equity","CF_NET_CASH_PAID_FOR_AQUIS","FY 2014","FY 2014","Currency=USD","Period=FY","BEST_FPERIOD_OVERRIDE=FY","FILING_STATUS=MR","SCALING_FORMAT=MLN","Sort=A","Dates=H","DateFormat=P","Fill=—","Direction=H","UseDPDF=Y")</f>
        <v>11.186999999999999</v>
      </c>
      <c r="F62" s="12">
        <f>_xll.BDH("MCHP US Equity","CF_NET_CASH_PAID_FOR_AQUIS","FY 2015","FY 2015","Currency=USD","Period=FY","BEST_FPERIOD_OVERRIDE=FY","FILING_STATUS=MR","SCALING_FORMAT=MLN","Sort=A","Dates=H","DateFormat=P","Fill=—","Direction=H","UseDPDF=Y")</f>
        <v>627.83399999999995</v>
      </c>
      <c r="G62" s="12">
        <f>_xll.BDH("MCHP US Equity","CF_NET_CASH_PAID_FOR_AQUIS","FY 2016","FY 2016","Currency=USD","Period=FY","BEST_FPERIOD_OVERRIDE=FY","FILING_STATUS=MR","SCALING_FORMAT=MLN","Sort=A","Dates=H","DateFormat=P","Fill=—","Direction=H","UseDPDF=Y")</f>
        <v>343.9</v>
      </c>
      <c r="H62" s="12">
        <f>_xll.BDH("MCHP US Equity","CF_NET_CASH_PAID_FOR_AQUIS","FY 2017","FY 2017","Currency=USD","Period=FY","BEST_FPERIOD_OVERRIDE=FY","FILING_STATUS=MR","SCALING_FORMAT=MLN","Sort=A","Dates=H","DateFormat=P","Fill=—","Direction=H","UseDPDF=Y")</f>
        <v>2747.5</v>
      </c>
      <c r="I62" s="12" t="str">
        <f>_xll.BDH("MCHP US Equity","CF_NET_CASH_PAID_FOR_AQUIS","FY 2018","FY 2018","Currency=USD","Period=FY","BEST_FPERIOD_OVERRIDE=FY","FILING_STATUS=MR","SCALING_FORMAT=MLN","Sort=A","Dates=H","DateFormat=P","Fill=—","Direction=H","UseDPDF=Y")</f>
        <v>—</v>
      </c>
      <c r="J62" s="12">
        <f>_xll.BDH("MCHP US Equity","CF_NET_CASH_PAID_FOR_AQUIS","FY 2019","FY 2019","Currency=USD","Period=FY","BEST_FPERIOD_OVERRIDE=FY","FILING_STATUS=MR","SCALING_FORMAT=MLN","Sort=A","Dates=H","DateFormat=P","Fill=—","Direction=H","UseDPDF=Y")</f>
        <v>7850.6</v>
      </c>
      <c r="K62" s="12">
        <f>_xll.BDH("MCHP US Equity","CF_NET_CASH_PAID_FOR_AQUIS","FY 2020","FY 2020","Currency=USD","Period=FY","BEST_FPERIOD_OVERRIDE=FY","FILING_STATUS=MR","SCALING_FORMAT=MLN","Sort=A","Dates=H","DateFormat=P","Fill=—","Direction=H","UseDPDF=Y")</f>
        <v>0</v>
      </c>
      <c r="L62" s="14"/>
    </row>
    <row r="63" spans="1:12" x14ac:dyDescent="0.45">
      <c r="A63" s="10" t="s">
        <v>116</v>
      </c>
      <c r="B63" s="10" t="s">
        <v>117</v>
      </c>
      <c r="C63" s="12">
        <f>_xll.BDH("MCHP US Equity","CF_TAX_BENEFIT_FRM_STOCK_OPTIONS","FY 2012","FY 2012","Currency=USD","Period=FY","BEST_FPERIOD_OVERRIDE=FY","FILING_STATUS=MR","SCALING_FORMAT=MLN","Sort=A","Dates=H","DateFormat=P","Fill=—","Direction=H","UseDPDF=Y")</f>
        <v>0.57599999999999996</v>
      </c>
      <c r="D63" s="12">
        <f>_xll.BDH("MCHP US Equity","CF_TAX_BENEFIT_FRM_STOCK_OPTIONS","FY 2013","FY 2013","Currency=USD","Period=FY","BEST_FPERIOD_OVERRIDE=FY","FILING_STATUS=MR","SCALING_FORMAT=MLN","Sort=A","Dates=H","DateFormat=P","Fill=—","Direction=H","UseDPDF=Y")</f>
        <v>0.29699999999999999</v>
      </c>
      <c r="E63" s="12">
        <f>_xll.BDH("MCHP US Equity","CF_TAX_BENEFIT_FRM_STOCK_OPTIONS","FY 2014","FY 2014","Currency=USD","Period=FY","BEST_FPERIOD_OVERRIDE=FY","FILING_STATUS=MR","SCALING_FORMAT=MLN","Sort=A","Dates=H","DateFormat=P","Fill=—","Direction=H","UseDPDF=Y")</f>
        <v>1.411</v>
      </c>
      <c r="F63" s="12">
        <f>_xll.BDH("MCHP US Equity","CF_TAX_BENEFIT_FRM_STOCK_OPTIONS","FY 2015","FY 2015","Currency=USD","Period=FY","BEST_FPERIOD_OVERRIDE=FY","FILING_STATUS=MR","SCALING_FORMAT=MLN","Sort=A","Dates=H","DateFormat=P","Fill=—","Direction=H","UseDPDF=Y")</f>
        <v>1.216</v>
      </c>
      <c r="G63" s="12">
        <f>_xll.BDH("MCHP US Equity","CF_TAX_BENEFIT_FRM_STOCK_OPTIONS","FY 2016","FY 2016","Currency=USD","Period=FY","BEST_FPERIOD_OVERRIDE=FY","FILING_STATUS=MR","SCALING_FORMAT=MLN","Sort=A","Dates=H","DateFormat=P","Fill=—","Direction=H","UseDPDF=Y")</f>
        <v>0.7</v>
      </c>
      <c r="H63" s="12" t="str">
        <f>_xll.BDH("MCHP US Equity","CF_TAX_BENEFIT_FRM_STOCK_OPTIONS","FY 2017","FY 2017","Currency=USD","Period=FY","BEST_FPERIOD_OVERRIDE=FY","FILING_STATUS=MR","SCALING_FORMAT=MLN","Sort=A","Dates=H","DateFormat=P","Fill=—","Direction=H","UseDPDF=Y")</f>
        <v>—</v>
      </c>
      <c r="I63" s="12" t="str">
        <f>_xll.BDH("MCHP US Equity","CF_TAX_BENEFIT_FRM_STOCK_OPTIONS","FY 2018","FY 2018","Currency=USD","Period=FY","BEST_FPERIOD_OVERRIDE=FY","FILING_STATUS=MR","SCALING_FORMAT=MLN","Sort=A","Dates=H","DateFormat=P","Fill=—","Direction=H","UseDPDF=Y")</f>
        <v>—</v>
      </c>
      <c r="J63" s="12" t="str">
        <f>_xll.BDH("MCHP US Equity","CF_TAX_BENEFIT_FRM_STOCK_OPTIONS","FY 2019","FY 2019","Currency=USD","Period=FY","BEST_FPERIOD_OVERRIDE=FY","FILING_STATUS=MR","SCALING_FORMAT=MLN","Sort=A","Dates=H","DateFormat=P","Fill=—","Direction=H","UseDPDF=Y")</f>
        <v>—</v>
      </c>
      <c r="K63" s="12" t="str">
        <f>_xll.BDH("MCHP US Equity","CF_TAX_BENEFIT_FRM_STOCK_OPTIONS","FY 2020","FY 2020","Currency=USD","Period=FY","BEST_FPERIOD_OVERRIDE=FY","FILING_STATUS=MR","SCALING_FORMAT=MLN","Sort=A","Dates=H","DateFormat=P","Fill=—","Direction=H","UseDPDF=Y")</f>
        <v>—</v>
      </c>
      <c r="L63" s="14"/>
    </row>
    <row r="64" spans="1:12" x14ac:dyDescent="0.45">
      <c r="A64" s="10" t="s">
        <v>118</v>
      </c>
      <c r="B64" s="10" t="s">
        <v>119</v>
      </c>
      <c r="C64" s="12">
        <f>_xll.BDH("MCHP US Equity","CF_FREE_CASH_FLOW","FY 2012","FY 2012","Currency=USD","Period=FY","BEST_FPERIOD_OVERRIDE=FY","FILING_STATUS=MR","SCALING_FORMAT=MLN","Sort=A","Dates=H","DateFormat=P","Fill=—","Direction=H","UseDPDF=Y")</f>
        <v>349.608</v>
      </c>
      <c r="D64" s="12">
        <f>_xll.BDH("MCHP US Equity","CF_FREE_CASH_FLOW","FY 2013","FY 2013","Currency=USD","Period=FY","BEST_FPERIOD_OVERRIDE=FY","FILING_STATUS=MR","SCALING_FORMAT=MLN","Sort=A","Dates=H","DateFormat=P","Fill=—","Direction=H","UseDPDF=Y")</f>
        <v>408.54700000000003</v>
      </c>
      <c r="E64" s="12">
        <f>_xll.BDH("MCHP US Equity","CF_FREE_CASH_FLOW","FY 2014","FY 2014","Currency=USD","Period=FY","BEST_FPERIOD_OVERRIDE=FY","FILING_STATUS=MR","SCALING_FORMAT=MLN","Sort=A","Dates=H","DateFormat=P","Fill=—","Direction=H","UseDPDF=Y")</f>
        <v>563.49199999999996</v>
      </c>
      <c r="F64" s="12">
        <f>_xll.BDH("MCHP US Equity","CF_FREE_CASH_FLOW","FY 2015","FY 2015","Currency=USD","Period=FY","BEST_FPERIOD_OVERRIDE=FY","FILING_STATUS=MR","SCALING_FORMAT=MLN","Sort=A","Dates=H","DateFormat=P","Fill=—","Direction=H","UseDPDF=Y")</f>
        <v>571.71</v>
      </c>
      <c r="G64" s="12">
        <f>_xll.BDH("MCHP US Equity","CF_FREE_CASH_FLOW","FY 2016","FY 2016","Currency=USD","Period=FY","BEST_FPERIOD_OVERRIDE=FY","FILING_STATUS=MR","SCALING_FORMAT=MLN","Sort=A","Dates=H","DateFormat=P","Fill=—","Direction=H","UseDPDF=Y")</f>
        <v>646.5</v>
      </c>
      <c r="H64" s="12">
        <f>_xll.BDH("MCHP US Equity","CF_FREE_CASH_FLOW","FY 2017","FY 2017","Currency=USD","Period=FY","BEST_FPERIOD_OVERRIDE=FY","FILING_STATUS=MR","SCALING_FORMAT=MLN","Sort=A","Dates=H","DateFormat=P","Fill=—","Direction=H","UseDPDF=Y")</f>
        <v>984.2</v>
      </c>
      <c r="I64" s="12">
        <f>_xll.BDH("MCHP US Equity","CF_FREE_CASH_FLOW","FY 2018","FY 2018","Currency=USD","Period=FY","BEST_FPERIOD_OVERRIDE=FY","FILING_STATUS=MR","SCALING_FORMAT=MLN","Sort=A","Dates=H","DateFormat=P","Fill=—","Direction=H","UseDPDF=Y")</f>
        <v>1212.8</v>
      </c>
      <c r="J64" s="12">
        <f>_xll.BDH("MCHP US Equity","CF_FREE_CASH_FLOW","FY 2019","FY 2019","Currency=USD","Period=FY","BEST_FPERIOD_OVERRIDE=FY","FILING_STATUS=MR","SCALING_FORMAT=MLN","Sort=A","Dates=H","DateFormat=P","Fill=—","Direction=H","UseDPDF=Y")</f>
        <v>1445.9</v>
      </c>
      <c r="K64" s="12">
        <f>_xll.BDH("MCHP US Equity","CF_FREE_CASH_FLOW","FY 2020","FY 2020","Currency=USD","Period=FY","BEST_FPERIOD_OVERRIDE=FY","FILING_STATUS=MR","SCALING_FORMAT=MLN","Sort=A","Dates=H","DateFormat=P","Fill=—","Direction=H","UseDPDF=Y")</f>
        <v>1476.2</v>
      </c>
      <c r="L64" s="14">
        <v>1683</v>
      </c>
    </row>
    <row r="65" spans="1:12" x14ac:dyDescent="0.45">
      <c r="A65" s="10" t="s">
        <v>120</v>
      </c>
      <c r="B65" s="10" t="s">
        <v>121</v>
      </c>
      <c r="C65" s="12">
        <f>_xll.BDH("MCHP US Equity","CF_FREE_CASH_FLOW_FIRM","FY 2012","FY 2012","Currency=USD","Period=FY","BEST_FPERIOD_OVERRIDE=FY","FILING_STATUS=MR","SCALING_FORMAT=MLN","FA_ADJUSTED=GAAP","Sort=A","Dates=H","DateFormat=P","Fill=—","Direction=H","UseDPDF=Y")</f>
        <v>379.99430000000001</v>
      </c>
      <c r="D65" s="12">
        <f>_xll.BDH("MCHP US Equity","CF_FREE_CASH_FLOW_FIRM","FY 2013","FY 2013","Currency=USD","Period=FY","BEST_FPERIOD_OVERRIDE=FY","FILING_STATUS=MR","SCALING_FORMAT=MLN","FA_ADJUSTED=GAAP","Sort=A","Dates=H","DateFormat=P","Fill=—","Direction=H","UseDPDF=Y")</f>
        <v>442.79739999999998</v>
      </c>
      <c r="E65" s="12">
        <f>_xll.BDH("MCHP US Equity","CF_FREE_CASH_FLOW_FIRM","FY 2014","FY 2014","Currency=USD","Period=FY","BEST_FPERIOD_OVERRIDE=FY","FILING_STATUS=MR","SCALING_FORMAT=MLN","FA_ADJUSTED=GAAP","Sort=A","Dates=H","DateFormat=P","Fill=—","Direction=H","UseDPDF=Y")</f>
        <v>608.0308</v>
      </c>
      <c r="F65" s="12" t="str">
        <f>_xll.BDH("MCHP US Equity","CF_FREE_CASH_FLOW_FIRM","FY 2015","FY 2015","Currency=USD","Period=FY","BEST_FPERIOD_OVERRIDE=FY","FILING_STATUS=MR","SCALING_FORMAT=MLN","FA_ADJUSTED=GAAP","Sort=A","Dates=H","DateFormat=P","Fill=—","Direction=H","UseDPDF=Y")</f>
        <v>—</v>
      </c>
      <c r="G65" s="12" t="str">
        <f>_xll.BDH("MCHP US Equity","CF_FREE_CASH_FLOW_FIRM","FY 2016","FY 2016","Currency=USD","Period=FY","BEST_FPERIOD_OVERRIDE=FY","FILING_STATUS=MR","SCALING_FORMAT=MLN","FA_ADJUSTED=GAAP","Sort=A","Dates=H","DateFormat=P","Fill=—","Direction=H","UseDPDF=Y")</f>
        <v>—</v>
      </c>
      <c r="H65" s="12" t="str">
        <f>_xll.BDH("MCHP US Equity","CF_FREE_CASH_FLOW_FIRM","FY 2017","FY 2017","Currency=USD","Period=FY","BEST_FPERIOD_OVERRIDE=FY","FILING_STATUS=MR","SCALING_FORMAT=MLN","FA_ADJUSTED=GAAP","Sort=A","Dates=H","DateFormat=P","Fill=—","Direction=H","UseDPDF=Y")</f>
        <v>—</v>
      </c>
      <c r="I65" s="12">
        <f>_xll.BDH("MCHP US Equity","CF_FREE_CASH_FLOW_FIRM","FY 2018","FY 2018","Currency=USD","Period=FY","BEST_FPERIOD_OVERRIDE=FY","FILING_STATUS=MR","SCALING_FORMAT=MLN","FA_ADJUSTED=GAAP","Sort=A","Dates=H","DateFormat=P","Fill=—","Direction=H","UseDPDF=Y")</f>
        <v>1281.7334000000001</v>
      </c>
      <c r="J65" s="12" t="str">
        <f>_xll.BDH("MCHP US Equity","CF_FREE_CASH_FLOW_FIRM","FY 2019","FY 2019","Currency=USD","Period=FY","BEST_FPERIOD_OVERRIDE=FY","FILING_STATUS=MR","SCALING_FORMAT=MLN","FA_ADJUSTED=GAAP","Sort=A","Dates=H","DateFormat=P","Fill=—","Direction=H","UseDPDF=Y")</f>
        <v>—</v>
      </c>
      <c r="K65" s="12" t="str">
        <f>_xll.BDH("MCHP US Equity","CF_FREE_CASH_FLOW_FIRM","FY 2020","FY 2020","Currency=USD","Period=FY","BEST_FPERIOD_OVERRIDE=FY","FILING_STATUS=MR","SCALING_FORMAT=MLN","FA_ADJUSTED=GAAP","Sort=A","Dates=H","DateFormat=P","Fill=—","Direction=H","UseDPDF=Y")</f>
        <v>—</v>
      </c>
      <c r="L65" s="14"/>
    </row>
    <row r="66" spans="1:12" x14ac:dyDescent="0.45">
      <c r="A66" s="10" t="s">
        <v>122</v>
      </c>
      <c r="B66" s="10" t="s">
        <v>123</v>
      </c>
      <c r="C66" s="12">
        <f>_xll.BDH("MCHP US Equity","FREE_CASH_FLOW_EQUITY","FY 2012","FY 2012","Currency=USD","Period=FY","BEST_FPERIOD_OVERRIDE=FY","FILING_STATUS=MR","SCALING_FORMAT=MLN","Sort=A","Dates=H","DateFormat=P","Fill=—","Direction=H","UseDPDF=Y")</f>
        <v>350.01900000000001</v>
      </c>
      <c r="D66" s="12">
        <f>_xll.BDH("MCHP US Equity","FREE_CASH_FLOW_EQUITY","FY 2013","FY 2013","Currency=USD","Period=FY","BEST_FPERIOD_OVERRIDE=FY","FILING_STATUS=MR","SCALING_FORMAT=MLN","Sort=A","Dates=H","DateFormat=P","Fill=—","Direction=H","UseDPDF=Y")</f>
        <v>1028.8530000000001</v>
      </c>
      <c r="E66" s="12">
        <f>_xll.BDH("MCHP US Equity","FREE_CASH_FLOW_EQUITY","FY 2014","FY 2014","Currency=USD","Period=FY","BEST_FPERIOD_OVERRIDE=FY","FILING_STATUS=MR","SCALING_FORMAT=MLN","Sort=A","Dates=H","DateFormat=P","Fill=—","Direction=H","UseDPDF=Y")</f>
        <v>609.72699999999998</v>
      </c>
      <c r="F66" s="12">
        <f>_xll.BDH("MCHP US Equity","FREE_CASH_FLOW_EQUITY","FY 2015","FY 2015","Currency=USD","Period=FY","BEST_FPERIOD_OVERRIDE=FY","FILING_STATUS=MR","SCALING_FORMAT=MLN","Sort=A","Dates=H","DateFormat=P","Fill=—","Direction=H","UseDPDF=Y")</f>
        <v>973.43700000000001</v>
      </c>
      <c r="G66" s="12">
        <f>_xll.BDH("MCHP US Equity","FREE_CASH_FLOW_EQUITY","FY 2016","FY 2016","Currency=USD","Period=FY","BEST_FPERIOD_OVERRIDE=FY","FILING_STATUS=MR","SCALING_FORMAT=MLN","Sort=A","Dates=H","DateFormat=P","Fill=—","Direction=H","UseDPDF=Y")</f>
        <v>1250.3</v>
      </c>
      <c r="H66" s="12">
        <f>_xll.BDH("MCHP US Equity","FREE_CASH_FLOW_EQUITY","FY 2017","FY 2017","Currency=USD","Period=FY","BEST_FPERIOD_OVERRIDE=FY","FILING_STATUS=MR","SCALING_FORMAT=MLN","Sort=A","Dates=H","DateFormat=P","Fill=—","Direction=H","UseDPDF=Y")</f>
        <v>1971.2</v>
      </c>
      <c r="I66" s="12">
        <f>_xll.BDH("MCHP US Equity","FREE_CASH_FLOW_EQUITY","FY 2018","FY 2018","Currency=USD","Period=FY","BEST_FPERIOD_OVERRIDE=FY","FILING_STATUS=MR","SCALING_FORMAT=MLN","Sort=A","Dates=H","DateFormat=P","Fill=—","Direction=H","UseDPDF=Y")</f>
        <v>1148.9000000000001</v>
      </c>
      <c r="J66" s="12">
        <f>_xll.BDH("MCHP US Equity","FREE_CASH_FLOW_EQUITY","FY 2019","FY 2019","Currency=USD","Period=FY","BEST_FPERIOD_OVERRIDE=FY","FILING_STATUS=MR","SCALING_FORMAT=MLN","Sort=A","Dates=H","DateFormat=P","Fill=—","Direction=H","UseDPDF=Y")</f>
        <v>6555.9</v>
      </c>
      <c r="K66" s="12">
        <f>_xll.BDH("MCHP US Equity","FREE_CASH_FLOW_EQUITY","FY 2020","FY 2020","Currency=USD","Period=FY","BEST_FPERIOD_OVERRIDE=FY","FILING_STATUS=MR","SCALING_FORMAT=MLN","Sort=A","Dates=H","DateFormat=P","Fill=—","Direction=H","UseDPDF=Y")</f>
        <v>409.5</v>
      </c>
      <c r="L66" s="14">
        <v>3118.9</v>
      </c>
    </row>
    <row r="67" spans="1:12" x14ac:dyDescent="0.45">
      <c r="A67" s="10" t="s">
        <v>124</v>
      </c>
      <c r="B67" s="10" t="s">
        <v>125</v>
      </c>
      <c r="C67" s="13">
        <f>_xll.BDH("MCHP US Equity","FREE_CASH_FLOW_PER_SH","FY 2012","FY 2012","Currency=USD","Period=FY","BEST_FPERIOD_OVERRIDE=FY","FILING_STATUS=MR","Sort=A","Dates=H","DateFormat=P","Fill=—","Direction=H","UseDPDF=Y")</f>
        <v>1.8277000000000001</v>
      </c>
      <c r="D67" s="13">
        <f>_xll.BDH("MCHP US Equity","FREE_CASH_FLOW_PER_SH","FY 2013","FY 2013","Currency=USD","Period=FY","BEST_FPERIOD_OVERRIDE=FY","FILING_STATUS=MR","Sort=A","Dates=H","DateFormat=P","Fill=—","Direction=H","UseDPDF=Y")</f>
        <v>2.0994999999999999</v>
      </c>
      <c r="E67" s="13">
        <f>_xll.BDH("MCHP US Equity","FREE_CASH_FLOW_PER_SH","FY 2014","FY 2014","Currency=USD","Period=FY","BEST_FPERIOD_OVERRIDE=FY","FILING_STATUS=MR","Sort=A","Dates=H","DateFormat=P","Fill=—","Direction=H","UseDPDF=Y")</f>
        <v>2.8416999999999999</v>
      </c>
      <c r="F67" s="13">
        <f>_xll.BDH("MCHP US Equity","FREE_CASH_FLOW_PER_SH","FY 2015","FY 2015","Currency=USD","Period=FY","BEST_FPERIOD_OVERRIDE=FY","FILING_STATUS=MR","Sort=A","Dates=H","DateFormat=P","Fill=—","Direction=H","UseDPDF=Y")</f>
        <v>2.8452000000000002</v>
      </c>
      <c r="G67" s="13">
        <f>_xll.BDH("MCHP US Equity","FREE_CASH_FLOW_PER_SH","FY 2016","FY 2016","Currency=USD","Period=FY","BEST_FPERIOD_OVERRIDE=FY","FILING_STATUS=MR","Sort=A","Dates=H","DateFormat=P","Fill=—","Direction=H","UseDPDF=Y")</f>
        <v>3.1785000000000001</v>
      </c>
      <c r="H67" s="13">
        <f>_xll.BDH("MCHP US Equity","FREE_CASH_FLOW_PER_SH","FY 2017","FY 2017","Currency=USD","Period=FY","BEST_FPERIOD_OVERRIDE=FY","FILING_STATUS=MR","Sort=A","Dates=H","DateFormat=P","Fill=—","Direction=H","UseDPDF=Y")</f>
        <v>4.5312999999999999</v>
      </c>
      <c r="I67" s="13">
        <f>_xll.BDH("MCHP US Equity","FREE_CASH_FLOW_PER_SH","FY 2018","FY 2018","Currency=USD","Period=FY","BEST_FPERIOD_OVERRIDE=FY","FILING_STATUS=MR","Sort=A","Dates=H","DateFormat=P","Fill=—","Direction=H","UseDPDF=Y")</f>
        <v>5.2073999999999998</v>
      </c>
      <c r="J67" s="13">
        <f>_xll.BDH("MCHP US Equity","FREE_CASH_FLOW_PER_SH","FY 2019","FY 2019","Currency=USD","Period=FY","BEST_FPERIOD_OVERRIDE=FY","FILING_STATUS=MR","Sort=A","Dates=H","DateFormat=P","Fill=—","Direction=H","UseDPDF=Y")</f>
        <v>6.1215000000000002</v>
      </c>
      <c r="K67" s="13">
        <f>_xll.BDH("MCHP US Equity","FREE_CASH_FLOW_PER_SH","FY 2020","FY 2020","Currency=USD","Period=FY","BEST_FPERIOD_OVERRIDE=FY","FILING_STATUS=MR","Sort=A","Dates=H","DateFormat=P","Fill=—","Direction=H","UseDPDF=Y")</f>
        <v>6.1791999999999998</v>
      </c>
      <c r="L67" s="15">
        <v>6.8363681151222604</v>
      </c>
    </row>
    <row r="68" spans="1:12" x14ac:dyDescent="0.45">
      <c r="A68" s="10" t="s">
        <v>126</v>
      </c>
      <c r="B68" s="10" t="s">
        <v>127</v>
      </c>
      <c r="C68" s="13">
        <f>_xll.BDH("MCHP US Equity","PX_TO_FREE_CASH_FLOW","FY 2012","FY 2012","Currency=USD","Period=FY","BEST_FPERIOD_OVERRIDE=FY","FILING_STATUS=MR","Sort=A","Dates=H","DateFormat=P","Fill=—","Direction=H","UseDPDF=Y")</f>
        <v>20.353400000000001</v>
      </c>
      <c r="D68" s="13">
        <f>_xll.BDH("MCHP US Equity","PX_TO_FREE_CASH_FLOW","FY 2013","FY 2013","Currency=USD","Period=FY","BEST_FPERIOD_OVERRIDE=FY","FILING_STATUS=MR","Sort=A","Dates=H","DateFormat=P","Fill=—","Direction=H","UseDPDF=Y")</f>
        <v>17.5139</v>
      </c>
      <c r="E68" s="13">
        <f>_xll.BDH("MCHP US Equity","PX_TO_FREE_CASH_FLOW","FY 2014","FY 2014","Currency=USD","Period=FY","BEST_FPERIOD_OVERRIDE=FY","FILING_STATUS=MR","Sort=A","Dates=H","DateFormat=P","Fill=—","Direction=H","UseDPDF=Y")</f>
        <v>16.8066</v>
      </c>
      <c r="F68" s="13">
        <f>_xll.BDH("MCHP US Equity","PX_TO_FREE_CASH_FLOW","FY 2015","FY 2015","Currency=USD","Period=FY","BEST_FPERIOD_OVERRIDE=FY","FILING_STATUS=MR","Sort=A","Dates=H","DateFormat=P","Fill=—","Direction=H","UseDPDF=Y")</f>
        <v>17.186699999999998</v>
      </c>
      <c r="G68" s="13">
        <f>_xll.BDH("MCHP US Equity","PX_TO_FREE_CASH_FLOW","FY 2016","FY 2016","Currency=USD","Period=FY","BEST_FPERIOD_OVERRIDE=FY","FILING_STATUS=MR","Sort=A","Dates=H","DateFormat=P","Fill=—","Direction=H","UseDPDF=Y")</f>
        <v>15.1645</v>
      </c>
      <c r="H68" s="13">
        <f>_xll.BDH("MCHP US Equity","PX_TO_FREE_CASH_FLOW","FY 2017","FY 2017","Currency=USD","Period=FY","BEST_FPERIOD_OVERRIDE=FY","FILING_STATUS=MR","Sort=A","Dates=H","DateFormat=P","Fill=—","Direction=H","UseDPDF=Y")</f>
        <v>16.282299999999999</v>
      </c>
      <c r="I68" s="13">
        <f>_xll.BDH("MCHP US Equity","PX_TO_FREE_CASH_FLOW","FY 2018","FY 2018","Currency=USD","Period=FY","BEST_FPERIOD_OVERRIDE=FY","FILING_STATUS=MR","Sort=A","Dates=H","DateFormat=P","Fill=—","Direction=H","UseDPDF=Y")</f>
        <v>17.5443</v>
      </c>
      <c r="J68" s="13">
        <f>_xll.BDH("MCHP US Equity","PX_TO_FREE_CASH_FLOW","FY 2019","FY 2019","Currency=USD","Period=FY","BEST_FPERIOD_OVERRIDE=FY","FILING_STATUS=MR","Sort=A","Dates=H","DateFormat=P","Fill=—","Direction=H","UseDPDF=Y")</f>
        <v>13.552199999999999</v>
      </c>
      <c r="K68" s="13">
        <f>_xll.BDH("MCHP US Equity","PX_TO_FREE_CASH_FLOW","FY 2020","FY 2020","Currency=USD","Period=FY","BEST_FPERIOD_OVERRIDE=FY","FILING_STATUS=MR","Sort=A","Dates=H","DateFormat=P","Fill=—","Direction=H","UseDPDF=Y")</f>
        <v>10.9724</v>
      </c>
      <c r="L68" s="15">
        <v>19.920664783593001</v>
      </c>
    </row>
    <row r="69" spans="1:12" x14ac:dyDescent="0.45">
      <c r="A69" s="10" t="s">
        <v>128</v>
      </c>
      <c r="B69" s="10" t="s">
        <v>129</v>
      </c>
      <c r="C69" s="13">
        <f>_xll.BDH("MCHP US Equity","CASH_FLOW_TO_NET_INC","FY 2012","FY 2012","Currency=USD","Period=FY","BEST_FPERIOD_OVERRIDE=FY","FILING_STATUS=MR","FA_ADJUSTED=GAAP","Sort=A","Dates=H","DateFormat=P","Fill=—","Direction=H","UseDPDF=Y")</f>
        <v>1.2236</v>
      </c>
      <c r="D69" s="13">
        <f>_xll.BDH("MCHP US Equity","CASH_FLOW_TO_NET_INC","FY 2013","FY 2013","Currency=USD","Period=FY","BEST_FPERIOD_OVERRIDE=FY","FILING_STATUS=MR","FA_ADJUSTED=GAAP","Sort=A","Dates=H","DateFormat=P","Fill=—","Direction=H","UseDPDF=Y")</f>
        <v>3.6059999999999999</v>
      </c>
      <c r="E69" s="13">
        <f>_xll.BDH("MCHP US Equity","CASH_FLOW_TO_NET_INC","FY 2014","FY 2014","Currency=USD","Period=FY","BEST_FPERIOD_OVERRIDE=FY","FILING_STATUS=MR","FA_ADJUSTED=GAAP","Sort=A","Dates=H","DateFormat=P","Fill=—","Direction=H","UseDPDF=Y")</f>
        <v>1.7116</v>
      </c>
      <c r="F69" s="13">
        <f>_xll.BDH("MCHP US Equity","CASH_FLOW_TO_NET_INC","FY 2015","FY 2015","Currency=USD","Period=FY","BEST_FPERIOD_OVERRIDE=FY","FILING_STATUS=MR","FA_ADJUSTED=GAAP","Sort=A","Dates=H","DateFormat=P","Fill=—","Direction=H","UseDPDF=Y")</f>
        <v>1.9544000000000001</v>
      </c>
      <c r="G69" s="13">
        <f>_xll.BDH("MCHP US Equity","CASH_FLOW_TO_NET_INC","FY 2016","FY 2016","Currency=USD","Period=FY","BEST_FPERIOD_OVERRIDE=FY","FILING_STATUS=MR","FA_ADJUSTED=GAAP","Sort=A","Dates=H","DateFormat=P","Fill=—","Direction=H","UseDPDF=Y")</f>
        <v>2.2968000000000002</v>
      </c>
      <c r="H69" s="13">
        <f>_xll.BDH("MCHP US Equity","CASH_FLOW_TO_NET_INC","FY 2017","FY 2017","Currency=USD","Period=FY","BEST_FPERIOD_OVERRIDE=FY","FILING_STATUS=MR","FA_ADJUSTED=GAAP","Sort=A","Dates=H","DateFormat=P","Fill=—","Direction=H","UseDPDF=Y")</f>
        <v>6.4367999999999999</v>
      </c>
      <c r="I69" s="13">
        <f>_xll.BDH("MCHP US Equity","CASH_FLOW_TO_NET_INC","FY 2018","FY 2018","Currency=USD","Period=FY","BEST_FPERIOD_OVERRIDE=FY","FILING_STATUS=MR","FA_ADJUSTED=GAAP","Sort=A","Dates=H","DateFormat=P","Fill=—","Direction=H","UseDPDF=Y")</f>
        <v>5.5583</v>
      </c>
      <c r="J69" s="13">
        <f>_xll.BDH("MCHP US Equity","CASH_FLOW_TO_NET_INC","FY 2019","FY 2019","Currency=USD","Period=FY","BEST_FPERIOD_OVERRIDE=FY","FILING_STATUS=MR","FA_ADJUSTED=GAAP","Sort=A","Dates=H","DateFormat=P","Fill=—","Direction=H","UseDPDF=Y")</f>
        <v>4.7058</v>
      </c>
      <c r="K69" s="13">
        <f>_xll.BDH("MCHP US Equity","CASH_FLOW_TO_NET_INC","FY 2020","FY 2020","Currency=USD","Period=FY","BEST_FPERIOD_OVERRIDE=FY","FILING_STATUS=MR","FA_ADJUSTED=GAAP","Sort=A","Dates=H","DateFormat=P","Fill=—","Direction=H","UseDPDF=Y")</f>
        <v>2.7056</v>
      </c>
      <c r="L69" s="15">
        <v>6.1929347826086998</v>
      </c>
    </row>
    <row r="70" spans="1:12" x14ac:dyDescent="0.45">
      <c r="A70" s="7" t="s">
        <v>130</v>
      </c>
      <c r="B70" s="7"/>
      <c r="C70" s="7" t="s">
        <v>1</v>
      </c>
      <c r="D70" s="7"/>
      <c r="E70" s="7"/>
      <c r="F70" s="7"/>
      <c r="G70" s="7"/>
      <c r="H70" s="7"/>
      <c r="I70" s="7"/>
      <c r="J70" s="7"/>
      <c r="K70" s="7"/>
      <c r="L7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- Standardized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Ryan Malloy</cp:lastModifiedBy>
  <dcterms:created xsi:type="dcterms:W3CDTF">2013-04-03T15:49:21Z</dcterms:created>
  <dcterms:modified xsi:type="dcterms:W3CDTF">2021-01-29T20:18:25Z</dcterms:modified>
</cp:coreProperties>
</file>