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charts/chart10.xml" ContentType="application/vnd.openxmlformats-officedocument.drawingml.chart+xml"/>
  <Override PartName="/xl/theme/themeOverride4.xml" ContentType="application/vnd.openxmlformats-officedocument.themeOverride+xml"/>
  <Override PartName="/xl/charts/chart11.xml" ContentType="application/vnd.openxmlformats-officedocument.drawingml.chart+xml"/>
  <Override PartName="/xl/theme/themeOverride5.xml" ContentType="application/vnd.openxmlformats-officedocument.themeOverrid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theme/themeOverride6.xml" ContentType="application/vnd.openxmlformats-officedocument.themeOverride+xml"/>
  <Override PartName="/xl/charts/chart18.xml" ContentType="application/vnd.openxmlformats-officedocument.drawingml.chart+xml"/>
  <Override PartName="/xl/theme/themeOverride7.xml" ContentType="application/vnd.openxmlformats-officedocument.themeOverride+xml"/>
  <Override PartName="/xl/charts/chart19.xml" ContentType="application/vnd.openxmlformats-officedocument.drawingml.chart+xml"/>
  <Override PartName="/xl/theme/themeOverride8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theme/themeOverride9.xml" ContentType="application/vnd.openxmlformats-officedocument.themeOverride+xml"/>
  <Override PartName="/xl/charts/chart25.xml" ContentType="application/vnd.openxmlformats-officedocument.drawingml.chart+xml"/>
  <Override PartName="/xl/theme/themeOverride10.xml" ContentType="application/vnd.openxmlformats-officedocument.themeOverride+xml"/>
  <Override PartName="/xl/charts/chart26.xml" ContentType="application/vnd.openxmlformats-officedocument.drawingml.chart+xml"/>
  <Override PartName="/xl/theme/themeOverride11.xml" ContentType="application/vnd.openxmlformats-officedocument.themeOverride+xml"/>
  <Override PartName="/xl/charts/chart27.xml" ContentType="application/vnd.openxmlformats-officedocument.drawingml.chart+xml"/>
  <Override PartName="/xl/theme/themeOverride12.xml" ContentType="application/vnd.openxmlformats-officedocument.themeOverride+xml"/>
  <Override PartName="/xl/charts/chart28.xml" ContentType="application/vnd.openxmlformats-officedocument.drawingml.chart+xml"/>
  <Override PartName="/xl/theme/themeOverride13.xml" ContentType="application/vnd.openxmlformats-officedocument.themeOverride+xml"/>
  <Override PartName="/xl/charts/chart29.xml" ContentType="application/vnd.openxmlformats-officedocument.drawingml.chart+xml"/>
  <Override PartName="/xl/theme/themeOverride14.xml" ContentType="application/vnd.openxmlformats-officedocument.themeOverride+xml"/>
  <Override PartName="/xl/charts/chart30.xml" ContentType="application/vnd.openxmlformats-officedocument.drawingml.chart+xml"/>
  <Override PartName="/xl/theme/themeOverride15.xml" ContentType="application/vnd.openxmlformats-officedocument.themeOverride+xml"/>
  <Override PartName="/xl/charts/chart31.xml" ContentType="application/vnd.openxmlformats-officedocument.drawingml.chart+xml"/>
  <Override PartName="/xl/theme/themeOverride16.xml" ContentType="application/vnd.openxmlformats-officedocument.themeOverride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JOSEPH\2026-1\2DO LIBRO - JOSEPH\ESTACIONES DE REFERENCIA\ANÁLISIS ESTADÍSTICO-EXCEL\"/>
    </mc:Choice>
  </mc:AlternateContent>
  <xr:revisionPtr revIDLastSave="0" documentId="13_ncr:1_{B5429A0A-EDA6-453D-A73E-3DA09663B40B}" xr6:coauthVersionLast="47" xr6:coauthVersionMax="47" xr10:uidLastSave="{00000000-0000-0000-0000-000000000000}"/>
  <bookViews>
    <workbookView xWindow="-108" yWindow="-108" windowWidth="23256" windowHeight="12456" tabRatio="823" activeTab="6" xr2:uid="{00000000-000D-0000-FFFF-FFFF00000000}"/>
  </bookViews>
  <sheets>
    <sheet name="ACV" sheetId="28" r:id="rId1"/>
    <sheet name="P24h_real" sheetId="29" r:id="rId2"/>
    <sheet name="Años" sheetId="45" state="hidden" r:id="rId3"/>
    <sheet name="SK_1" sheetId="1" r:id="rId4"/>
    <sheet name="Resumen SK_1" sheetId="53" r:id="rId5"/>
    <sheet name="P24h_1" sheetId="3" r:id="rId6"/>
    <sheet name="IDF_1" sheetId="14" r:id="rId7"/>
    <sheet name="Pefect_1" sheetId="21" r:id="rId8"/>
    <sheet name="HUS_1" sheetId="22" r:id="rId9"/>
    <sheet name="CN" sheetId="47" r:id="rId10"/>
    <sheet name="Cuadros" sheetId="46" r:id="rId11"/>
    <sheet name="Tr" sheetId="49" r:id="rId12"/>
    <sheet name="Creager" sheetId="48" r:id="rId13"/>
    <sheet name="Qracional" sheetId="50" r:id="rId14"/>
    <sheet name="PMP" sheetId="52" r:id="rId15"/>
  </sheets>
  <externalReferences>
    <externalReference r:id="rId16"/>
  </externalReferences>
  <definedNames>
    <definedName name="_xlnm._FilterDatabase" localSheetId="8" hidden="1">HUS_1!$V$60:$AA$61</definedName>
    <definedName name="_xlnm.Print_Area" localSheetId="0">ACV!$D$1:$AE$76</definedName>
    <definedName name="_xlnm.Print_Area" localSheetId="2">Años!$B$1:$BF$28</definedName>
    <definedName name="_xlnm.Print_Area" localSheetId="9">CN!$B$2:$O$178</definedName>
    <definedName name="_xlnm.Print_Area" localSheetId="12">Creager!$B$1:$W$69</definedName>
    <definedName name="_xlnm.Print_Area" localSheetId="10">Cuadros!$B$1:$N$14</definedName>
    <definedName name="_xlnm.Print_Area" localSheetId="8">HUS_1!$B$1:$AW$182</definedName>
    <definedName name="_xlnm.Print_Area" localSheetId="6">IDF_1!$B$1:$BJ$394</definedName>
    <definedName name="_xlnm.Print_Area" localSheetId="5">P24h_1!$AM$1:$BG$55</definedName>
    <definedName name="_xlnm.Print_Area" localSheetId="1">P24h_real!$B$1:$V$88</definedName>
    <definedName name="_xlnm.Print_Area" localSheetId="7">Pefect_1!$B$1:$CC$65</definedName>
    <definedName name="_xlnm.Print_Area" localSheetId="14">PMP!$B$1:$K$69</definedName>
    <definedName name="_xlnm.Print_Area" localSheetId="13">Qracional!$B$1:$Z$46</definedName>
    <definedName name="_xlnm.Print_Area" localSheetId="3">SK_1!$A$1:$BD$77</definedName>
    <definedName name="_xlnm.Print_Area" localSheetId="11">Tr!$B$1:$O$39</definedName>
    <definedName name="Datos1">SK_1!$C$7:$C$66</definedName>
    <definedName name="Datos2">#REF!</definedName>
    <definedName name="Datos3">#REF!</definedName>
    <definedName name="Datos4">#REF!</definedName>
    <definedName name="Datos5">#REF!</definedName>
    <definedName name="Matriz1">ACV!$AG$8:$AH$67</definedName>
    <definedName name="Matriz2">ACV!$AG$84:$AH$143</definedName>
    <definedName name="Matriz3">ACV!$AG$157:$AH$216</definedName>
    <definedName name="Matriz4">ACV!$AG$230:$AH$289</definedName>
    <definedName name="Matriz5">ACV!$AG$303:$AH$362</definedName>
    <definedName name="MatrizA1">Años!$BH$2:$BI$56</definedName>
    <definedName name="MatrizA2">Años!$BJ$2:$BK$56</definedName>
    <definedName name="MatrizA3">Años!$BL$2:$BM$56</definedName>
    <definedName name="MatrizA4">Años!$BN$2:$BO$56</definedName>
    <definedName name="MatrizA5">Años!$BP$2:$BQ$56</definedName>
    <definedName name="OrdenAjuste_1">SK_1!$BF$14:$BF$18</definedName>
    <definedName name="OrdenAjuste_2">#REF!</definedName>
    <definedName name="OrdenAjuste_3">#REF!</definedName>
    <definedName name="OrdenAjuste_4">#REF!</definedName>
    <definedName name="OrdenAjuste_5">#REF!</definedName>
    <definedName name="Pmax24h_1">P24h_1!$AP$37:$AQ$52</definedName>
    <definedName name="Pmax24h_2">#REF!</definedName>
    <definedName name="Pmax24h_3">#REF!</definedName>
    <definedName name="Pmax24h_4">#REF!</definedName>
    <definedName name="Pmax24h_5">#REF!</definedName>
    <definedName name="Seleccion_Estacion1">IDF_1!$U$342</definedName>
    <definedName name="Seleccion_Estacion2">#REF!</definedName>
    <definedName name="Seleccion_Estacion3">#REF!</definedName>
    <definedName name="Seleccion_Estacion4">#REF!</definedName>
    <definedName name="Seleccion_Estacion5">#REF!</definedName>
    <definedName name="solver_eng" localSheetId="5" hidden="1">1</definedName>
    <definedName name="solver_eng" localSheetId="3" hidden="1">1</definedName>
    <definedName name="solver_neg" localSheetId="5" hidden="1">1</definedName>
    <definedName name="solver_neg" localSheetId="3" hidden="1">1</definedName>
    <definedName name="solver_num" localSheetId="5" hidden="1">0</definedName>
    <definedName name="solver_num" localSheetId="3" hidden="1">0</definedName>
    <definedName name="solver_opt" localSheetId="5" hidden="1">P24h_1!$AY$40</definedName>
    <definedName name="solver_opt" localSheetId="3" hidden="1">SK_1!$AS$35</definedName>
    <definedName name="solver_typ" localSheetId="5" hidden="1">1</definedName>
    <definedName name="solver_typ" localSheetId="3" hidden="1">1</definedName>
    <definedName name="solver_val" localSheetId="5" hidden="1">0</definedName>
    <definedName name="solver_val" localSheetId="3" hidden="1">0</definedName>
    <definedName name="solver_ver" localSheetId="5" hidden="1">3</definedName>
    <definedName name="solver_ver" localSheetId="3" hidden="1">3</definedName>
    <definedName name="Zona_1" comment="La Zona Pluviométrica para la Estacion 1">IDF_1!$BL$331:$BL$337</definedName>
    <definedName name="Zona_2">#REF!</definedName>
    <definedName name="Zona_3">#REF!</definedName>
    <definedName name="Zona_4">#REF!</definedName>
    <definedName name="Zona_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33" i="3" l="1"/>
  <c r="AQ48" i="3"/>
  <c r="AP48" i="3"/>
  <c r="AQ45" i="3"/>
  <c r="AP45" i="3"/>
  <c r="AP43" i="3"/>
  <c r="AQ43" i="3"/>
  <c r="AP44" i="3"/>
  <c r="AQ44" i="3"/>
  <c r="AQ42" i="3"/>
  <c r="AP42" i="3"/>
  <c r="D5" i="53"/>
  <c r="E5" i="53"/>
  <c r="F5" i="53"/>
  <c r="G5" i="53"/>
  <c r="H5" i="53"/>
  <c r="I5" i="53"/>
  <c r="J5" i="53"/>
  <c r="K5" i="53"/>
  <c r="L5" i="53"/>
  <c r="M5" i="53"/>
  <c r="N5" i="53"/>
  <c r="O5" i="53"/>
  <c r="D6" i="53"/>
  <c r="E6" i="53"/>
  <c r="F6" i="53"/>
  <c r="G6" i="53"/>
  <c r="H6" i="53"/>
  <c r="I6" i="53"/>
  <c r="J6" i="53"/>
  <c r="K6" i="53"/>
  <c r="L6" i="53"/>
  <c r="M6" i="53"/>
  <c r="N6" i="53"/>
  <c r="O6" i="53"/>
  <c r="D7" i="53"/>
  <c r="E7" i="53"/>
  <c r="F7" i="53"/>
  <c r="G7" i="53"/>
  <c r="H7" i="53"/>
  <c r="I7" i="53"/>
  <c r="J7" i="53"/>
  <c r="K7" i="53"/>
  <c r="L7" i="53"/>
  <c r="M7" i="53"/>
  <c r="N7" i="53"/>
  <c r="O7" i="53"/>
  <c r="D8" i="53"/>
  <c r="E8" i="53"/>
  <c r="F8" i="53"/>
  <c r="G8" i="53"/>
  <c r="H8" i="53"/>
  <c r="I8" i="53"/>
  <c r="J8" i="53"/>
  <c r="K8" i="53"/>
  <c r="L8" i="53"/>
  <c r="M8" i="53"/>
  <c r="N8" i="53"/>
  <c r="O8" i="53"/>
  <c r="D9" i="53"/>
  <c r="E9" i="53"/>
  <c r="F9" i="53"/>
  <c r="G9" i="53"/>
  <c r="H9" i="53"/>
  <c r="I9" i="53"/>
  <c r="J9" i="53"/>
  <c r="K9" i="53"/>
  <c r="L9" i="53"/>
  <c r="M9" i="53"/>
  <c r="N9" i="53"/>
  <c r="O9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D11" i="53"/>
  <c r="E11" i="53"/>
  <c r="F11" i="53"/>
  <c r="G11" i="53"/>
  <c r="H11" i="53"/>
  <c r="I11" i="53"/>
  <c r="J11" i="53"/>
  <c r="K11" i="53"/>
  <c r="L11" i="53"/>
  <c r="M11" i="53"/>
  <c r="N11" i="53"/>
  <c r="O11" i="53"/>
  <c r="D12" i="53"/>
  <c r="E12" i="53"/>
  <c r="F12" i="53"/>
  <c r="G12" i="53"/>
  <c r="H12" i="53"/>
  <c r="I12" i="53"/>
  <c r="J12" i="53"/>
  <c r="K12" i="53"/>
  <c r="L12" i="53"/>
  <c r="M12" i="53"/>
  <c r="N12" i="53"/>
  <c r="O12" i="53"/>
  <c r="D13" i="53"/>
  <c r="E13" i="53"/>
  <c r="F13" i="53"/>
  <c r="G13" i="53"/>
  <c r="H13" i="53"/>
  <c r="I13" i="53"/>
  <c r="J13" i="53"/>
  <c r="K13" i="53"/>
  <c r="L13" i="53"/>
  <c r="M13" i="53"/>
  <c r="N13" i="53"/>
  <c r="O13" i="53"/>
  <c r="D14" i="53"/>
  <c r="E14" i="53"/>
  <c r="F14" i="53"/>
  <c r="G14" i="53"/>
  <c r="H14" i="53"/>
  <c r="I14" i="53"/>
  <c r="J14" i="53"/>
  <c r="K14" i="53"/>
  <c r="L14" i="53"/>
  <c r="M14" i="53"/>
  <c r="N14" i="53"/>
  <c r="O14" i="53"/>
  <c r="D15" i="53"/>
  <c r="E15" i="53"/>
  <c r="F15" i="53"/>
  <c r="G15" i="53"/>
  <c r="H15" i="53"/>
  <c r="I15" i="53"/>
  <c r="J15" i="53"/>
  <c r="K15" i="53"/>
  <c r="L15" i="53"/>
  <c r="M15" i="53"/>
  <c r="N15" i="53"/>
  <c r="O15" i="53"/>
  <c r="D16" i="53"/>
  <c r="E16" i="53"/>
  <c r="F16" i="53"/>
  <c r="G16" i="53"/>
  <c r="H16" i="53"/>
  <c r="I16" i="53"/>
  <c r="J16" i="53"/>
  <c r="K16" i="53"/>
  <c r="L16" i="53"/>
  <c r="M16" i="53"/>
  <c r="N16" i="53"/>
  <c r="O16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D19" i="53"/>
  <c r="E19" i="53"/>
  <c r="F19" i="53"/>
  <c r="G19" i="53"/>
  <c r="H19" i="53"/>
  <c r="I19" i="53"/>
  <c r="J19" i="53"/>
  <c r="K19" i="53"/>
  <c r="L19" i="53"/>
  <c r="M19" i="53"/>
  <c r="N19" i="53"/>
  <c r="O19" i="53"/>
  <c r="D20" i="53"/>
  <c r="E20" i="53"/>
  <c r="F20" i="53"/>
  <c r="G20" i="53"/>
  <c r="H20" i="53"/>
  <c r="I20" i="53"/>
  <c r="J20" i="53"/>
  <c r="K20" i="53"/>
  <c r="L20" i="53"/>
  <c r="M20" i="53"/>
  <c r="N20" i="53"/>
  <c r="O20" i="53"/>
  <c r="D21" i="53"/>
  <c r="E21" i="53"/>
  <c r="F21" i="53"/>
  <c r="G21" i="53"/>
  <c r="H21" i="53"/>
  <c r="I21" i="53"/>
  <c r="J21" i="53"/>
  <c r="K21" i="53"/>
  <c r="L21" i="53"/>
  <c r="M21" i="53"/>
  <c r="N21" i="53"/>
  <c r="O21" i="53"/>
  <c r="D22" i="53"/>
  <c r="E22" i="53"/>
  <c r="F22" i="53"/>
  <c r="G22" i="53"/>
  <c r="H22" i="53"/>
  <c r="I22" i="53"/>
  <c r="J22" i="53"/>
  <c r="K22" i="53"/>
  <c r="L22" i="53"/>
  <c r="M22" i="53"/>
  <c r="N22" i="53"/>
  <c r="O22" i="53"/>
  <c r="D23" i="53"/>
  <c r="E23" i="53"/>
  <c r="F23" i="53"/>
  <c r="G23" i="53"/>
  <c r="H23" i="53"/>
  <c r="I23" i="53"/>
  <c r="J23" i="53"/>
  <c r="K23" i="53"/>
  <c r="L23" i="53"/>
  <c r="M23" i="53"/>
  <c r="N23" i="53"/>
  <c r="O23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D25" i="53"/>
  <c r="E25" i="53"/>
  <c r="F25" i="53"/>
  <c r="G25" i="53"/>
  <c r="H25" i="53"/>
  <c r="I25" i="53"/>
  <c r="J25" i="53"/>
  <c r="K25" i="53"/>
  <c r="L25" i="53"/>
  <c r="M25" i="53"/>
  <c r="N25" i="53"/>
  <c r="O25" i="53"/>
  <c r="D26" i="53"/>
  <c r="E26" i="53"/>
  <c r="F26" i="53"/>
  <c r="G26" i="53"/>
  <c r="H26" i="53"/>
  <c r="I26" i="53"/>
  <c r="J26" i="53"/>
  <c r="K26" i="53"/>
  <c r="L26" i="53"/>
  <c r="M26" i="53"/>
  <c r="N26" i="53"/>
  <c r="O26" i="53"/>
  <c r="D27" i="53"/>
  <c r="E27" i="53"/>
  <c r="F27" i="53"/>
  <c r="G27" i="53"/>
  <c r="H27" i="53"/>
  <c r="I27" i="53"/>
  <c r="J27" i="53"/>
  <c r="K27" i="53"/>
  <c r="L27" i="53"/>
  <c r="M27" i="53"/>
  <c r="N27" i="53"/>
  <c r="O27" i="53"/>
  <c r="D28" i="53"/>
  <c r="E28" i="53"/>
  <c r="F28" i="53"/>
  <c r="G28" i="53"/>
  <c r="H28" i="53"/>
  <c r="I28" i="53"/>
  <c r="J28" i="53"/>
  <c r="K28" i="53"/>
  <c r="L28" i="53"/>
  <c r="M28" i="53"/>
  <c r="N28" i="53"/>
  <c r="O28" i="53"/>
  <c r="D29" i="53"/>
  <c r="E29" i="53"/>
  <c r="F29" i="53"/>
  <c r="G29" i="53"/>
  <c r="H29" i="53"/>
  <c r="I29" i="53"/>
  <c r="J29" i="53"/>
  <c r="K29" i="53"/>
  <c r="L29" i="53"/>
  <c r="M29" i="53"/>
  <c r="N29" i="53"/>
  <c r="O29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D31" i="53"/>
  <c r="E31" i="53"/>
  <c r="F31" i="53"/>
  <c r="G31" i="53"/>
  <c r="H31" i="53"/>
  <c r="I31" i="53"/>
  <c r="J31" i="53"/>
  <c r="K31" i="53"/>
  <c r="L31" i="53"/>
  <c r="M31" i="53"/>
  <c r="N31" i="53"/>
  <c r="O31" i="53"/>
  <c r="D32" i="53"/>
  <c r="E32" i="53"/>
  <c r="F32" i="53"/>
  <c r="G32" i="53"/>
  <c r="H32" i="53"/>
  <c r="I32" i="53"/>
  <c r="J32" i="53"/>
  <c r="K32" i="53"/>
  <c r="L32" i="53"/>
  <c r="M32" i="53"/>
  <c r="N32" i="53"/>
  <c r="O32" i="53"/>
  <c r="D33" i="53"/>
  <c r="E33" i="53"/>
  <c r="F33" i="53"/>
  <c r="G33" i="53"/>
  <c r="H33" i="53"/>
  <c r="I33" i="53"/>
  <c r="J33" i="53"/>
  <c r="K33" i="53"/>
  <c r="L33" i="53"/>
  <c r="M33" i="53"/>
  <c r="N33" i="53"/>
  <c r="O33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D35" i="53"/>
  <c r="E35" i="53"/>
  <c r="F35" i="53"/>
  <c r="G35" i="53"/>
  <c r="H35" i="53"/>
  <c r="I35" i="53"/>
  <c r="J35" i="53"/>
  <c r="K35" i="53"/>
  <c r="L35" i="53"/>
  <c r="M35" i="53"/>
  <c r="N35" i="53"/>
  <c r="O35" i="53"/>
  <c r="D36" i="53"/>
  <c r="E36" i="53"/>
  <c r="F36" i="53"/>
  <c r="G36" i="53"/>
  <c r="H36" i="53"/>
  <c r="I36" i="53"/>
  <c r="J36" i="53"/>
  <c r="K36" i="53"/>
  <c r="L36" i="53"/>
  <c r="M36" i="53"/>
  <c r="N36" i="53"/>
  <c r="O36" i="53"/>
  <c r="D37" i="53"/>
  <c r="E37" i="53"/>
  <c r="F37" i="53"/>
  <c r="G37" i="53"/>
  <c r="H37" i="53"/>
  <c r="I37" i="53"/>
  <c r="J37" i="53"/>
  <c r="K37" i="53"/>
  <c r="L37" i="53"/>
  <c r="M37" i="53"/>
  <c r="N37" i="53"/>
  <c r="O37" i="53"/>
  <c r="D38" i="53"/>
  <c r="E38" i="53"/>
  <c r="F38" i="53"/>
  <c r="G38" i="53"/>
  <c r="H38" i="53"/>
  <c r="I38" i="53"/>
  <c r="J38" i="53"/>
  <c r="K38" i="53"/>
  <c r="L38" i="53"/>
  <c r="M38" i="53"/>
  <c r="N38" i="53"/>
  <c r="O38" i="53"/>
  <c r="D39" i="53"/>
  <c r="E39" i="53"/>
  <c r="F39" i="53"/>
  <c r="G39" i="53"/>
  <c r="H39" i="53"/>
  <c r="I39" i="53"/>
  <c r="J39" i="53"/>
  <c r="K39" i="53"/>
  <c r="L39" i="53"/>
  <c r="M39" i="53"/>
  <c r="N39" i="53"/>
  <c r="O39" i="53"/>
  <c r="D40" i="53"/>
  <c r="E40" i="53"/>
  <c r="F40" i="53"/>
  <c r="G40" i="53"/>
  <c r="H40" i="53"/>
  <c r="I40" i="53"/>
  <c r="J40" i="53"/>
  <c r="K40" i="53"/>
  <c r="L40" i="53"/>
  <c r="M40" i="53"/>
  <c r="N40" i="53"/>
  <c r="O40" i="53"/>
  <c r="D41" i="53"/>
  <c r="E41" i="53"/>
  <c r="F41" i="53"/>
  <c r="G41" i="53"/>
  <c r="H41" i="53"/>
  <c r="I41" i="53"/>
  <c r="J41" i="53"/>
  <c r="K41" i="53"/>
  <c r="L41" i="53"/>
  <c r="M41" i="53"/>
  <c r="N41" i="53"/>
  <c r="O41" i="53"/>
  <c r="D42" i="53"/>
  <c r="E42" i="53"/>
  <c r="F42" i="53"/>
  <c r="G42" i="53"/>
  <c r="H42" i="53"/>
  <c r="I42" i="53"/>
  <c r="J42" i="53"/>
  <c r="K42" i="53"/>
  <c r="L42" i="53"/>
  <c r="M42" i="53"/>
  <c r="N42" i="53"/>
  <c r="O42" i="53"/>
  <c r="D43" i="53"/>
  <c r="E43" i="53"/>
  <c r="F43" i="53"/>
  <c r="G43" i="53"/>
  <c r="H43" i="53"/>
  <c r="I43" i="53"/>
  <c r="J43" i="53"/>
  <c r="K43" i="53"/>
  <c r="L43" i="53"/>
  <c r="M43" i="53"/>
  <c r="N43" i="53"/>
  <c r="O43" i="53"/>
  <c r="D44" i="53"/>
  <c r="E44" i="53"/>
  <c r="F44" i="53"/>
  <c r="G44" i="53"/>
  <c r="H44" i="53"/>
  <c r="I44" i="53"/>
  <c r="J44" i="53"/>
  <c r="K44" i="53"/>
  <c r="L44" i="53"/>
  <c r="M44" i="53"/>
  <c r="N44" i="53"/>
  <c r="O44" i="53"/>
  <c r="D45" i="53"/>
  <c r="E45" i="53"/>
  <c r="F45" i="53"/>
  <c r="G45" i="53"/>
  <c r="H45" i="53"/>
  <c r="I45" i="53"/>
  <c r="J45" i="53"/>
  <c r="K45" i="53"/>
  <c r="L45" i="53"/>
  <c r="M45" i="53"/>
  <c r="N45" i="53"/>
  <c r="O45" i="53"/>
  <c r="D46" i="53"/>
  <c r="E46" i="53"/>
  <c r="F46" i="53"/>
  <c r="G46" i="53"/>
  <c r="H46" i="53"/>
  <c r="I46" i="53"/>
  <c r="J46" i="53"/>
  <c r="K46" i="53"/>
  <c r="L46" i="53"/>
  <c r="M46" i="53"/>
  <c r="N46" i="53"/>
  <c r="O46" i="53"/>
  <c r="D47" i="53"/>
  <c r="E47" i="53"/>
  <c r="F47" i="53"/>
  <c r="G47" i="53"/>
  <c r="H47" i="53"/>
  <c r="I47" i="53"/>
  <c r="J47" i="53"/>
  <c r="K47" i="53"/>
  <c r="L47" i="53"/>
  <c r="M47" i="53"/>
  <c r="N47" i="53"/>
  <c r="O47" i="53"/>
  <c r="D48" i="53"/>
  <c r="E48" i="53"/>
  <c r="F48" i="53"/>
  <c r="G48" i="53"/>
  <c r="H48" i="53"/>
  <c r="I48" i="53"/>
  <c r="J48" i="53"/>
  <c r="K48" i="53"/>
  <c r="L48" i="53"/>
  <c r="M48" i="53"/>
  <c r="N48" i="53"/>
  <c r="O48" i="53"/>
  <c r="D49" i="53"/>
  <c r="E49" i="53"/>
  <c r="F49" i="53"/>
  <c r="G49" i="53"/>
  <c r="H49" i="53"/>
  <c r="I49" i="53"/>
  <c r="J49" i="53"/>
  <c r="K49" i="53"/>
  <c r="L49" i="53"/>
  <c r="M49" i="53"/>
  <c r="N49" i="53"/>
  <c r="O49" i="53"/>
  <c r="D50" i="53"/>
  <c r="E50" i="53"/>
  <c r="F50" i="53"/>
  <c r="G50" i="53"/>
  <c r="H50" i="53"/>
  <c r="I50" i="53"/>
  <c r="J50" i="53"/>
  <c r="K50" i="53"/>
  <c r="L50" i="53"/>
  <c r="M50" i="53"/>
  <c r="N50" i="53"/>
  <c r="O50" i="53"/>
  <c r="D51" i="53"/>
  <c r="E51" i="53"/>
  <c r="F51" i="53"/>
  <c r="G51" i="53"/>
  <c r="H51" i="53"/>
  <c r="I51" i="53"/>
  <c r="J51" i="53"/>
  <c r="K51" i="53"/>
  <c r="L51" i="53"/>
  <c r="M51" i="53"/>
  <c r="N51" i="53"/>
  <c r="O51" i="53"/>
  <c r="D52" i="53"/>
  <c r="E52" i="53"/>
  <c r="F52" i="53"/>
  <c r="G52" i="53"/>
  <c r="H52" i="53"/>
  <c r="I52" i="53"/>
  <c r="J52" i="53"/>
  <c r="K52" i="53"/>
  <c r="L52" i="53"/>
  <c r="M52" i="53"/>
  <c r="N52" i="53"/>
  <c r="O52" i="53"/>
  <c r="D53" i="53"/>
  <c r="E53" i="53"/>
  <c r="F53" i="53"/>
  <c r="G53" i="53"/>
  <c r="H53" i="53"/>
  <c r="I53" i="53"/>
  <c r="J53" i="53"/>
  <c r="K53" i="53"/>
  <c r="L53" i="53"/>
  <c r="M53" i="53"/>
  <c r="N53" i="53"/>
  <c r="O53" i="53"/>
  <c r="D54" i="53"/>
  <c r="E54" i="53"/>
  <c r="F54" i="53"/>
  <c r="G54" i="53"/>
  <c r="H54" i="53"/>
  <c r="I54" i="53"/>
  <c r="J54" i="53"/>
  <c r="K54" i="53"/>
  <c r="L54" i="53"/>
  <c r="M54" i="53"/>
  <c r="N54" i="53"/>
  <c r="O54" i="53"/>
  <c r="D55" i="53"/>
  <c r="E55" i="53"/>
  <c r="F55" i="53"/>
  <c r="G55" i="53"/>
  <c r="H55" i="53"/>
  <c r="I55" i="53"/>
  <c r="J55" i="53"/>
  <c r="K55" i="53"/>
  <c r="L55" i="53"/>
  <c r="M55" i="53"/>
  <c r="N55" i="53"/>
  <c r="O55" i="53"/>
  <c r="D56" i="53"/>
  <c r="E56" i="53"/>
  <c r="F56" i="53"/>
  <c r="G56" i="53"/>
  <c r="H56" i="53"/>
  <c r="I56" i="53"/>
  <c r="J56" i="53"/>
  <c r="K56" i="53"/>
  <c r="L56" i="53"/>
  <c r="M56" i="53"/>
  <c r="N56" i="53"/>
  <c r="O56" i="53"/>
  <c r="O4" i="53"/>
  <c r="N4" i="53"/>
  <c r="M4" i="53"/>
  <c r="L4" i="53"/>
  <c r="K4" i="53"/>
  <c r="J4" i="53"/>
  <c r="I4" i="53"/>
  <c r="H4" i="53"/>
  <c r="G4" i="53"/>
  <c r="F4" i="53"/>
  <c r="E4" i="53"/>
  <c r="D4" i="53"/>
  <c r="C6" i="53"/>
  <c r="C7" i="53"/>
  <c r="C8" i="53"/>
  <c r="C9" i="53"/>
  <c r="C10" i="53"/>
  <c r="C11" i="53"/>
  <c r="C12" i="53"/>
  <c r="C13" i="53"/>
  <c r="C14" i="53"/>
  <c r="C15" i="53"/>
  <c r="C16" i="53"/>
  <c r="C17" i="53"/>
  <c r="C18" i="53"/>
  <c r="C19" i="53"/>
  <c r="C20" i="53"/>
  <c r="C21" i="53"/>
  <c r="C22" i="53"/>
  <c r="C23" i="53"/>
  <c r="C24" i="53"/>
  <c r="C25" i="53"/>
  <c r="C26" i="53"/>
  <c r="C27" i="53"/>
  <c r="C28" i="53"/>
  <c r="C29" i="53"/>
  <c r="C30" i="53"/>
  <c r="C31" i="53"/>
  <c r="C32" i="53"/>
  <c r="C33" i="53"/>
  <c r="C34" i="53"/>
  <c r="C35" i="53"/>
  <c r="C36" i="53"/>
  <c r="C37" i="53"/>
  <c r="C38" i="53"/>
  <c r="C39" i="53"/>
  <c r="C40" i="53"/>
  <c r="C41" i="53"/>
  <c r="C42" i="53"/>
  <c r="C43" i="53"/>
  <c r="C44" i="53"/>
  <c r="C45" i="53"/>
  <c r="C46" i="53"/>
  <c r="C47" i="53"/>
  <c r="C48" i="53"/>
  <c r="C49" i="53"/>
  <c r="C50" i="53"/>
  <c r="C51" i="53"/>
  <c r="C52" i="53"/>
  <c r="C53" i="53"/>
  <c r="C54" i="53"/>
  <c r="C55" i="53"/>
  <c r="C56" i="53"/>
  <c r="C57" i="53"/>
  <c r="C58" i="53"/>
  <c r="C59" i="53"/>
  <c r="C60" i="53"/>
  <c r="C5" i="53"/>
  <c r="C4" i="53"/>
  <c r="O64" i="53"/>
  <c r="N64" i="53"/>
  <c r="M64" i="53"/>
  <c r="L64" i="53"/>
  <c r="K64" i="53"/>
  <c r="J64" i="53"/>
  <c r="I64" i="53"/>
  <c r="H64" i="53"/>
  <c r="G64" i="53"/>
  <c r="F64" i="53"/>
  <c r="E64" i="53"/>
  <c r="D64" i="53"/>
  <c r="C64" i="53"/>
  <c r="O63" i="53"/>
  <c r="N63" i="53"/>
  <c r="M63" i="53"/>
  <c r="L63" i="53"/>
  <c r="K63" i="53"/>
  <c r="J63" i="53"/>
  <c r="I63" i="53"/>
  <c r="H63" i="53"/>
  <c r="G63" i="53"/>
  <c r="F63" i="53"/>
  <c r="E63" i="53"/>
  <c r="D63" i="53"/>
  <c r="C63" i="53"/>
  <c r="O62" i="53"/>
  <c r="N62" i="53"/>
  <c r="M62" i="53"/>
  <c r="L62" i="53"/>
  <c r="K62" i="53"/>
  <c r="J62" i="53"/>
  <c r="I62" i="53"/>
  <c r="H62" i="53"/>
  <c r="G62" i="53"/>
  <c r="F62" i="53"/>
  <c r="E62" i="53"/>
  <c r="D62" i="53"/>
  <c r="C62" i="53"/>
  <c r="O61" i="53"/>
  <c r="N61" i="53"/>
  <c r="M61" i="53"/>
  <c r="L61" i="53"/>
  <c r="K61" i="53"/>
  <c r="J61" i="53"/>
  <c r="I61" i="53"/>
  <c r="H61" i="53"/>
  <c r="G61" i="53"/>
  <c r="F61" i="53"/>
  <c r="E61" i="53"/>
  <c r="D61" i="53"/>
  <c r="C61" i="53"/>
  <c r="O60" i="53"/>
  <c r="N60" i="53"/>
  <c r="M60" i="53"/>
  <c r="L60" i="53"/>
  <c r="K60" i="53"/>
  <c r="J60" i="53"/>
  <c r="I60" i="53"/>
  <c r="H60" i="53"/>
  <c r="G60" i="53"/>
  <c r="F60" i="53"/>
  <c r="E60" i="53"/>
  <c r="D60" i="53"/>
  <c r="O59" i="53"/>
  <c r="N59" i="53"/>
  <c r="M59" i="53"/>
  <c r="L59" i="53"/>
  <c r="K59" i="53"/>
  <c r="J59" i="53"/>
  <c r="I59" i="53"/>
  <c r="H59" i="53"/>
  <c r="G59" i="53"/>
  <c r="F59" i="53"/>
  <c r="E59" i="53"/>
  <c r="D59" i="53"/>
  <c r="O58" i="53"/>
  <c r="N58" i="53"/>
  <c r="M58" i="53"/>
  <c r="L58" i="53"/>
  <c r="K58" i="53"/>
  <c r="J58" i="53"/>
  <c r="I58" i="53"/>
  <c r="H58" i="53"/>
  <c r="G58" i="53"/>
  <c r="F58" i="53"/>
  <c r="E58" i="53"/>
  <c r="D58" i="53"/>
  <c r="O57" i="53"/>
  <c r="N57" i="53"/>
  <c r="M57" i="53"/>
  <c r="L57" i="53"/>
  <c r="K57" i="53"/>
  <c r="J57" i="53"/>
  <c r="I57" i="53"/>
  <c r="H57" i="53"/>
  <c r="G57" i="53"/>
  <c r="F57" i="53"/>
  <c r="E57" i="53"/>
  <c r="D57" i="53"/>
  <c r="S75" i="29"/>
  <c r="S76" i="29"/>
  <c r="S77" i="29"/>
  <c r="S78" i="29"/>
  <c r="S79" i="29"/>
  <c r="S80" i="29"/>
  <c r="S81" i="29"/>
  <c r="S82" i="29"/>
  <c r="S83" i="29"/>
  <c r="S84" i="29"/>
  <c r="E5" i="28"/>
  <c r="A10" i="29" l="1"/>
  <c r="A9" i="29"/>
  <c r="A8" i="29"/>
  <c r="AI68" i="28"/>
  <c r="AI69" i="28" s="1"/>
  <c r="AI70" i="28" s="1"/>
  <c r="AI71" i="28" s="1"/>
  <c r="AI72" i="28" s="1"/>
  <c r="AI73" i="28" s="1"/>
  <c r="AI74" i="28" s="1"/>
  <c r="AI75" i="28" s="1"/>
  <c r="AI76" i="28" s="1"/>
  <c r="F74" i="28"/>
  <c r="G74" i="28"/>
  <c r="H74" i="28"/>
  <c r="I74" i="28"/>
  <c r="J74" i="28"/>
  <c r="K74" i="28"/>
  <c r="L74" i="28"/>
  <c r="M74" i="28"/>
  <c r="N74" i="28"/>
  <c r="O74" i="28"/>
  <c r="P74" i="28"/>
  <c r="Q74" i="28"/>
  <c r="E74" i="28"/>
  <c r="F73" i="28"/>
  <c r="G73" i="28"/>
  <c r="H73" i="28"/>
  <c r="I73" i="28"/>
  <c r="J73" i="28"/>
  <c r="K73" i="28"/>
  <c r="L73" i="28"/>
  <c r="M73" i="28"/>
  <c r="N73" i="28"/>
  <c r="O73" i="28"/>
  <c r="P73" i="28"/>
  <c r="Q73" i="28"/>
  <c r="E73" i="28"/>
  <c r="F72" i="28"/>
  <c r="G72" i="28"/>
  <c r="H72" i="28"/>
  <c r="I72" i="28"/>
  <c r="J72" i="28"/>
  <c r="K72" i="28"/>
  <c r="L72" i="28"/>
  <c r="M72" i="28"/>
  <c r="N72" i="28"/>
  <c r="O72" i="28"/>
  <c r="P72" i="28"/>
  <c r="Q72" i="28"/>
  <c r="E72" i="28"/>
  <c r="F71" i="28"/>
  <c r="G71" i="28"/>
  <c r="H71" i="28"/>
  <c r="I71" i="28"/>
  <c r="J71" i="28"/>
  <c r="K71" i="28"/>
  <c r="L71" i="28"/>
  <c r="M71" i="28"/>
  <c r="N71" i="28"/>
  <c r="O71" i="28"/>
  <c r="P71" i="28"/>
  <c r="Q71" i="28"/>
  <c r="E71" i="28"/>
  <c r="Q69" i="28" l="1"/>
  <c r="Q20" i="28" l="1"/>
  <c r="Q37" i="28"/>
  <c r="Q67" i="28"/>
  <c r="Q51" i="28"/>
  <c r="Q35" i="28"/>
  <c r="Q19" i="28"/>
  <c r="Q18" i="28"/>
  <c r="Q38" i="28"/>
  <c r="Q52" i="28"/>
  <c r="Q49" i="28"/>
  <c r="Q33" i="28"/>
  <c r="Q64" i="28"/>
  <c r="Q48" i="28"/>
  <c r="Q32" i="28"/>
  <c r="Q16" i="28"/>
  <c r="Q36" i="28"/>
  <c r="Q17" i="28"/>
  <c r="Q63" i="28"/>
  <c r="Q47" i="28"/>
  <c r="Q31" i="28"/>
  <c r="Q15" i="28"/>
  <c r="Q53" i="28"/>
  <c r="Q66" i="28"/>
  <c r="Q62" i="28"/>
  <c r="Q45" i="28"/>
  <c r="Q13" i="28"/>
  <c r="Q60" i="28"/>
  <c r="Q44" i="28"/>
  <c r="Q28" i="28"/>
  <c r="Q12" i="28"/>
  <c r="Q21" i="28"/>
  <c r="Q50" i="28"/>
  <c r="Q46" i="28"/>
  <c r="Q14" i="28"/>
  <c r="Q59" i="28"/>
  <c r="Q27" i="28"/>
  <c r="Q10" i="28"/>
  <c r="Q57" i="28"/>
  <c r="Q41" i="28"/>
  <c r="Q25" i="28"/>
  <c r="Q9" i="28"/>
  <c r="Q22" i="28"/>
  <c r="Q68" i="28"/>
  <c r="Q65" i="28"/>
  <c r="Q29" i="28"/>
  <c r="Q43" i="28"/>
  <c r="Q58" i="28"/>
  <c r="Q42" i="28"/>
  <c r="Q56" i="28"/>
  <c r="Q40" i="28"/>
  <c r="Q24" i="28"/>
  <c r="Q54" i="28"/>
  <c r="Q34" i="28"/>
  <c r="Q30" i="28"/>
  <c r="Q61" i="28"/>
  <c r="Q11" i="28"/>
  <c r="Q26" i="28"/>
  <c r="Q55" i="28"/>
  <c r="Q39" i="28"/>
  <c r="Q23" i="28"/>
  <c r="Q8" i="28"/>
  <c r="AG68" i="28" l="1"/>
  <c r="AH68" i="28"/>
  <c r="AJ61" i="28" s="1"/>
  <c r="Q79" i="29"/>
  <c r="B64" i="1" s="1"/>
  <c r="Q70" i="29"/>
  <c r="B55" i="1" s="1"/>
  <c r="Q71" i="29"/>
  <c r="B56" i="1" s="1"/>
  <c r="Q72" i="29"/>
  <c r="B57" i="1" s="1"/>
  <c r="Q73" i="29"/>
  <c r="B58" i="1" s="1"/>
  <c r="Q74" i="29"/>
  <c r="B59" i="1" s="1"/>
  <c r="Q75" i="29"/>
  <c r="B60" i="1" s="1"/>
  <c r="Q76" i="29"/>
  <c r="B61" i="1" s="1"/>
  <c r="Q77" i="29"/>
  <c r="B62" i="1" s="1"/>
  <c r="Q78" i="29"/>
  <c r="B63" i="1" s="1"/>
  <c r="Q80" i="29"/>
  <c r="B65" i="1" s="1"/>
  <c r="Q22" i="29"/>
  <c r="Q67" i="29"/>
  <c r="B52" i="1" s="1"/>
  <c r="Q68" i="29"/>
  <c r="B53" i="1" s="1"/>
  <c r="Q69" i="29"/>
  <c r="B54" i="1" s="1"/>
  <c r="Q81" i="29"/>
  <c r="B66" i="1" s="1"/>
  <c r="Q82" i="29"/>
  <c r="B67" i="1" s="1"/>
  <c r="Q84" i="29"/>
  <c r="Q23" i="29"/>
  <c r="B8" i="1" s="1"/>
  <c r="Q24" i="29"/>
  <c r="B9" i="1" s="1"/>
  <c r="Q25" i="29"/>
  <c r="B10" i="1" s="1"/>
  <c r="Q26" i="29"/>
  <c r="B11" i="1" s="1"/>
  <c r="Q27" i="29"/>
  <c r="B12" i="1" s="1"/>
  <c r="Q28" i="29"/>
  <c r="B13" i="1" s="1"/>
  <c r="Q29" i="29"/>
  <c r="B14" i="1" s="1"/>
  <c r="Q30" i="29"/>
  <c r="B15" i="1" s="1"/>
  <c r="Q31" i="29"/>
  <c r="B16" i="1" s="1"/>
  <c r="Q32" i="29"/>
  <c r="B17" i="1" s="1"/>
  <c r="Q33" i="29"/>
  <c r="B18" i="1" s="1"/>
  <c r="Q34" i="29"/>
  <c r="B19" i="1" s="1"/>
  <c r="Q35" i="29"/>
  <c r="B20" i="1" s="1"/>
  <c r="Q36" i="29"/>
  <c r="B21" i="1" s="1"/>
  <c r="Q37" i="29"/>
  <c r="B22" i="1" s="1"/>
  <c r="Q38" i="29"/>
  <c r="B23" i="1" s="1"/>
  <c r="Q39" i="29"/>
  <c r="B24" i="1" s="1"/>
  <c r="Q40" i="29"/>
  <c r="B25" i="1" s="1"/>
  <c r="Q41" i="29"/>
  <c r="B26" i="1" s="1"/>
  <c r="Q42" i="29"/>
  <c r="B27" i="1" s="1"/>
  <c r="Q43" i="29"/>
  <c r="B28" i="1" s="1"/>
  <c r="Q44" i="29"/>
  <c r="B29" i="1" s="1"/>
  <c r="Q45" i="29"/>
  <c r="B30" i="1" s="1"/>
  <c r="Q46" i="29"/>
  <c r="B31" i="1" s="1"/>
  <c r="Q47" i="29"/>
  <c r="B32" i="1" s="1"/>
  <c r="Q48" i="29"/>
  <c r="B33" i="1" s="1"/>
  <c r="Q49" i="29"/>
  <c r="B34" i="1" s="1"/>
  <c r="Q50" i="29"/>
  <c r="B35" i="1" s="1"/>
  <c r="Q51" i="29"/>
  <c r="B36" i="1" s="1"/>
  <c r="Q52" i="29"/>
  <c r="B37" i="1" s="1"/>
  <c r="Q53" i="29"/>
  <c r="B38" i="1" s="1"/>
  <c r="Q54" i="29"/>
  <c r="B39" i="1" s="1"/>
  <c r="Q55" i="29"/>
  <c r="B40" i="1" s="1"/>
  <c r="Q56" i="29"/>
  <c r="B41" i="1" s="1"/>
  <c r="Q57" i="29"/>
  <c r="B42" i="1" s="1"/>
  <c r="Q58" i="29"/>
  <c r="B43" i="1" s="1"/>
  <c r="Q59" i="29"/>
  <c r="B44" i="1" s="1"/>
  <c r="Q60" i="29"/>
  <c r="B45" i="1" s="1"/>
  <c r="Q61" i="29"/>
  <c r="B46" i="1" s="1"/>
  <c r="Q62" i="29"/>
  <c r="B47" i="1" s="1"/>
  <c r="Q63" i="29"/>
  <c r="B48" i="1" s="1"/>
  <c r="Q64" i="29"/>
  <c r="B49" i="1" s="1"/>
  <c r="Q65" i="29"/>
  <c r="B50" i="1" s="1"/>
  <c r="Q66" i="29"/>
  <c r="B51" i="1" s="1"/>
  <c r="D66" i="29"/>
  <c r="E66" i="29" s="1"/>
  <c r="D65" i="29"/>
  <c r="E65" i="29" s="1"/>
  <c r="D64" i="29"/>
  <c r="E64" i="29" s="1"/>
  <c r="D63" i="29"/>
  <c r="E63" i="29" s="1"/>
  <c r="D62" i="29"/>
  <c r="E62" i="29" s="1"/>
  <c r="D61" i="29"/>
  <c r="E61" i="29" s="1"/>
  <c r="D60" i="29"/>
  <c r="E60" i="29" s="1"/>
  <c r="D59" i="29"/>
  <c r="E59" i="29" s="1"/>
  <c r="D58" i="29"/>
  <c r="E58" i="29" s="1"/>
  <c r="D57" i="29"/>
  <c r="E57" i="29" s="1"/>
  <c r="D56" i="29"/>
  <c r="E56" i="29" s="1"/>
  <c r="D55" i="29"/>
  <c r="E55" i="29" s="1"/>
  <c r="D54" i="29"/>
  <c r="E54" i="29" s="1"/>
  <c r="D53" i="29"/>
  <c r="E53" i="29" s="1"/>
  <c r="D52" i="29"/>
  <c r="E52" i="29" s="1"/>
  <c r="D51" i="29"/>
  <c r="E51" i="29" s="1"/>
  <c r="D50" i="29"/>
  <c r="E50" i="29" s="1"/>
  <c r="D49" i="29"/>
  <c r="E49" i="29" s="1"/>
  <c r="D48" i="29"/>
  <c r="E48" i="29" s="1"/>
  <c r="D47" i="29"/>
  <c r="E47" i="29" s="1"/>
  <c r="D46" i="29"/>
  <c r="E46" i="29" s="1"/>
  <c r="D45" i="29"/>
  <c r="E45" i="29" s="1"/>
  <c r="D44" i="29"/>
  <c r="E44" i="29" s="1"/>
  <c r="D43" i="29"/>
  <c r="E43" i="29" s="1"/>
  <c r="D42" i="29"/>
  <c r="E42" i="29" s="1"/>
  <c r="D41" i="29"/>
  <c r="E41" i="29" s="1"/>
  <c r="D40" i="29"/>
  <c r="E40" i="29" s="1"/>
  <c r="D39" i="29"/>
  <c r="E39" i="29" s="1"/>
  <c r="D38" i="29"/>
  <c r="E38" i="29" s="1"/>
  <c r="D37" i="29"/>
  <c r="E37" i="29" s="1"/>
  <c r="D36" i="29"/>
  <c r="E36" i="29" s="1"/>
  <c r="D35" i="29"/>
  <c r="E35" i="29" s="1"/>
  <c r="D34" i="29"/>
  <c r="E34" i="29" s="1"/>
  <c r="D33" i="29"/>
  <c r="D32" i="29"/>
  <c r="E32" i="29" s="1"/>
  <c r="D31" i="29"/>
  <c r="E31" i="29" s="1"/>
  <c r="D30" i="29"/>
  <c r="E30" i="29" s="1"/>
  <c r="D29" i="29"/>
  <c r="E29" i="29" s="1"/>
  <c r="D28" i="29"/>
  <c r="E28" i="29" s="1"/>
  <c r="D27" i="29"/>
  <c r="D26" i="29"/>
  <c r="E26" i="29" s="1"/>
  <c r="D25" i="29"/>
  <c r="E25" i="29" s="1"/>
  <c r="D24" i="29"/>
  <c r="E24" i="29" s="1"/>
  <c r="D23" i="29"/>
  <c r="E23" i="29" s="1"/>
  <c r="D22" i="29"/>
  <c r="E22" i="29" s="1"/>
  <c r="D21" i="29"/>
  <c r="E21" i="29" s="1"/>
  <c r="D20" i="29"/>
  <c r="E20" i="29" s="1"/>
  <c r="D19" i="29"/>
  <c r="E19" i="29" s="1"/>
  <c r="D18" i="29"/>
  <c r="E18" i="29" s="1"/>
  <c r="D17" i="29"/>
  <c r="E17" i="29" s="1"/>
  <c r="D16" i="29"/>
  <c r="E16" i="29" s="1"/>
  <c r="D15" i="29"/>
  <c r="E15" i="29" s="1"/>
  <c r="D14" i="29"/>
  <c r="E14" i="29" s="1"/>
  <c r="D13" i="29"/>
  <c r="E13" i="29" s="1"/>
  <c r="D12" i="29"/>
  <c r="E12" i="29" s="1"/>
  <c r="D11" i="29"/>
  <c r="E11" i="29" s="1"/>
  <c r="D10" i="29"/>
  <c r="E10" i="29" s="1"/>
  <c r="D9" i="29"/>
  <c r="D8" i="29"/>
  <c r="E8" i="29" s="1"/>
  <c r="C67" i="29"/>
  <c r="R45" i="29" l="1"/>
  <c r="S45" i="29" s="1"/>
  <c r="C30" i="1" s="1"/>
  <c r="R76" i="29"/>
  <c r="C61" i="1" s="1"/>
  <c r="R48" i="29"/>
  <c r="S48" i="29" s="1"/>
  <c r="C33" i="1" s="1"/>
  <c r="E33" i="29"/>
  <c r="R63" i="29"/>
  <c r="S63" i="29" s="1"/>
  <c r="C48" i="1" s="1"/>
  <c r="R32" i="29"/>
  <c r="S32" i="29" s="1"/>
  <c r="C17" i="1" s="1"/>
  <c r="R31" i="29"/>
  <c r="S31" i="29" s="1"/>
  <c r="C16" i="1" s="1"/>
  <c r="R29" i="29"/>
  <c r="S29" i="29" s="1"/>
  <c r="C14" i="1" s="1"/>
  <c r="R64" i="29"/>
  <c r="S64" i="29" s="1"/>
  <c r="C49" i="1" s="1"/>
  <c r="R47" i="29"/>
  <c r="S47" i="29" s="1"/>
  <c r="C32" i="1" s="1"/>
  <c r="R24" i="29"/>
  <c r="S24" i="29" s="1"/>
  <c r="C9" i="1" s="1"/>
  <c r="E9" i="29"/>
  <c r="R75" i="29"/>
  <c r="C60" i="1" s="1"/>
  <c r="R74" i="29"/>
  <c r="S74" i="29" s="1"/>
  <c r="C59" i="1" s="1"/>
  <c r="R42" i="29"/>
  <c r="S42" i="29" s="1"/>
  <c r="C27" i="1" s="1"/>
  <c r="E27" i="29"/>
  <c r="R61" i="29"/>
  <c r="S61" i="29" s="1"/>
  <c r="C46" i="1" s="1"/>
  <c r="R62" i="29"/>
  <c r="S62" i="29" s="1"/>
  <c r="C47" i="1" s="1"/>
  <c r="R30" i="29"/>
  <c r="S30" i="29" s="1"/>
  <c r="C15" i="1" s="1"/>
  <c r="R73" i="29"/>
  <c r="S73" i="29" s="1"/>
  <c r="C58" i="1" s="1"/>
  <c r="R58" i="29"/>
  <c r="S58" i="29" s="1"/>
  <c r="C43" i="1" s="1"/>
  <c r="R26" i="29"/>
  <c r="R57" i="29"/>
  <c r="S57" i="29" s="1"/>
  <c r="C42" i="1" s="1"/>
  <c r="R41" i="29"/>
  <c r="S41" i="29" s="1"/>
  <c r="C26" i="1" s="1"/>
  <c r="R25" i="29"/>
  <c r="S25" i="29" s="1"/>
  <c r="C10" i="1" s="1"/>
  <c r="R40" i="29"/>
  <c r="S40" i="29" s="1"/>
  <c r="C25" i="1" s="1"/>
  <c r="R55" i="29"/>
  <c r="R70" i="29"/>
  <c r="S70" i="29" s="1"/>
  <c r="C55" i="1" s="1"/>
  <c r="R54" i="29"/>
  <c r="R38" i="29"/>
  <c r="S38" i="29" s="1"/>
  <c r="C23" i="1" s="1"/>
  <c r="R69" i="29"/>
  <c r="S69" i="29" s="1"/>
  <c r="C54" i="1" s="1"/>
  <c r="R53" i="29"/>
  <c r="R37" i="29"/>
  <c r="S37" i="29" s="1"/>
  <c r="C22" i="1" s="1"/>
  <c r="R81" i="29"/>
  <c r="C66" i="1" s="1"/>
  <c r="R56" i="29"/>
  <c r="S56" i="29" s="1"/>
  <c r="C41" i="1" s="1"/>
  <c r="R39" i="29"/>
  <c r="S39" i="29" s="1"/>
  <c r="C24" i="1" s="1"/>
  <c r="R68" i="29"/>
  <c r="S68" i="29" s="1"/>
  <c r="C53" i="1" s="1"/>
  <c r="R52" i="29"/>
  <c r="R36" i="29"/>
  <c r="R80" i="29"/>
  <c r="C65" i="1" s="1"/>
  <c r="R67" i="29"/>
  <c r="S67" i="29" s="1"/>
  <c r="C52" i="1" s="1"/>
  <c r="R51" i="29"/>
  <c r="R35" i="29"/>
  <c r="S35" i="29" s="1"/>
  <c r="C20" i="1" s="1"/>
  <c r="R79" i="29"/>
  <c r="C64" i="1" s="1"/>
  <c r="R23" i="29"/>
  <c r="S23" i="29" s="1"/>
  <c r="C8" i="1" s="1"/>
  <c r="R66" i="29"/>
  <c r="S66" i="29" s="1"/>
  <c r="C51" i="1" s="1"/>
  <c r="R50" i="29"/>
  <c r="S50" i="29" s="1"/>
  <c r="C35" i="1" s="1"/>
  <c r="R34" i="29"/>
  <c r="S34" i="29" s="1"/>
  <c r="C19" i="1" s="1"/>
  <c r="R78" i="29"/>
  <c r="C63" i="1" s="1"/>
  <c r="R65" i="29"/>
  <c r="S65" i="29" s="1"/>
  <c r="C50" i="1" s="1"/>
  <c r="R49" i="29"/>
  <c r="R33" i="29"/>
  <c r="S33" i="29" s="1"/>
  <c r="C18" i="1" s="1"/>
  <c r="R77" i="29"/>
  <c r="C62" i="1" s="1"/>
  <c r="R46" i="29"/>
  <c r="S46" i="29" s="1"/>
  <c r="C31" i="1" s="1"/>
  <c r="R60" i="29"/>
  <c r="S60" i="29" s="1"/>
  <c r="C45" i="1" s="1"/>
  <c r="R44" i="29"/>
  <c r="S44" i="29" s="1"/>
  <c r="C29" i="1" s="1"/>
  <c r="R28" i="29"/>
  <c r="S28" i="29" s="1"/>
  <c r="C13" i="1" s="1"/>
  <c r="R72" i="29"/>
  <c r="S72" i="29" s="1"/>
  <c r="C57" i="1" s="1"/>
  <c r="R59" i="29"/>
  <c r="R43" i="29"/>
  <c r="S43" i="29" s="1"/>
  <c r="C28" i="1" s="1"/>
  <c r="R27" i="29"/>
  <c r="S27" i="29" s="1"/>
  <c r="C12" i="1" s="1"/>
  <c r="R71" i="29"/>
  <c r="S71" i="29" s="1"/>
  <c r="C56" i="1" s="1"/>
  <c r="S49" i="29" l="1"/>
  <c r="C34" i="1" s="1"/>
  <c r="S53" i="29"/>
  <c r="C38" i="1" s="1"/>
  <c r="S59" i="29"/>
  <c r="C44" i="1" s="1"/>
  <c r="S36" i="29"/>
  <c r="C21" i="1" s="1"/>
  <c r="S54" i="29"/>
  <c r="C39" i="1" s="1"/>
  <c r="S55" i="29"/>
  <c r="C40" i="1" s="1"/>
  <c r="S51" i="29"/>
  <c r="C36" i="1" s="1"/>
  <c r="S52" i="29"/>
  <c r="C37" i="1" s="1"/>
  <c r="S26" i="29"/>
  <c r="C11" i="1" s="1"/>
  <c r="D7" i="29"/>
  <c r="D67" i="29"/>
  <c r="R22" i="29" l="1"/>
  <c r="S22" i="29" s="1"/>
  <c r="E7" i="29"/>
  <c r="R82" i="29"/>
  <c r="E67" i="29"/>
  <c r="AT73" i="1"/>
  <c r="AP73" i="3"/>
  <c r="AP74" i="3"/>
  <c r="AP75" i="3"/>
  <c r="AN70" i="3"/>
  <c r="AN68" i="3"/>
  <c r="AN69" i="3"/>
  <c r="C21" i="3"/>
  <c r="D21" i="3"/>
  <c r="G21" i="3"/>
  <c r="J21" i="3"/>
  <c r="K21" i="3"/>
  <c r="L21" i="3"/>
  <c r="Q21" i="3"/>
  <c r="R21" i="3" s="1"/>
  <c r="X21" i="3"/>
  <c r="Y21" i="3"/>
  <c r="Z21" i="3"/>
  <c r="AA21" i="3" s="1"/>
  <c r="AF21" i="3"/>
  <c r="AG21" i="3" s="1"/>
  <c r="AH21" i="3" s="1"/>
  <c r="AI21" i="3" s="1"/>
  <c r="C20" i="3"/>
  <c r="D20" i="3"/>
  <c r="G20" i="3"/>
  <c r="J20" i="3"/>
  <c r="K20" i="3"/>
  <c r="L20" i="3"/>
  <c r="Q20" i="3"/>
  <c r="R20" i="3" s="1"/>
  <c r="X20" i="3"/>
  <c r="Y20" i="3"/>
  <c r="Z20" i="3"/>
  <c r="AA20" i="3" s="1"/>
  <c r="AF20" i="3"/>
  <c r="AG20" i="3" s="1"/>
  <c r="AH20" i="3" s="1"/>
  <c r="AI20" i="3" s="1"/>
  <c r="C19" i="3"/>
  <c r="D19" i="3" s="1"/>
  <c r="G19" i="3"/>
  <c r="J19" i="3"/>
  <c r="K19" i="3"/>
  <c r="L19" i="3"/>
  <c r="Q19" i="3"/>
  <c r="R19" i="3"/>
  <c r="X19" i="3"/>
  <c r="Y19" i="3" s="1"/>
  <c r="Z19" i="3" s="1"/>
  <c r="AA19" i="3" s="1"/>
  <c r="AF19" i="3"/>
  <c r="AG19" i="3" s="1"/>
  <c r="AH19" i="3" s="1"/>
  <c r="AI19" i="3" s="1"/>
  <c r="AN67" i="3"/>
  <c r="AP72" i="3" s="1"/>
  <c r="C18" i="3"/>
  <c r="D18" i="3" s="1"/>
  <c r="G18" i="3"/>
  <c r="J18" i="3"/>
  <c r="K18" i="3" s="1"/>
  <c r="L18" i="3" s="1"/>
  <c r="Q18" i="3"/>
  <c r="R18" i="3" s="1"/>
  <c r="X18" i="3"/>
  <c r="Y18" i="3" s="1"/>
  <c r="Z18" i="3" s="1"/>
  <c r="AA18" i="3" s="1"/>
  <c r="AF18" i="3"/>
  <c r="AG18" i="3" s="1"/>
  <c r="AH18" i="3" s="1"/>
  <c r="AI18" i="3" s="1"/>
  <c r="C67" i="1" l="1"/>
  <c r="BA11" i="21" l="1"/>
  <c r="AO711" i="28" l="1"/>
  <c r="AO256" i="28"/>
  <c r="K137" i="14" l="1"/>
  <c r="V24" i="50" l="1"/>
  <c r="G6" i="3" l="1"/>
  <c r="G7" i="3"/>
  <c r="G8" i="3"/>
  <c r="G9" i="3"/>
  <c r="G10" i="3"/>
  <c r="G11" i="3"/>
  <c r="G12" i="3"/>
  <c r="G13" i="3"/>
  <c r="G14" i="3"/>
  <c r="G15" i="3"/>
  <c r="G16" i="3"/>
  <c r="G17" i="3"/>
  <c r="G17" i="50" l="1"/>
  <c r="M16" i="50"/>
  <c r="R16" i="50" s="1"/>
  <c r="F17" i="50"/>
  <c r="O17" i="50" s="1"/>
  <c r="J17" i="50"/>
  <c r="M17" i="50" s="1"/>
  <c r="R17" i="50" s="1"/>
  <c r="K17" i="50"/>
  <c r="L17" i="50"/>
  <c r="F16" i="50"/>
  <c r="G16" i="50"/>
  <c r="L16" i="50"/>
  <c r="K16" i="50"/>
  <c r="J16" i="50"/>
  <c r="S17" i="50" l="1"/>
  <c r="Q17" i="50"/>
  <c r="P17" i="50"/>
  <c r="O40" i="14" l="1"/>
  <c r="U36" i="14" s="1"/>
  <c r="N24" i="14"/>
  <c r="I10" i="46" l="1"/>
  <c r="J10" i="46" s="1"/>
  <c r="K10" i="46" s="1"/>
  <c r="M10" i="46" s="1"/>
  <c r="N10" i="46" s="1"/>
  <c r="J5" i="46" l="1"/>
  <c r="H9" i="46"/>
  <c r="G9" i="46"/>
  <c r="I9" i="46" s="1"/>
  <c r="E9" i="46"/>
  <c r="D9" i="46"/>
  <c r="H5" i="46"/>
  <c r="I5" i="46" s="1"/>
  <c r="BH2" i="45" l="1"/>
  <c r="D7" i="45"/>
  <c r="E7" i="45" s="1"/>
  <c r="F7" i="45" s="1"/>
  <c r="G7" i="45" s="1"/>
  <c r="H7" i="45" s="1"/>
  <c r="I7" i="45" s="1"/>
  <c r="J7" i="45" s="1"/>
  <c r="K7" i="45" s="1"/>
  <c r="L7" i="45" s="1"/>
  <c r="M7" i="45" s="1"/>
  <c r="N7" i="45" s="1"/>
  <c r="O7" i="45" s="1"/>
  <c r="P7" i="45" s="1"/>
  <c r="Q7" i="45" s="1"/>
  <c r="R7" i="45" s="1"/>
  <c r="S7" i="45" s="1"/>
  <c r="T7" i="45" s="1"/>
  <c r="U7" i="45" s="1"/>
  <c r="V7" i="45" s="1"/>
  <c r="W7" i="45" s="1"/>
  <c r="X7" i="45" s="1"/>
  <c r="Y7" i="45" s="1"/>
  <c r="Z7" i="45" s="1"/>
  <c r="AA7" i="45" s="1"/>
  <c r="AB7" i="45" s="1"/>
  <c r="AC7" i="45" s="1"/>
  <c r="AD7" i="45" s="1"/>
  <c r="AE7" i="45" s="1"/>
  <c r="AF7" i="45" s="1"/>
  <c r="AG7" i="45" s="1"/>
  <c r="AH7" i="45" s="1"/>
  <c r="AI7" i="45" s="1"/>
  <c r="AJ7" i="45" s="1"/>
  <c r="AK7" i="45" s="1"/>
  <c r="AL7" i="45" s="1"/>
  <c r="AM7" i="45" s="1"/>
  <c r="AN7" i="45" s="1"/>
  <c r="AO7" i="45" s="1"/>
  <c r="AP7" i="45" s="1"/>
  <c r="AQ7" i="45" s="1"/>
  <c r="AR7" i="45" s="1"/>
  <c r="AS7" i="45" s="1"/>
  <c r="AT7" i="45" s="1"/>
  <c r="AU7" i="45" s="1"/>
  <c r="AV7" i="45" s="1"/>
  <c r="AW7" i="45" s="1"/>
  <c r="AX7" i="45" s="1"/>
  <c r="AY7" i="45" s="1"/>
  <c r="AZ7" i="45" s="1"/>
  <c r="BA7" i="45" s="1"/>
  <c r="BB7" i="45" s="1"/>
  <c r="BC7" i="45" s="1"/>
  <c r="BD7" i="45" s="1"/>
  <c r="BE7" i="45" s="1"/>
  <c r="Q44" i="50" l="1"/>
  <c r="Q45" i="50"/>
  <c r="Q16" i="50"/>
  <c r="G29" i="49" l="1"/>
  <c r="G30" i="49"/>
  <c r="G31" i="49"/>
  <c r="G32" i="49"/>
  <c r="G33" i="49"/>
  <c r="G34" i="49"/>
  <c r="G35" i="49"/>
  <c r="G28" i="49"/>
  <c r="C8" i="52" l="1"/>
  <c r="C9" i="52"/>
  <c r="C10" i="52"/>
  <c r="C11" i="52"/>
  <c r="C12" i="52"/>
  <c r="C13" i="52"/>
  <c r="C14" i="52"/>
  <c r="C15" i="52"/>
  <c r="C16" i="52"/>
  <c r="C17" i="52"/>
  <c r="C18" i="52"/>
  <c r="C19" i="52"/>
  <c r="C20" i="52"/>
  <c r="C21" i="52"/>
  <c r="C22" i="52"/>
  <c r="C23" i="52"/>
  <c r="C24" i="52"/>
  <c r="C25" i="52"/>
  <c r="C26" i="52"/>
  <c r="C27" i="52"/>
  <c r="C28" i="52"/>
  <c r="C29" i="52"/>
  <c r="C30" i="52"/>
  <c r="C31" i="52"/>
  <c r="C32" i="52"/>
  <c r="C33" i="52"/>
  <c r="C34" i="52"/>
  <c r="C35" i="52"/>
  <c r="C36" i="52"/>
  <c r="C37" i="52"/>
  <c r="C38" i="52"/>
  <c r="C39" i="52"/>
  <c r="C40" i="52"/>
  <c r="C41" i="52"/>
  <c r="C42" i="52"/>
  <c r="C43" i="52"/>
  <c r="C44" i="52"/>
  <c r="C45" i="52"/>
  <c r="C46" i="52"/>
  <c r="C47" i="52"/>
  <c r="C48" i="52"/>
  <c r="C49" i="52"/>
  <c r="C50" i="52"/>
  <c r="C51" i="52"/>
  <c r="C52" i="52"/>
  <c r="C53" i="52"/>
  <c r="C54" i="52"/>
  <c r="C55" i="52"/>
  <c r="C56" i="52"/>
  <c r="C57" i="52"/>
  <c r="C58" i="52"/>
  <c r="C59" i="52"/>
  <c r="C60" i="52"/>
  <c r="C61" i="52"/>
  <c r="C62" i="52"/>
  <c r="C63" i="52"/>
  <c r="C64" i="52"/>
  <c r="C65" i="52"/>
  <c r="C66" i="52"/>
  <c r="C7" i="52"/>
  <c r="D3" i="52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7" i="29"/>
  <c r="A7" i="29" s="1"/>
  <c r="D3" i="29"/>
  <c r="AO1" i="28" l="1"/>
  <c r="P6" i="48" l="1"/>
  <c r="O44" i="50" l="1"/>
  <c r="P44" i="50"/>
  <c r="O45" i="50"/>
  <c r="P45" i="50"/>
  <c r="AN14" i="50"/>
  <c r="AK14" i="50"/>
  <c r="AH14" i="50"/>
  <c r="AE14" i="50"/>
  <c r="AB14" i="50"/>
  <c r="S16" i="50" l="1"/>
  <c r="P16" i="50"/>
  <c r="O16" i="50"/>
  <c r="D8" i="50" l="1"/>
  <c r="D9" i="49" l="1"/>
  <c r="H20" i="49"/>
  <c r="E15" i="49"/>
  <c r="F15" i="49"/>
  <c r="G15" i="49"/>
  <c r="H15" i="49"/>
  <c r="I15" i="49"/>
  <c r="J15" i="49"/>
  <c r="K15" i="49"/>
  <c r="L15" i="49"/>
  <c r="M15" i="49"/>
  <c r="N15" i="49"/>
  <c r="O15" i="49"/>
  <c r="E16" i="49"/>
  <c r="F16" i="49"/>
  <c r="G16" i="49"/>
  <c r="H16" i="49"/>
  <c r="I16" i="49"/>
  <c r="J16" i="49"/>
  <c r="K16" i="49"/>
  <c r="L16" i="49"/>
  <c r="M16" i="49"/>
  <c r="N16" i="49"/>
  <c r="O16" i="49"/>
  <c r="E17" i="49"/>
  <c r="F17" i="49"/>
  <c r="G17" i="49"/>
  <c r="H17" i="49"/>
  <c r="I17" i="49"/>
  <c r="J17" i="49"/>
  <c r="K17" i="49"/>
  <c r="L17" i="49"/>
  <c r="M17" i="49"/>
  <c r="N17" i="49"/>
  <c r="O17" i="49"/>
  <c r="E18" i="49"/>
  <c r="F18" i="49"/>
  <c r="G18" i="49"/>
  <c r="H18" i="49"/>
  <c r="I18" i="49"/>
  <c r="J18" i="49"/>
  <c r="K18" i="49"/>
  <c r="L18" i="49"/>
  <c r="M18" i="49"/>
  <c r="N18" i="49"/>
  <c r="O18" i="49"/>
  <c r="E19" i="49"/>
  <c r="F19" i="49"/>
  <c r="G19" i="49"/>
  <c r="H19" i="49"/>
  <c r="I19" i="49"/>
  <c r="J19" i="49"/>
  <c r="K19" i="49"/>
  <c r="L19" i="49"/>
  <c r="M19" i="49"/>
  <c r="N19" i="49"/>
  <c r="O19" i="49"/>
  <c r="E20" i="49"/>
  <c r="F20" i="49"/>
  <c r="G20" i="49"/>
  <c r="I20" i="49"/>
  <c r="J20" i="49"/>
  <c r="K20" i="49"/>
  <c r="L20" i="49"/>
  <c r="M20" i="49"/>
  <c r="N20" i="49"/>
  <c r="O20" i="49"/>
  <c r="E21" i="49"/>
  <c r="F21" i="49"/>
  <c r="G21" i="49"/>
  <c r="H21" i="49"/>
  <c r="I21" i="49"/>
  <c r="J21" i="49"/>
  <c r="K21" i="49"/>
  <c r="L21" i="49"/>
  <c r="M21" i="49"/>
  <c r="N21" i="49"/>
  <c r="O21" i="49"/>
  <c r="E22" i="49"/>
  <c r="F22" i="49"/>
  <c r="G22" i="49"/>
  <c r="H22" i="49"/>
  <c r="I22" i="49"/>
  <c r="J22" i="49"/>
  <c r="K22" i="49"/>
  <c r="L22" i="49"/>
  <c r="M22" i="49"/>
  <c r="N22" i="49"/>
  <c r="O22" i="49"/>
  <c r="E23" i="49"/>
  <c r="F23" i="49"/>
  <c r="G23" i="49"/>
  <c r="H23" i="49"/>
  <c r="I23" i="49"/>
  <c r="J23" i="49"/>
  <c r="K23" i="49"/>
  <c r="L23" i="49"/>
  <c r="M23" i="49"/>
  <c r="N23" i="49"/>
  <c r="O23" i="49"/>
  <c r="E24" i="49"/>
  <c r="F24" i="49"/>
  <c r="G24" i="49"/>
  <c r="H24" i="49"/>
  <c r="I24" i="49"/>
  <c r="J24" i="49"/>
  <c r="K24" i="49"/>
  <c r="L24" i="49"/>
  <c r="M24" i="49"/>
  <c r="N24" i="49"/>
  <c r="O24" i="49"/>
  <c r="O14" i="49"/>
  <c r="N14" i="49"/>
  <c r="M14" i="49"/>
  <c r="L14" i="49"/>
  <c r="K14" i="49"/>
  <c r="J14" i="49"/>
  <c r="I14" i="49"/>
  <c r="H14" i="49"/>
  <c r="G14" i="49"/>
  <c r="F14" i="49"/>
  <c r="E14" i="49"/>
  <c r="D15" i="49"/>
  <c r="D16" i="49"/>
  <c r="D17" i="49"/>
  <c r="D18" i="49"/>
  <c r="D19" i="49"/>
  <c r="D20" i="49"/>
  <c r="D21" i="49"/>
  <c r="D22" i="49"/>
  <c r="D23" i="49"/>
  <c r="D24" i="49"/>
  <c r="D14" i="49"/>
  <c r="C73" i="22" l="1"/>
  <c r="C136" i="22" s="1"/>
  <c r="C160" i="22" s="1"/>
  <c r="AQ36" i="3" l="1"/>
  <c r="C10" i="22" l="1"/>
  <c r="C134" i="22" s="1"/>
  <c r="C9" i="22"/>
  <c r="C71" i="22"/>
  <c r="C133" i="22" l="1"/>
  <c r="C156" i="22" s="1"/>
  <c r="C70" i="22"/>
  <c r="P23" i="48"/>
  <c r="P24" i="48"/>
  <c r="P25" i="48"/>
  <c r="P26" i="48"/>
  <c r="P27" i="48"/>
  <c r="P28" i="48"/>
  <c r="P29" i="48"/>
  <c r="P30" i="48"/>
  <c r="P31" i="48"/>
  <c r="P32" i="48"/>
  <c r="P33" i="48"/>
  <c r="P22" i="48"/>
  <c r="R15" i="48" l="1"/>
  <c r="R14" i="48"/>
  <c r="R13" i="48"/>
  <c r="R12" i="48"/>
  <c r="R11" i="48"/>
  <c r="P5" i="48"/>
  <c r="R33" i="48" l="1"/>
  <c r="R22" i="48"/>
  <c r="R23" i="48"/>
  <c r="R24" i="48"/>
  <c r="R25" i="48"/>
  <c r="R26" i="48"/>
  <c r="R27" i="48"/>
  <c r="R28" i="48"/>
  <c r="R29" i="48"/>
  <c r="R30" i="48"/>
  <c r="R31" i="48"/>
  <c r="R32" i="48"/>
  <c r="D82" i="46" l="1"/>
  <c r="E82" i="46"/>
  <c r="M132" i="47" l="1"/>
  <c r="K132" i="47"/>
  <c r="I132" i="47"/>
  <c r="G132" i="47"/>
  <c r="N131" i="47"/>
  <c r="U131" i="47" s="1"/>
  <c r="L131" i="47"/>
  <c r="T131" i="47" s="1"/>
  <c r="J131" i="47"/>
  <c r="S131" i="47" s="1"/>
  <c r="H131" i="47"/>
  <c r="R131" i="47" s="1"/>
  <c r="R132" i="47" s="1"/>
  <c r="N130" i="47"/>
  <c r="U130" i="47" s="1"/>
  <c r="L130" i="47"/>
  <c r="T130" i="47" s="1"/>
  <c r="J130" i="47"/>
  <c r="S130" i="47" s="1"/>
  <c r="N129" i="47"/>
  <c r="U129" i="47" s="1"/>
  <c r="L129" i="47"/>
  <c r="T129" i="47" s="1"/>
  <c r="J129" i="47"/>
  <c r="S129" i="47" s="1"/>
  <c r="N128" i="47"/>
  <c r="U128" i="47" s="1"/>
  <c r="L128" i="47"/>
  <c r="T128" i="47" s="1"/>
  <c r="J128" i="47"/>
  <c r="S128" i="47" s="1"/>
  <c r="N127" i="47"/>
  <c r="U127" i="47" s="1"/>
  <c r="L127" i="47"/>
  <c r="T127" i="47" s="1"/>
  <c r="J127" i="47"/>
  <c r="S127" i="47" s="1"/>
  <c r="M91" i="47"/>
  <c r="K91" i="47"/>
  <c r="I91" i="47"/>
  <c r="G91" i="47"/>
  <c r="U90" i="47"/>
  <c r="T90" i="47"/>
  <c r="S90" i="47"/>
  <c r="R90" i="47"/>
  <c r="N89" i="47"/>
  <c r="U89" i="47" s="1"/>
  <c r="L89" i="47"/>
  <c r="T89" i="47" s="1"/>
  <c r="J89" i="47"/>
  <c r="S89" i="47" s="1"/>
  <c r="H89" i="47"/>
  <c r="R89" i="47" s="1"/>
  <c r="N88" i="47"/>
  <c r="U88" i="47" s="1"/>
  <c r="L88" i="47"/>
  <c r="T88" i="47" s="1"/>
  <c r="J88" i="47"/>
  <c r="S88" i="47" s="1"/>
  <c r="H88" i="47"/>
  <c r="R88" i="47" s="1"/>
  <c r="N87" i="47"/>
  <c r="U87" i="47" s="1"/>
  <c r="L87" i="47"/>
  <c r="T87" i="47" s="1"/>
  <c r="J87" i="47"/>
  <c r="S87" i="47" s="1"/>
  <c r="H87" i="47"/>
  <c r="R87" i="47" s="1"/>
  <c r="U86" i="47"/>
  <c r="T86" i="47"/>
  <c r="S86" i="47"/>
  <c r="R86" i="47"/>
  <c r="N85" i="47"/>
  <c r="U85" i="47" s="1"/>
  <c r="L85" i="47"/>
  <c r="T85" i="47" s="1"/>
  <c r="J85" i="47"/>
  <c r="S85" i="47" s="1"/>
  <c r="H85" i="47"/>
  <c r="R85" i="47" s="1"/>
  <c r="N84" i="47"/>
  <c r="U84" i="47" s="1"/>
  <c r="L84" i="47"/>
  <c r="T84" i="47" s="1"/>
  <c r="J84" i="47"/>
  <c r="S84" i="47" s="1"/>
  <c r="H84" i="47"/>
  <c r="R84" i="47" s="1"/>
  <c r="N83" i="47"/>
  <c r="U83" i="47" s="1"/>
  <c r="L83" i="47"/>
  <c r="T83" i="47" s="1"/>
  <c r="J83" i="47"/>
  <c r="S83" i="47" s="1"/>
  <c r="H83" i="47"/>
  <c r="R83" i="47" s="1"/>
  <c r="N82" i="47"/>
  <c r="U82" i="47" s="1"/>
  <c r="L82" i="47"/>
  <c r="T82" i="47" s="1"/>
  <c r="J82" i="47"/>
  <c r="S82" i="47" s="1"/>
  <c r="H82" i="47"/>
  <c r="R82" i="47" s="1"/>
  <c r="N81" i="47"/>
  <c r="U81" i="47" s="1"/>
  <c r="L81" i="47"/>
  <c r="T81" i="47" s="1"/>
  <c r="J81" i="47"/>
  <c r="S81" i="47" s="1"/>
  <c r="H81" i="47"/>
  <c r="R81" i="47" s="1"/>
  <c r="N80" i="47"/>
  <c r="U80" i="47" s="1"/>
  <c r="L80" i="47"/>
  <c r="T80" i="47" s="1"/>
  <c r="J80" i="47"/>
  <c r="S80" i="47" s="1"/>
  <c r="H80" i="47"/>
  <c r="R80" i="47" s="1"/>
  <c r="N79" i="47"/>
  <c r="U79" i="47" s="1"/>
  <c r="L79" i="47"/>
  <c r="T79" i="47" s="1"/>
  <c r="J79" i="47"/>
  <c r="S79" i="47" s="1"/>
  <c r="H79" i="47"/>
  <c r="R79" i="47" s="1"/>
  <c r="N78" i="47"/>
  <c r="U78" i="47" s="1"/>
  <c r="L78" i="47"/>
  <c r="T78" i="47" s="1"/>
  <c r="J78" i="47"/>
  <c r="S78" i="47" s="1"/>
  <c r="H78" i="47"/>
  <c r="R78" i="47" s="1"/>
  <c r="N77" i="47"/>
  <c r="U77" i="47" s="1"/>
  <c r="L77" i="47"/>
  <c r="T77" i="47" s="1"/>
  <c r="J77" i="47"/>
  <c r="S77" i="47" s="1"/>
  <c r="H77" i="47"/>
  <c r="R77" i="47" s="1"/>
  <c r="N76" i="47"/>
  <c r="U76" i="47" s="1"/>
  <c r="L76" i="47"/>
  <c r="T76" i="47" s="1"/>
  <c r="J76" i="47"/>
  <c r="S76" i="47" s="1"/>
  <c r="H76" i="47"/>
  <c r="R76" i="47" s="1"/>
  <c r="N75" i="47"/>
  <c r="U75" i="47" s="1"/>
  <c r="L75" i="47"/>
  <c r="T75" i="47" s="1"/>
  <c r="J75" i="47"/>
  <c r="S75" i="47" s="1"/>
  <c r="H75" i="47"/>
  <c r="R75" i="47" s="1"/>
  <c r="N74" i="47"/>
  <c r="U74" i="47" s="1"/>
  <c r="L74" i="47"/>
  <c r="T74" i="47" s="1"/>
  <c r="J74" i="47"/>
  <c r="S74" i="47" s="1"/>
  <c r="H74" i="47"/>
  <c r="R74" i="47" s="1"/>
  <c r="N73" i="47"/>
  <c r="U73" i="47" s="1"/>
  <c r="L73" i="47"/>
  <c r="T73" i="47" s="1"/>
  <c r="J73" i="47"/>
  <c r="S73" i="47" s="1"/>
  <c r="H73" i="47"/>
  <c r="R73" i="47" s="1"/>
  <c r="N72" i="47"/>
  <c r="U72" i="47" s="1"/>
  <c r="L72" i="47"/>
  <c r="T72" i="47" s="1"/>
  <c r="J72" i="47"/>
  <c r="S72" i="47" s="1"/>
  <c r="H72" i="47"/>
  <c r="R72" i="47" s="1"/>
  <c r="N71" i="47"/>
  <c r="U71" i="47" s="1"/>
  <c r="L71" i="47"/>
  <c r="T71" i="47" s="1"/>
  <c r="J71" i="47"/>
  <c r="S71" i="47" s="1"/>
  <c r="H71" i="47"/>
  <c r="R71" i="47" s="1"/>
  <c r="N70" i="47"/>
  <c r="U70" i="47" s="1"/>
  <c r="L70" i="47"/>
  <c r="T70" i="47" s="1"/>
  <c r="J70" i="47"/>
  <c r="S70" i="47" s="1"/>
  <c r="H70" i="47"/>
  <c r="R70" i="47" s="1"/>
  <c r="N69" i="47"/>
  <c r="U69" i="47" s="1"/>
  <c r="L69" i="47"/>
  <c r="T69" i="47" s="1"/>
  <c r="J69" i="47"/>
  <c r="S69" i="47" s="1"/>
  <c r="H69" i="47"/>
  <c r="R69" i="47" s="1"/>
  <c r="U68" i="47"/>
  <c r="T68" i="47"/>
  <c r="S68" i="47"/>
  <c r="R68" i="47"/>
  <c r="M19" i="47"/>
  <c r="J19" i="47"/>
  <c r="G19" i="47"/>
  <c r="D19" i="47"/>
  <c r="N18" i="47"/>
  <c r="O18" i="47" s="1"/>
  <c r="K18" i="47"/>
  <c r="L18" i="47" s="1"/>
  <c r="H18" i="47"/>
  <c r="I18" i="47" s="1"/>
  <c r="E18" i="47"/>
  <c r="F18" i="47" s="1"/>
  <c r="O17" i="47"/>
  <c r="L17" i="47"/>
  <c r="I17" i="47"/>
  <c r="F17" i="47"/>
  <c r="N16" i="47"/>
  <c r="O16" i="47" s="1"/>
  <c r="K16" i="47"/>
  <c r="L16" i="47" s="1"/>
  <c r="H16" i="47"/>
  <c r="I16" i="47" s="1"/>
  <c r="E16" i="47"/>
  <c r="F16" i="47" s="1"/>
  <c r="O15" i="47"/>
  <c r="L15" i="47"/>
  <c r="I15" i="47"/>
  <c r="F15" i="47"/>
  <c r="O14" i="47"/>
  <c r="L14" i="47"/>
  <c r="I14" i="47"/>
  <c r="F14" i="47"/>
  <c r="N13" i="47"/>
  <c r="O13" i="47" s="1"/>
  <c r="K13" i="47"/>
  <c r="L13" i="47" s="1"/>
  <c r="H13" i="47"/>
  <c r="I13" i="47" s="1"/>
  <c r="E13" i="47"/>
  <c r="F13" i="47" s="1"/>
  <c r="N12" i="47"/>
  <c r="O12" i="47" s="1"/>
  <c r="K12" i="47"/>
  <c r="L12" i="47" s="1"/>
  <c r="H12" i="47"/>
  <c r="I12" i="47" s="1"/>
  <c r="E12" i="47"/>
  <c r="F12" i="47" s="1"/>
  <c r="O11" i="47"/>
  <c r="L11" i="47"/>
  <c r="I11" i="47"/>
  <c r="F11" i="47"/>
  <c r="N10" i="47"/>
  <c r="O10" i="47" s="1"/>
  <c r="K10" i="47"/>
  <c r="L10" i="47" s="1"/>
  <c r="H10" i="47"/>
  <c r="I10" i="47" s="1"/>
  <c r="E10" i="47"/>
  <c r="F10" i="47" s="1"/>
  <c r="N9" i="47"/>
  <c r="O9" i="47" s="1"/>
  <c r="K9" i="47"/>
  <c r="L9" i="47" s="1"/>
  <c r="H9" i="47"/>
  <c r="I9" i="47" s="1"/>
  <c r="E9" i="47"/>
  <c r="F9" i="47" s="1"/>
  <c r="T132" i="47" l="1"/>
  <c r="P19" i="47"/>
  <c r="P132" i="47"/>
  <c r="O19" i="47"/>
  <c r="I19" i="47"/>
  <c r="P91" i="47"/>
  <c r="T91" i="47"/>
  <c r="S132" i="47"/>
  <c r="R91" i="47"/>
  <c r="U91" i="47"/>
  <c r="F19" i="47"/>
  <c r="S91" i="47"/>
  <c r="U132" i="47"/>
  <c r="L19" i="47"/>
  <c r="D135" i="47" l="1"/>
  <c r="D138" i="47" s="1"/>
  <c r="D22" i="47"/>
  <c r="D94" i="47"/>
  <c r="D140" i="47" l="1"/>
  <c r="D99" i="47"/>
  <c r="D97" i="47"/>
  <c r="D25" i="47"/>
  <c r="D27" i="47"/>
  <c r="D84" i="46" l="1"/>
  <c r="D80" i="46"/>
  <c r="D45" i="46"/>
  <c r="D41" i="46"/>
  <c r="H116" i="46"/>
  <c r="I116" i="46" s="1"/>
  <c r="H115" i="46"/>
  <c r="I115" i="46" s="1"/>
  <c r="H114" i="46"/>
  <c r="I114" i="46" s="1"/>
  <c r="H113" i="46"/>
  <c r="I113" i="46" s="1"/>
  <c r="H112" i="46"/>
  <c r="I112" i="46" s="1"/>
  <c r="H111" i="46"/>
  <c r="I111" i="46" s="1"/>
  <c r="H110" i="46"/>
  <c r="I110" i="46" s="1"/>
  <c r="H109" i="46"/>
  <c r="I109" i="46" s="1"/>
  <c r="H108" i="46"/>
  <c r="I108" i="46" s="1"/>
  <c r="H107" i="46"/>
  <c r="I107" i="46" s="1"/>
  <c r="H106" i="46"/>
  <c r="I106" i="46" s="1"/>
  <c r="H105" i="46"/>
  <c r="I105" i="46" s="1"/>
  <c r="H104" i="46"/>
  <c r="I104" i="46" s="1"/>
  <c r="H103" i="46"/>
  <c r="I103" i="46" s="1"/>
  <c r="H102" i="46"/>
  <c r="I102" i="46" s="1"/>
  <c r="H101" i="46"/>
  <c r="I101" i="46" s="1"/>
  <c r="H100" i="46"/>
  <c r="I100" i="46" s="1"/>
  <c r="H99" i="46"/>
  <c r="I99" i="46" s="1"/>
  <c r="H98" i="46"/>
  <c r="I98" i="46" s="1"/>
  <c r="H97" i="46"/>
  <c r="I97" i="46" s="1"/>
  <c r="H96" i="46"/>
  <c r="I96" i="46" s="1"/>
  <c r="H95" i="46"/>
  <c r="I95" i="46" s="1"/>
  <c r="H94" i="46"/>
  <c r="I94" i="46" s="1"/>
  <c r="H93" i="46"/>
  <c r="I93" i="46" s="1"/>
  <c r="H92" i="46"/>
  <c r="I92" i="46" s="1"/>
  <c r="H91" i="46"/>
  <c r="I91" i="46" s="1"/>
  <c r="H90" i="46"/>
  <c r="I90" i="46" s="1"/>
  <c r="H89" i="46"/>
  <c r="I89" i="46" s="1"/>
  <c r="H88" i="46"/>
  <c r="I88" i="46" s="1"/>
  <c r="H87" i="46"/>
  <c r="I87" i="46" s="1"/>
  <c r="H82" i="46"/>
  <c r="I82" i="46" s="1"/>
  <c r="M77" i="46"/>
  <c r="N77" i="46" s="1"/>
  <c r="I77" i="46"/>
  <c r="J77" i="46" s="1"/>
  <c r="M76" i="46"/>
  <c r="N76" i="46" s="1"/>
  <c r="I76" i="46"/>
  <c r="J76" i="46" s="1"/>
  <c r="M75" i="46"/>
  <c r="N75" i="46" s="1"/>
  <c r="I75" i="46"/>
  <c r="J75" i="46" s="1"/>
  <c r="M74" i="46"/>
  <c r="N74" i="46" s="1"/>
  <c r="I74" i="46"/>
  <c r="J74" i="46" s="1"/>
  <c r="M73" i="46"/>
  <c r="N73" i="46" s="1"/>
  <c r="I73" i="46"/>
  <c r="J73" i="46" s="1"/>
  <c r="M72" i="46"/>
  <c r="N72" i="46" s="1"/>
  <c r="I72" i="46"/>
  <c r="J72" i="46" s="1"/>
  <c r="M71" i="46"/>
  <c r="N71" i="46" s="1"/>
  <c r="I71" i="46"/>
  <c r="J71" i="46" s="1"/>
  <c r="M70" i="46"/>
  <c r="N70" i="46" s="1"/>
  <c r="I70" i="46"/>
  <c r="J70" i="46" s="1"/>
  <c r="M69" i="46"/>
  <c r="N69" i="46" s="1"/>
  <c r="I69" i="46"/>
  <c r="J69" i="46" s="1"/>
  <c r="M68" i="46"/>
  <c r="N68" i="46" s="1"/>
  <c r="I68" i="46"/>
  <c r="J68" i="46" s="1"/>
  <c r="M67" i="46"/>
  <c r="N67" i="46" s="1"/>
  <c r="I67" i="46"/>
  <c r="J67" i="46" s="1"/>
  <c r="M66" i="46"/>
  <c r="N66" i="46" s="1"/>
  <c r="I66" i="46"/>
  <c r="J66" i="46" s="1"/>
  <c r="M65" i="46"/>
  <c r="N65" i="46" s="1"/>
  <c r="I65" i="46"/>
  <c r="J65" i="46" s="1"/>
  <c r="M64" i="46"/>
  <c r="N64" i="46" s="1"/>
  <c r="I64" i="46"/>
  <c r="J64" i="46" s="1"/>
  <c r="M63" i="46"/>
  <c r="N63" i="46" s="1"/>
  <c r="I63" i="46"/>
  <c r="J63" i="46" s="1"/>
  <c r="M62" i="46"/>
  <c r="N62" i="46" s="1"/>
  <c r="I62" i="46"/>
  <c r="J62" i="46" s="1"/>
  <c r="M61" i="46"/>
  <c r="N61" i="46" s="1"/>
  <c r="I61" i="46"/>
  <c r="J61" i="46" s="1"/>
  <c r="M60" i="46"/>
  <c r="N60" i="46" s="1"/>
  <c r="I60" i="46"/>
  <c r="J60" i="46" s="1"/>
  <c r="M59" i="46"/>
  <c r="N59" i="46" s="1"/>
  <c r="I59" i="46"/>
  <c r="J59" i="46" s="1"/>
  <c r="M58" i="46"/>
  <c r="N58" i="46" s="1"/>
  <c r="I58" i="46"/>
  <c r="J58" i="46" s="1"/>
  <c r="M57" i="46"/>
  <c r="N57" i="46" s="1"/>
  <c r="I57" i="46"/>
  <c r="J57" i="46" s="1"/>
  <c r="M56" i="46"/>
  <c r="N56" i="46" s="1"/>
  <c r="I56" i="46"/>
  <c r="J56" i="46" s="1"/>
  <c r="M55" i="46"/>
  <c r="N55" i="46" s="1"/>
  <c r="I55" i="46"/>
  <c r="J55" i="46" s="1"/>
  <c r="M54" i="46"/>
  <c r="N54" i="46" s="1"/>
  <c r="I54" i="46"/>
  <c r="J54" i="46" s="1"/>
  <c r="M53" i="46"/>
  <c r="N53" i="46" s="1"/>
  <c r="I53" i="46"/>
  <c r="J53" i="46" s="1"/>
  <c r="M52" i="46"/>
  <c r="N52" i="46" s="1"/>
  <c r="I52" i="46"/>
  <c r="J52" i="46" s="1"/>
  <c r="M51" i="46"/>
  <c r="N51" i="46" s="1"/>
  <c r="I51" i="46"/>
  <c r="J51" i="46" s="1"/>
  <c r="M50" i="46"/>
  <c r="N50" i="46" s="1"/>
  <c r="I50" i="46"/>
  <c r="J50" i="46" s="1"/>
  <c r="M49" i="46"/>
  <c r="N49" i="46" s="1"/>
  <c r="I49" i="46"/>
  <c r="J49" i="46" s="1"/>
  <c r="M48" i="46"/>
  <c r="N48" i="46" s="1"/>
  <c r="I48" i="46"/>
  <c r="J48" i="46" s="1"/>
  <c r="H43" i="46"/>
  <c r="E43" i="46"/>
  <c r="D43" i="46"/>
  <c r="M38" i="46"/>
  <c r="N38" i="46" s="1"/>
  <c r="I38" i="46"/>
  <c r="J38" i="46" s="1"/>
  <c r="M37" i="46"/>
  <c r="N37" i="46" s="1"/>
  <c r="I37" i="46"/>
  <c r="J37" i="46" s="1"/>
  <c r="M36" i="46"/>
  <c r="N36" i="46" s="1"/>
  <c r="I36" i="46"/>
  <c r="J36" i="46" s="1"/>
  <c r="M35" i="46"/>
  <c r="N35" i="46" s="1"/>
  <c r="I35" i="46"/>
  <c r="J35" i="46" s="1"/>
  <c r="M34" i="46"/>
  <c r="N34" i="46" s="1"/>
  <c r="I34" i="46"/>
  <c r="J34" i="46" s="1"/>
  <c r="M33" i="46"/>
  <c r="N33" i="46" s="1"/>
  <c r="I33" i="46"/>
  <c r="J33" i="46" s="1"/>
  <c r="M32" i="46"/>
  <c r="N32" i="46" s="1"/>
  <c r="I32" i="46"/>
  <c r="J32" i="46" s="1"/>
  <c r="M31" i="46"/>
  <c r="N31" i="46" s="1"/>
  <c r="I31" i="46"/>
  <c r="J31" i="46" s="1"/>
  <c r="M30" i="46"/>
  <c r="N30" i="46" s="1"/>
  <c r="I30" i="46"/>
  <c r="J30" i="46" s="1"/>
  <c r="M29" i="46"/>
  <c r="N29" i="46" s="1"/>
  <c r="I29" i="46"/>
  <c r="J29" i="46" s="1"/>
  <c r="M28" i="46"/>
  <c r="N28" i="46" s="1"/>
  <c r="I28" i="46"/>
  <c r="J28" i="46" s="1"/>
  <c r="M27" i="46"/>
  <c r="N27" i="46" s="1"/>
  <c r="I27" i="46"/>
  <c r="J27" i="46" s="1"/>
  <c r="M26" i="46"/>
  <c r="N26" i="46" s="1"/>
  <c r="I26" i="46"/>
  <c r="J26" i="46" s="1"/>
  <c r="M25" i="46"/>
  <c r="N25" i="46" s="1"/>
  <c r="I25" i="46"/>
  <c r="J25" i="46" s="1"/>
  <c r="M24" i="46"/>
  <c r="N24" i="46" s="1"/>
  <c r="I24" i="46"/>
  <c r="J24" i="46" s="1"/>
  <c r="M23" i="46"/>
  <c r="N23" i="46" s="1"/>
  <c r="I23" i="46"/>
  <c r="J23" i="46" s="1"/>
  <c r="M22" i="46"/>
  <c r="N22" i="46" s="1"/>
  <c r="I22" i="46"/>
  <c r="J22" i="46" s="1"/>
  <c r="M21" i="46"/>
  <c r="N21" i="46" s="1"/>
  <c r="I21" i="46"/>
  <c r="J21" i="46" s="1"/>
  <c r="M20" i="46"/>
  <c r="N20" i="46" s="1"/>
  <c r="I20" i="46"/>
  <c r="J20" i="46" s="1"/>
  <c r="M19" i="46"/>
  <c r="N19" i="46" s="1"/>
  <c r="I19" i="46"/>
  <c r="J19" i="46" s="1"/>
  <c r="M18" i="46"/>
  <c r="N18" i="46" s="1"/>
  <c r="I18" i="46"/>
  <c r="J18" i="46" s="1"/>
  <c r="M17" i="46"/>
  <c r="N17" i="46" s="1"/>
  <c r="I17" i="46"/>
  <c r="J17" i="46" s="1"/>
  <c r="M16" i="46"/>
  <c r="N16" i="46" s="1"/>
  <c r="I16" i="46"/>
  <c r="J16" i="46" s="1"/>
  <c r="M15" i="46"/>
  <c r="N15" i="46" s="1"/>
  <c r="I15" i="46"/>
  <c r="J15" i="46" s="1"/>
  <c r="J9" i="46"/>
  <c r="C135" i="22" l="1"/>
  <c r="K9" i="46"/>
  <c r="I43" i="46"/>
  <c r="A143" i="22"/>
  <c r="A144" i="22"/>
  <c r="C143" i="22"/>
  <c r="J87" i="46"/>
  <c r="K87" i="46"/>
  <c r="J88" i="46"/>
  <c r="K88" i="46"/>
  <c r="J89" i="46"/>
  <c r="K89" i="46"/>
  <c r="J90" i="46"/>
  <c r="K90" i="46"/>
  <c r="J91" i="46"/>
  <c r="K91" i="46"/>
  <c r="J92" i="46"/>
  <c r="K92" i="46"/>
  <c r="J93" i="46"/>
  <c r="K93" i="46"/>
  <c r="J94" i="46"/>
  <c r="K94" i="46"/>
  <c r="J95" i="46"/>
  <c r="K95" i="46"/>
  <c r="J96" i="46"/>
  <c r="K96" i="46"/>
  <c r="J97" i="46"/>
  <c r="K97" i="46"/>
  <c r="J98" i="46"/>
  <c r="K98" i="46"/>
  <c r="J99" i="46"/>
  <c r="K99" i="46"/>
  <c r="J100" i="46"/>
  <c r="K100" i="46"/>
  <c r="J101" i="46"/>
  <c r="K101" i="46"/>
  <c r="J102" i="46"/>
  <c r="K102" i="46"/>
  <c r="J103" i="46"/>
  <c r="K103" i="46"/>
  <c r="J104" i="46"/>
  <c r="L104" i="46" s="1"/>
  <c r="N104" i="46" s="1"/>
  <c r="K104" i="46"/>
  <c r="J105" i="46"/>
  <c r="K105" i="46"/>
  <c r="J106" i="46"/>
  <c r="K106" i="46"/>
  <c r="J107" i="46"/>
  <c r="K107" i="46"/>
  <c r="J108" i="46"/>
  <c r="K108" i="46"/>
  <c r="J109" i="46"/>
  <c r="K109" i="46"/>
  <c r="J110" i="46"/>
  <c r="K110" i="46"/>
  <c r="J111" i="46"/>
  <c r="K111" i="46"/>
  <c r="J112" i="46"/>
  <c r="K112" i="46"/>
  <c r="J113" i="46"/>
  <c r="K113" i="46"/>
  <c r="J114" i="46"/>
  <c r="K114" i="46"/>
  <c r="J115" i="46"/>
  <c r="K115" i="46"/>
  <c r="J116" i="46"/>
  <c r="K116" i="46"/>
  <c r="M9" i="46" l="1"/>
  <c r="N9" i="46" s="1"/>
  <c r="C72" i="22"/>
  <c r="L92" i="46"/>
  <c r="N92" i="46" s="1"/>
  <c r="L116" i="46"/>
  <c r="N116" i="46" s="1"/>
  <c r="L113" i="46"/>
  <c r="N113" i="46" s="1"/>
  <c r="L101" i="46"/>
  <c r="N101" i="46" s="1"/>
  <c r="L89" i="46"/>
  <c r="N89" i="46" s="1"/>
  <c r="L98" i="46"/>
  <c r="N98" i="46" s="1"/>
  <c r="L110" i="46"/>
  <c r="N110" i="46" s="1"/>
  <c r="L107" i="46"/>
  <c r="N107" i="46" s="1"/>
  <c r="L95" i="46"/>
  <c r="N95" i="46" s="1"/>
  <c r="C144" i="22"/>
  <c r="C152" i="22"/>
  <c r="L111" i="46"/>
  <c r="N111" i="46" s="1"/>
  <c r="L96" i="46"/>
  <c r="N96" i="46" s="1"/>
  <c r="L93" i="46"/>
  <c r="N93" i="46" s="1"/>
  <c r="L90" i="46"/>
  <c r="N90" i="46" s="1"/>
  <c r="L87" i="46"/>
  <c r="N87" i="46" s="1"/>
  <c r="L114" i="46"/>
  <c r="N114" i="46" s="1"/>
  <c r="L108" i="46"/>
  <c r="N108" i="46" s="1"/>
  <c r="L105" i="46"/>
  <c r="N105" i="46" s="1"/>
  <c r="L102" i="46"/>
  <c r="N102" i="46" s="1"/>
  <c r="L99" i="46"/>
  <c r="N99" i="46" s="1"/>
  <c r="L115" i="46"/>
  <c r="N115" i="46" s="1"/>
  <c r="L112" i="46"/>
  <c r="N112" i="46" s="1"/>
  <c r="L109" i="46"/>
  <c r="N109" i="46" s="1"/>
  <c r="L106" i="46"/>
  <c r="N106" i="46" s="1"/>
  <c r="L103" i="46"/>
  <c r="N103" i="46" s="1"/>
  <c r="L100" i="46"/>
  <c r="N100" i="46" s="1"/>
  <c r="L97" i="46"/>
  <c r="N97" i="46" s="1"/>
  <c r="L94" i="46"/>
  <c r="N94" i="46" s="1"/>
  <c r="L91" i="46"/>
  <c r="N91" i="46" s="1"/>
  <c r="L88" i="46"/>
  <c r="N88" i="46" s="1"/>
  <c r="C80" i="22" l="1"/>
  <c r="B8" i="45" l="1"/>
  <c r="BH3" i="45"/>
  <c r="BH4" i="45" l="1"/>
  <c r="BH5" i="45" l="1"/>
  <c r="BH6" i="45" l="1"/>
  <c r="BH7" i="45" l="1"/>
  <c r="BH8" i="45" l="1"/>
  <c r="BH9" i="45" l="1"/>
  <c r="BH10" i="45" l="1"/>
  <c r="BH11" i="45" l="1"/>
  <c r="BH12" i="45" l="1"/>
  <c r="BH13" i="45" l="1"/>
  <c r="BH14" i="45" l="1"/>
  <c r="BH15" i="45" l="1"/>
  <c r="BH16" i="45" l="1"/>
  <c r="BH17" i="45" l="1"/>
  <c r="BH18" i="45" l="1"/>
  <c r="BH19" i="45" l="1"/>
  <c r="BH20" i="45" l="1"/>
  <c r="BH21" i="45" l="1"/>
  <c r="BH22" i="45" l="1"/>
  <c r="BH23" i="45" l="1"/>
  <c r="BH24" i="45" l="1"/>
  <c r="BH25" i="45" l="1"/>
  <c r="BH26" i="45" l="1"/>
  <c r="BH27" i="45" l="1"/>
  <c r="BH28" i="45" l="1"/>
  <c r="BH29" i="45" l="1"/>
  <c r="BH30" i="45" l="1"/>
  <c r="BH31" i="45" l="1"/>
  <c r="BH32" i="45" l="1"/>
  <c r="BH33" i="45" l="1"/>
  <c r="BH34" i="45" l="1"/>
  <c r="BH35" i="45" l="1"/>
  <c r="BH36" i="45" l="1"/>
  <c r="BH37" i="45" l="1"/>
  <c r="BH38" i="45" l="1"/>
  <c r="BH39" i="45" l="1"/>
  <c r="BH40" i="45" l="1"/>
  <c r="BH41" i="45" l="1"/>
  <c r="BH42" i="45" l="1"/>
  <c r="BH43" i="45" l="1"/>
  <c r="BH44" i="45" l="1"/>
  <c r="BH45" i="45" l="1"/>
  <c r="BH46" i="45" l="1"/>
  <c r="BH47" i="45" l="1"/>
  <c r="BH48" i="45" l="1"/>
  <c r="BH49" i="45" l="1"/>
  <c r="BH50" i="45" l="1"/>
  <c r="BH51" i="45" l="1"/>
  <c r="BH52" i="45" l="1"/>
  <c r="BH53" i="45" l="1"/>
  <c r="BH54" i="45" l="1"/>
  <c r="BH55" i="45" l="1"/>
  <c r="BH56" i="45" l="1"/>
  <c r="BH57" i="45" s="1"/>
  <c r="BH58" i="45" l="1"/>
  <c r="O20" i="29"/>
  <c r="BH59" i="45" l="1"/>
  <c r="BH60" i="45" l="1"/>
  <c r="BH61" i="45" l="1"/>
  <c r="BH62" i="45" l="1"/>
  <c r="B7" i="1"/>
  <c r="BH63" i="45" l="1"/>
  <c r="G3" i="1"/>
  <c r="AZ35" i="1" s="1"/>
  <c r="BH64" i="45" l="1"/>
  <c r="BH65" i="45" l="1"/>
  <c r="BH66" i="45" l="1"/>
  <c r="AG67" i="28"/>
  <c r="AG66" i="28"/>
  <c r="AG65" i="28"/>
  <c r="AG64" i="28"/>
  <c r="AG63" i="28"/>
  <c r="AG62" i="28"/>
  <c r="AG61" i="28"/>
  <c r="AG60" i="28"/>
  <c r="AG59" i="28"/>
  <c r="AG58" i="28"/>
  <c r="AG57" i="28"/>
  <c r="AG56" i="28"/>
  <c r="AG55" i="28"/>
  <c r="AG54" i="28"/>
  <c r="AG53" i="28"/>
  <c r="AG52" i="28"/>
  <c r="AG51" i="28"/>
  <c r="AG50" i="28"/>
  <c r="AG49" i="28"/>
  <c r="AG48" i="28"/>
  <c r="AG47" i="28"/>
  <c r="AG46" i="28"/>
  <c r="AG45" i="28"/>
  <c r="AG44" i="28"/>
  <c r="AG43" i="28"/>
  <c r="AG42" i="28"/>
  <c r="AG41" i="28"/>
  <c r="AG40" i="28"/>
  <c r="AG39" i="28"/>
  <c r="AG38" i="28"/>
  <c r="AG37" i="28"/>
  <c r="AG36" i="28"/>
  <c r="AG35" i="28"/>
  <c r="AG34" i="28"/>
  <c r="AG33" i="28"/>
  <c r="AG32" i="28"/>
  <c r="AG31" i="28"/>
  <c r="AG30" i="28"/>
  <c r="AG29" i="28"/>
  <c r="AG28" i="28"/>
  <c r="AG27" i="28"/>
  <c r="AG26" i="28"/>
  <c r="AG25" i="28"/>
  <c r="AG24" i="28"/>
  <c r="AG23" i="28"/>
  <c r="AG22" i="28"/>
  <c r="AG21" i="28"/>
  <c r="AG20" i="28"/>
  <c r="AG19" i="28"/>
  <c r="AG18" i="28"/>
  <c r="AG17" i="28"/>
  <c r="AG16" i="28"/>
  <c r="AG15" i="28"/>
  <c r="AG14" i="28"/>
  <c r="AG13" i="28"/>
  <c r="AG12" i="28"/>
  <c r="AG11" i="28"/>
  <c r="AG10" i="28"/>
  <c r="AG9" i="28"/>
  <c r="AG8" i="28"/>
  <c r="X6" i="28"/>
  <c r="AC5" i="28"/>
  <c r="X5" i="28"/>
  <c r="AC4" i="28"/>
  <c r="X4" i="28"/>
  <c r="AC3" i="28"/>
  <c r="X3" i="28"/>
  <c r="S3" i="28"/>
  <c r="AI1" i="28"/>
  <c r="BH67" i="45" l="1"/>
  <c r="D49" i="52"/>
  <c r="D46" i="52"/>
  <c r="D50" i="52"/>
  <c r="D54" i="52"/>
  <c r="D58" i="52"/>
  <c r="D62" i="52"/>
  <c r="D66" i="52"/>
  <c r="D51" i="52"/>
  <c r="D53" i="52"/>
  <c r="D61" i="52"/>
  <c r="D65" i="52"/>
  <c r="D47" i="52"/>
  <c r="D55" i="52"/>
  <c r="D59" i="52"/>
  <c r="D63" i="52"/>
  <c r="D45" i="52"/>
  <c r="D57" i="52"/>
  <c r="D44" i="52"/>
  <c r="D48" i="52"/>
  <c r="D52" i="52"/>
  <c r="D56" i="52"/>
  <c r="D60" i="52"/>
  <c r="D64" i="52"/>
  <c r="D13" i="52"/>
  <c r="D25" i="52"/>
  <c r="D41" i="52"/>
  <c r="D10" i="52"/>
  <c r="D42" i="52"/>
  <c r="D21" i="52"/>
  <c r="D37" i="52"/>
  <c r="D18" i="52"/>
  <c r="D30" i="52"/>
  <c r="D7" i="52"/>
  <c r="D11" i="52"/>
  <c r="D15" i="52"/>
  <c r="D19" i="52"/>
  <c r="D23" i="52"/>
  <c r="D27" i="52"/>
  <c r="D31" i="52"/>
  <c r="D35" i="52"/>
  <c r="D39" i="52"/>
  <c r="D43" i="52"/>
  <c r="D17" i="52"/>
  <c r="D33" i="52"/>
  <c r="D14" i="52"/>
  <c r="D26" i="52"/>
  <c r="D34" i="52"/>
  <c r="D9" i="52"/>
  <c r="D29" i="52"/>
  <c r="D22" i="52"/>
  <c r="D38" i="52"/>
  <c r="D8" i="52"/>
  <c r="D12" i="52"/>
  <c r="D16" i="52"/>
  <c r="D20" i="52"/>
  <c r="D24" i="52"/>
  <c r="D28" i="52"/>
  <c r="D32" i="52"/>
  <c r="D36" i="52"/>
  <c r="D40" i="52"/>
  <c r="AH40" i="28"/>
  <c r="AH53" i="28"/>
  <c r="AH57" i="28"/>
  <c r="AH59" i="28"/>
  <c r="AH60" i="28"/>
  <c r="AH61" i="28"/>
  <c r="AH65" i="28"/>
  <c r="AH66" i="28"/>
  <c r="AH45" i="28"/>
  <c r="AH56" i="28"/>
  <c r="AH58" i="28"/>
  <c r="AH62" i="28"/>
  <c r="AH63" i="28"/>
  <c r="AH64" i="28"/>
  <c r="AH67" i="28"/>
  <c r="AH51" i="28"/>
  <c r="AH46" i="28"/>
  <c r="AH54" i="28"/>
  <c r="AH47" i="28"/>
  <c r="AH48" i="28"/>
  <c r="AH49" i="28"/>
  <c r="AH50" i="28"/>
  <c r="AH52" i="28"/>
  <c r="AH55" i="28"/>
  <c r="AH17" i="28"/>
  <c r="S4" i="28"/>
  <c r="AH25" i="28"/>
  <c r="AH26" i="28"/>
  <c r="AH27" i="28"/>
  <c r="AH31" i="28"/>
  <c r="AH38" i="28"/>
  <c r="AH9" i="28"/>
  <c r="AH35" i="28"/>
  <c r="AH43" i="28"/>
  <c r="AH8" i="28"/>
  <c r="AJ1" i="28" s="1"/>
  <c r="AH12" i="28"/>
  <c r="AH13" i="28"/>
  <c r="AH14" i="28"/>
  <c r="AH15" i="28"/>
  <c r="AH18" i="28"/>
  <c r="AH21" i="28"/>
  <c r="AH24" i="28"/>
  <c r="AH29" i="28"/>
  <c r="AH32" i="28"/>
  <c r="AH34" i="28"/>
  <c r="AH39" i="28"/>
  <c r="AH42" i="28"/>
  <c r="AH44" i="28"/>
  <c r="AH16" i="28"/>
  <c r="AH20" i="28"/>
  <c r="AH23" i="28"/>
  <c r="AH30" i="28"/>
  <c r="AH37" i="28"/>
  <c r="AI2" i="28"/>
  <c r="AI3" i="28" s="1"/>
  <c r="AH11" i="28"/>
  <c r="AH19" i="28"/>
  <c r="AH22" i="28"/>
  <c r="AH28" i="28"/>
  <c r="AH33" i="28"/>
  <c r="AH36" i="28"/>
  <c r="AH41" i="28"/>
  <c r="AH10" i="28"/>
  <c r="AF34" i="28"/>
  <c r="E69" i="29" l="1"/>
  <c r="E68" i="29"/>
  <c r="E70" i="29"/>
  <c r="H6" i="29" s="1"/>
  <c r="BH68" i="45"/>
  <c r="AJ2" i="28"/>
  <c r="D68" i="52"/>
  <c r="D67" i="52"/>
  <c r="C7" i="1"/>
  <c r="AJ3" i="28"/>
  <c r="AI4" i="28"/>
  <c r="R86" i="29" l="1"/>
  <c r="S86" i="29" s="1"/>
  <c r="R85" i="29"/>
  <c r="S85" i="29" s="1"/>
  <c r="R87" i="29"/>
  <c r="S87" i="29" s="1"/>
  <c r="R88" i="29"/>
  <c r="S88" i="29" s="1"/>
  <c r="BH69" i="45"/>
  <c r="H7" i="29"/>
  <c r="H32" i="29" s="1"/>
  <c r="H8" i="29"/>
  <c r="H35" i="29" s="1"/>
  <c r="M8" i="52"/>
  <c r="N8" i="52" s="1"/>
  <c r="M18" i="52"/>
  <c r="N18" i="52" s="1"/>
  <c r="M10" i="52"/>
  <c r="N10" i="52" s="1"/>
  <c r="M12" i="52"/>
  <c r="N12" i="52" s="1"/>
  <c r="M14" i="52"/>
  <c r="N14" i="52" s="1"/>
  <c r="M16" i="52"/>
  <c r="N16" i="52" s="1"/>
  <c r="M6" i="52"/>
  <c r="N6" i="52" s="1"/>
  <c r="M4" i="52"/>
  <c r="N4" i="52" s="1"/>
  <c r="C71" i="1"/>
  <c r="AI5" i="28"/>
  <c r="AJ4" i="28"/>
  <c r="C69" i="1" l="1"/>
  <c r="K69" i="1" s="1"/>
  <c r="C68" i="1"/>
  <c r="K68" i="1" s="1"/>
  <c r="C70" i="1"/>
  <c r="F67" i="1"/>
  <c r="AZ37" i="3"/>
  <c r="AV34" i="3"/>
  <c r="AZ36" i="3"/>
  <c r="AZ35" i="3"/>
  <c r="BH70" i="45"/>
  <c r="N20" i="52"/>
  <c r="G10" i="52" s="1"/>
  <c r="G35" i="52" s="1"/>
  <c r="G64" i="52" s="1"/>
  <c r="AQ55" i="3"/>
  <c r="A12" i="29"/>
  <c r="A11" i="29"/>
  <c r="AI6" i="28"/>
  <c r="AJ5" i="28"/>
  <c r="AA68" i="1" l="1"/>
  <c r="AQ68" i="1"/>
  <c r="AI68" i="1"/>
  <c r="K67" i="1"/>
  <c r="AA67" i="1"/>
  <c r="AI67" i="1"/>
  <c r="AQ67" i="1"/>
  <c r="S67" i="1"/>
  <c r="BH71" i="45"/>
  <c r="AI7" i="28"/>
  <c r="AJ6" i="28"/>
  <c r="AJ7" i="28" l="1"/>
  <c r="AI8" i="28"/>
  <c r="AI9" i="28" l="1"/>
  <c r="AJ8" i="28"/>
  <c r="AJ9" i="28" l="1"/>
  <c r="AI10" i="28"/>
  <c r="AJ10" i="28" l="1"/>
  <c r="AI11" i="28"/>
  <c r="AI12" i="28" l="1"/>
  <c r="AJ11" i="28"/>
  <c r="AJ12" i="28" l="1"/>
  <c r="AI13" i="28"/>
  <c r="AI14" i="28" l="1"/>
  <c r="AJ13" i="28"/>
  <c r="AI15" i="28" l="1"/>
  <c r="AJ14" i="28"/>
  <c r="AJ15" i="28" l="1"/>
  <c r="AI16" i="28"/>
  <c r="AJ16" i="28" l="1"/>
  <c r="AI17" i="28"/>
  <c r="AJ17" i="28" l="1"/>
  <c r="AI18" i="28"/>
  <c r="AI19" i="28" l="1"/>
  <c r="AJ18" i="28"/>
  <c r="AJ19" i="28" l="1"/>
  <c r="AI20" i="28"/>
  <c r="AI21" i="28" l="1"/>
  <c r="AJ20" i="28"/>
  <c r="AI22" i="28" l="1"/>
  <c r="AJ21" i="28"/>
  <c r="AJ22" i="28" l="1"/>
  <c r="AI23" i="28"/>
  <c r="AJ23" i="28" s="1"/>
  <c r="AI24" i="28" l="1"/>
  <c r="AI25" i="28" l="1"/>
  <c r="AJ24" i="28"/>
  <c r="AI26" i="28" l="1"/>
  <c r="AJ25" i="28"/>
  <c r="AJ26" i="28" l="1"/>
  <c r="AI27" i="28"/>
  <c r="AI28" i="28" l="1"/>
  <c r="AJ27" i="28"/>
  <c r="AJ28" i="28" l="1"/>
  <c r="AI29" i="28"/>
  <c r="AI30" i="28" l="1"/>
  <c r="AJ29" i="28"/>
  <c r="AJ30" i="28" l="1"/>
  <c r="AI31" i="28"/>
  <c r="AJ31" i="28" l="1"/>
  <c r="AI32" i="28"/>
  <c r="AI33" i="28" l="1"/>
  <c r="AJ32" i="28"/>
  <c r="AJ33" i="28" l="1"/>
  <c r="AI34" i="28"/>
  <c r="AI35" i="28" l="1"/>
  <c r="AJ34" i="28"/>
  <c r="AJ35" i="28" l="1"/>
  <c r="AI36" i="28"/>
  <c r="AJ36" i="28" l="1"/>
  <c r="AI37" i="28"/>
  <c r="AI38" i="28" l="1"/>
  <c r="AJ37" i="28"/>
  <c r="AI39" i="28" l="1"/>
  <c r="AJ38" i="28"/>
  <c r="AJ39" i="28" l="1"/>
  <c r="AI40" i="28"/>
  <c r="AI41" i="28" l="1"/>
  <c r="AJ40" i="28"/>
  <c r="AJ41" i="28" l="1"/>
  <c r="AI42" i="28"/>
  <c r="AI43" i="28" l="1"/>
  <c r="AJ42" i="28"/>
  <c r="AJ43" i="28" l="1"/>
  <c r="AI44" i="28"/>
  <c r="AJ44" i="28" l="1"/>
  <c r="AI45" i="28"/>
  <c r="AI46" i="28" l="1"/>
  <c r="AJ45" i="28"/>
  <c r="AJ46" i="28" l="1"/>
  <c r="AI47" i="28"/>
  <c r="AI48" i="28" l="1"/>
  <c r="AJ47" i="28"/>
  <c r="AI49" i="28" l="1"/>
  <c r="AJ48" i="28"/>
  <c r="AJ49" i="28" l="1"/>
  <c r="AI50" i="28"/>
  <c r="AI51" i="28" l="1"/>
  <c r="AJ50" i="28"/>
  <c r="AI52" i="28" l="1"/>
  <c r="AJ51" i="28"/>
  <c r="AJ52" i="28" l="1"/>
  <c r="AI53" i="28"/>
  <c r="AI54" i="28" l="1"/>
  <c r="AJ53" i="28"/>
  <c r="AJ54" i="28" l="1"/>
  <c r="AI55" i="28"/>
  <c r="AI56" i="28" l="1"/>
  <c r="AJ55" i="28"/>
  <c r="AI57" i="28" l="1"/>
  <c r="AJ56" i="28"/>
  <c r="AJ57" i="28" l="1"/>
  <c r="AI58" i="28"/>
  <c r="AI59" i="28" l="1"/>
  <c r="AJ58" i="28"/>
  <c r="AJ59" i="28" l="1"/>
  <c r="AI60" i="28"/>
  <c r="AJ60" i="28" l="1"/>
  <c r="AI61" i="28"/>
  <c r="AI62" i="28" l="1"/>
  <c r="AJ62" i="28" l="1"/>
  <c r="AI63" i="28"/>
  <c r="AJ63" i="28" l="1"/>
  <c r="AI64" i="28"/>
  <c r="AI65" i="28" l="1"/>
  <c r="AJ64" i="28"/>
  <c r="AJ65" i="28" l="1"/>
  <c r="AI66" i="28"/>
  <c r="AI67" i="28" l="1"/>
  <c r="AJ66" i="28"/>
  <c r="AJ67" i="28" l="1"/>
  <c r="AJ71" i="28" l="1"/>
  <c r="AJ72" i="28" l="1"/>
  <c r="AJ73" i="28" l="1"/>
  <c r="AJ74" i="28" l="1"/>
  <c r="AJ76" i="28" l="1"/>
  <c r="BI46" i="45" s="1"/>
  <c r="AJ75" i="28"/>
  <c r="BI57" i="45" l="1"/>
  <c r="BI66" i="45"/>
  <c r="BI58" i="45"/>
  <c r="BI60" i="45"/>
  <c r="BI61" i="45"/>
  <c r="BI62" i="45"/>
  <c r="BI63" i="45"/>
  <c r="BI64" i="45"/>
  <c r="BI65" i="45"/>
  <c r="BI68" i="45"/>
  <c r="BI59" i="45"/>
  <c r="BI70" i="45"/>
  <c r="BI67" i="45"/>
  <c r="BI71" i="45"/>
  <c r="BI69" i="45"/>
  <c r="BI5" i="45"/>
  <c r="F8" i="45" s="1"/>
  <c r="BI7" i="45"/>
  <c r="H8" i="45" s="1"/>
  <c r="BI6" i="45"/>
  <c r="G8" i="45" s="1"/>
  <c r="BI9" i="45"/>
  <c r="J8" i="45" s="1"/>
  <c r="BI8" i="45"/>
  <c r="I8" i="45" s="1"/>
  <c r="BI10" i="45"/>
  <c r="K8" i="45" s="1"/>
  <c r="BI11" i="45"/>
  <c r="L8" i="45" s="1"/>
  <c r="BI12" i="45"/>
  <c r="M8" i="45" s="1"/>
  <c r="BI14" i="45"/>
  <c r="O8" i="45" s="1"/>
  <c r="BI13" i="45"/>
  <c r="N8" i="45" s="1"/>
  <c r="BI15" i="45"/>
  <c r="P8" i="45" s="1"/>
  <c r="BI17" i="45"/>
  <c r="R8" i="45" s="1"/>
  <c r="BI19" i="45"/>
  <c r="T8" i="45" s="1"/>
  <c r="BI16" i="45"/>
  <c r="Q8" i="45" s="1"/>
  <c r="BI18" i="45"/>
  <c r="S8" i="45" s="1"/>
  <c r="BI21" i="45"/>
  <c r="V8" i="45" s="1"/>
  <c r="BI20" i="45"/>
  <c r="U8" i="45" s="1"/>
  <c r="BI23" i="45"/>
  <c r="X8" i="45" s="1"/>
  <c r="BI22" i="45"/>
  <c r="W8" i="45" s="1"/>
  <c r="BI24" i="45"/>
  <c r="Y8" i="45" s="1"/>
  <c r="BI26" i="45"/>
  <c r="AA8" i="45" s="1"/>
  <c r="BI25" i="45"/>
  <c r="Z8" i="45" s="1"/>
  <c r="BI28" i="45"/>
  <c r="AC8" i="45" s="1"/>
  <c r="BI27" i="45"/>
  <c r="AB8" i="45" s="1"/>
  <c r="BI32" i="45"/>
  <c r="AG8" i="45" s="1"/>
  <c r="BI31" i="45"/>
  <c r="AF8" i="45" s="1"/>
  <c r="BI29" i="45"/>
  <c r="AD8" i="45" s="1"/>
  <c r="BI30" i="45"/>
  <c r="AE8" i="45" s="1"/>
  <c r="BI33" i="45"/>
  <c r="AH8" i="45" s="1"/>
  <c r="BI35" i="45"/>
  <c r="AJ8" i="45" s="1"/>
  <c r="BI34" i="45"/>
  <c r="AI8" i="45" s="1"/>
  <c r="BI37" i="45"/>
  <c r="AL8" i="45" s="1"/>
  <c r="BI39" i="45"/>
  <c r="AN8" i="45" s="1"/>
  <c r="BI36" i="45"/>
  <c r="AK8" i="45" s="1"/>
  <c r="BI41" i="45"/>
  <c r="AP8" i="45" s="1"/>
  <c r="BI38" i="45"/>
  <c r="AM8" i="45" s="1"/>
  <c r="BI42" i="45"/>
  <c r="AQ8" i="45" s="1"/>
  <c r="BI40" i="45"/>
  <c r="AO8" i="45" s="1"/>
  <c r="BI44" i="45"/>
  <c r="AS8" i="45" s="1"/>
  <c r="BI43" i="45"/>
  <c r="AR8" i="45" s="1"/>
  <c r="BI45" i="45"/>
  <c r="AT8" i="45" s="1"/>
  <c r="AU8" i="45"/>
  <c r="BI48" i="45"/>
  <c r="AW8" i="45" s="1"/>
  <c r="BI47" i="45"/>
  <c r="AV8" i="45" s="1"/>
  <c r="BI49" i="45"/>
  <c r="AX8" i="45" s="1"/>
  <c r="BI51" i="45"/>
  <c r="AZ8" i="45" s="1"/>
  <c r="BI53" i="45"/>
  <c r="BB8" i="45" s="1"/>
  <c r="BI50" i="45"/>
  <c r="AY8" i="45" s="1"/>
  <c r="BI52" i="45"/>
  <c r="BA8" i="45" s="1"/>
  <c r="BI56" i="45"/>
  <c r="BE8" i="45" s="1"/>
  <c r="BI54" i="45"/>
  <c r="BC8" i="45" s="1"/>
  <c r="BI55" i="45"/>
  <c r="BD8" i="45" s="1"/>
  <c r="BI2" i="45"/>
  <c r="C8" i="45" s="1"/>
  <c r="BI3" i="45"/>
  <c r="D8" i="45" s="1"/>
  <c r="BI4" i="45"/>
  <c r="E8" i="45" s="1"/>
  <c r="AG21" i="50"/>
  <c r="AF21" i="50"/>
  <c r="AE21" i="50"/>
  <c r="AG20" i="50"/>
  <c r="AF20" i="50"/>
  <c r="AE20" i="50"/>
  <c r="AG19" i="50"/>
  <c r="AF19" i="50"/>
  <c r="AE19" i="50"/>
  <c r="AE18" i="50"/>
  <c r="AF17" i="50"/>
  <c r="AG16" i="50"/>
  <c r="AF16" i="50"/>
  <c r="AE17" i="50" l="1"/>
  <c r="AF18" i="50"/>
  <c r="AG17" i="50"/>
  <c r="AG18" i="50"/>
  <c r="BF8" i="45"/>
  <c r="AE16" i="50"/>
  <c r="R101" i="22" l="1"/>
  <c r="AN9" i="3" l="1"/>
  <c r="AP38" i="3" s="1"/>
  <c r="B166" i="22" s="1"/>
  <c r="AN10" i="3"/>
  <c r="AP39" i="3" s="1"/>
  <c r="B167" i="22" s="1"/>
  <c r="AN11" i="3"/>
  <c r="AP40" i="3" s="1"/>
  <c r="AN12" i="3"/>
  <c r="AP41" i="3" s="1"/>
  <c r="B169" i="22" s="1"/>
  <c r="AN13" i="3"/>
  <c r="B170" i="22" s="1"/>
  <c r="AN14" i="3"/>
  <c r="AP46" i="3" s="1"/>
  <c r="B171" i="22" s="1"/>
  <c r="AN15" i="3"/>
  <c r="AP47" i="3" s="1"/>
  <c r="B172" i="22" s="1"/>
  <c r="AN16" i="3"/>
  <c r="AP49" i="3" s="1"/>
  <c r="B173" i="22" s="1"/>
  <c r="AN17" i="3"/>
  <c r="AP50" i="3" s="1"/>
  <c r="B174" i="22" s="1"/>
  <c r="AN18" i="3"/>
  <c r="AP51" i="3" s="1"/>
  <c r="B175" i="22" s="1"/>
  <c r="AN19" i="3"/>
  <c r="AP52" i="3" s="1"/>
  <c r="B176" i="22" s="1"/>
  <c r="AN8" i="3"/>
  <c r="AP37" i="3" s="1"/>
  <c r="B165" i="22" s="1"/>
  <c r="AF7" i="3"/>
  <c r="AF8" i="3"/>
  <c r="AF9" i="3"/>
  <c r="AF10" i="3"/>
  <c r="AF11" i="3"/>
  <c r="AF12" i="3"/>
  <c r="AF13" i="3"/>
  <c r="AF14" i="3"/>
  <c r="AF15" i="3"/>
  <c r="AF16" i="3"/>
  <c r="AF17" i="3"/>
  <c r="AF6" i="3"/>
  <c r="X7" i="3"/>
  <c r="X8" i="3"/>
  <c r="X9" i="3"/>
  <c r="X10" i="3"/>
  <c r="X11" i="3"/>
  <c r="X12" i="3"/>
  <c r="X13" i="3"/>
  <c r="X14" i="3"/>
  <c r="X15" i="3"/>
  <c r="X16" i="3"/>
  <c r="X17" i="3"/>
  <c r="X6" i="3"/>
  <c r="Q7" i="3"/>
  <c r="Q8" i="3"/>
  <c r="Q9" i="3"/>
  <c r="Q10" i="3"/>
  <c r="Q11" i="3"/>
  <c r="Q12" i="3"/>
  <c r="Q13" i="3"/>
  <c r="Q14" i="3"/>
  <c r="Q15" i="3"/>
  <c r="Q16" i="3"/>
  <c r="Q17" i="3"/>
  <c r="Q6" i="3"/>
  <c r="J7" i="3"/>
  <c r="J8" i="3"/>
  <c r="J9" i="3"/>
  <c r="J10" i="3"/>
  <c r="J11" i="3"/>
  <c r="J12" i="3"/>
  <c r="J13" i="3"/>
  <c r="J14" i="3"/>
  <c r="J15" i="3"/>
  <c r="J16" i="3"/>
  <c r="J17" i="3"/>
  <c r="J6" i="3"/>
  <c r="B168" i="22" l="1"/>
  <c r="BD53" i="3" l="1"/>
  <c r="BD52" i="3"/>
  <c r="BD51" i="3"/>
  <c r="BD50" i="3"/>
  <c r="BD49" i="3"/>
  <c r="BD48" i="3"/>
  <c r="BD47" i="3"/>
  <c r="BD46" i="3"/>
  <c r="BD45" i="3"/>
  <c r="BD44" i="3"/>
  <c r="BD43" i="3"/>
  <c r="BD42" i="3"/>
  <c r="BD41" i="3"/>
  <c r="BD40" i="3"/>
  <c r="BD39" i="3"/>
  <c r="BD38" i="3"/>
  <c r="BD37" i="3"/>
  <c r="BD36" i="3"/>
  <c r="BD35" i="3"/>
  <c r="BD34" i="3"/>
  <c r="AZ53" i="3"/>
  <c r="AZ52" i="3"/>
  <c r="F66" i="1" l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C60" i="14" l="1"/>
  <c r="C49" i="14"/>
  <c r="C50" i="14"/>
  <c r="C58" i="14"/>
  <c r="C61" i="14"/>
  <c r="C52" i="14"/>
  <c r="C46" i="14"/>
  <c r="C55" i="14"/>
  <c r="C51" i="14"/>
  <c r="C45" i="14"/>
  <c r="C48" i="14"/>
  <c r="C64" i="14"/>
  <c r="K47" i="1"/>
  <c r="C47" i="14"/>
  <c r="K56" i="1"/>
  <c r="C56" i="14"/>
  <c r="K63" i="1"/>
  <c r="C63" i="14"/>
  <c r="K57" i="1"/>
  <c r="C57" i="14"/>
  <c r="S65" i="1"/>
  <c r="C65" i="14"/>
  <c r="K66" i="1"/>
  <c r="C66" i="14"/>
  <c r="S59" i="1"/>
  <c r="C59" i="14"/>
  <c r="K53" i="1"/>
  <c r="C53" i="14"/>
  <c r="K54" i="1"/>
  <c r="C54" i="14"/>
  <c r="S62" i="1"/>
  <c r="C62" i="14"/>
  <c r="K62" i="1"/>
  <c r="K65" i="1"/>
  <c r="K59" i="1"/>
  <c r="AQ46" i="1"/>
  <c r="AI46" i="1"/>
  <c r="AA46" i="1"/>
  <c r="S46" i="1"/>
  <c r="K46" i="1"/>
  <c r="AQ49" i="1"/>
  <c r="AI49" i="1"/>
  <c r="AA49" i="1"/>
  <c r="S49" i="1"/>
  <c r="K49" i="1"/>
  <c r="AQ52" i="1"/>
  <c r="AI52" i="1"/>
  <c r="S52" i="1"/>
  <c r="AA52" i="1"/>
  <c r="K52" i="1"/>
  <c r="AQ50" i="1"/>
  <c r="AI50" i="1"/>
  <c r="S50" i="1"/>
  <c r="AA50" i="1"/>
  <c r="AI45" i="1"/>
  <c r="AQ45" i="1"/>
  <c r="AA45" i="1"/>
  <c r="K45" i="1"/>
  <c r="S45" i="1"/>
  <c r="AI48" i="1"/>
  <c r="AQ48" i="1"/>
  <c r="AA48" i="1"/>
  <c r="K48" i="1"/>
  <c r="S48" i="1"/>
  <c r="AI51" i="1"/>
  <c r="AQ51" i="1"/>
  <c r="AA51" i="1"/>
  <c r="S51" i="1"/>
  <c r="AQ54" i="1"/>
  <c r="AA54" i="1"/>
  <c r="AI54" i="1"/>
  <c r="S54" i="1"/>
  <c r="AQ57" i="1"/>
  <c r="AA57" i="1"/>
  <c r="AI57" i="1"/>
  <c r="S57" i="1"/>
  <c r="AQ60" i="1"/>
  <c r="AA60" i="1"/>
  <c r="AI60" i="1"/>
  <c r="S60" i="1"/>
  <c r="AQ63" i="1"/>
  <c r="AA63" i="1"/>
  <c r="AI63" i="1"/>
  <c r="S63" i="1"/>
  <c r="AQ66" i="1"/>
  <c r="AA66" i="1"/>
  <c r="AI66" i="1"/>
  <c r="S66" i="1"/>
  <c r="K60" i="1"/>
  <c r="K51" i="1"/>
  <c r="K50" i="1"/>
  <c r="AQ55" i="1"/>
  <c r="AI55" i="1"/>
  <c r="AA55" i="1"/>
  <c r="S55" i="1"/>
  <c r="K55" i="1"/>
  <c r="AQ58" i="1"/>
  <c r="AI58" i="1"/>
  <c r="AA58" i="1"/>
  <c r="S58" i="1"/>
  <c r="K58" i="1"/>
  <c r="AQ61" i="1"/>
  <c r="AI61" i="1"/>
  <c r="S61" i="1"/>
  <c r="AA61" i="1"/>
  <c r="K61" i="1"/>
  <c r="AQ64" i="1"/>
  <c r="S64" i="1"/>
  <c r="AI64" i="1"/>
  <c r="AA64" i="1"/>
  <c r="K64" i="1"/>
  <c r="AQ47" i="1"/>
  <c r="AA47" i="1"/>
  <c r="S47" i="1"/>
  <c r="AI47" i="1"/>
  <c r="AQ53" i="1"/>
  <c r="S53" i="1"/>
  <c r="AA53" i="1"/>
  <c r="AI53" i="1"/>
  <c r="AQ56" i="1"/>
  <c r="AQ59" i="1"/>
  <c r="AQ62" i="1"/>
  <c r="AQ65" i="1"/>
  <c r="AI65" i="1"/>
  <c r="AA65" i="1"/>
  <c r="AA62" i="1"/>
  <c r="AA59" i="1"/>
  <c r="AI62" i="1"/>
  <c r="AI59" i="1"/>
  <c r="S56" i="1"/>
  <c r="AA56" i="1"/>
  <c r="AI56" i="1"/>
  <c r="X361" i="14"/>
  <c r="X360" i="14"/>
  <c r="X359" i="14"/>
  <c r="X358" i="14"/>
  <c r="X357" i="14"/>
  <c r="X356" i="14"/>
  <c r="X355" i="14"/>
  <c r="X354" i="14"/>
  <c r="X353" i="14"/>
  <c r="X352" i="14"/>
  <c r="Z344" i="14"/>
  <c r="Z343" i="14"/>
  <c r="AE340" i="14" s="1"/>
  <c r="Y344" i="14"/>
  <c r="Y343" i="14"/>
  <c r="AE339" i="14" s="1"/>
  <c r="Y342" i="14"/>
  <c r="Y341" i="14"/>
  <c r="Y340" i="14"/>
  <c r="Y339" i="14"/>
  <c r="Y338" i="14"/>
  <c r="AC338" i="14" s="1"/>
  <c r="AE338" i="14" s="1"/>
  <c r="BF394" i="14"/>
  <c r="BF395" i="14"/>
  <c r="BF396" i="14"/>
  <c r="BF397" i="14"/>
  <c r="BF398" i="14"/>
  <c r="BF399" i="14"/>
  <c r="BF400" i="14"/>
  <c r="BF401" i="14"/>
  <c r="BF385" i="14"/>
  <c r="BF386" i="14"/>
  <c r="BF387" i="14"/>
  <c r="BF388" i="14"/>
  <c r="BF389" i="14"/>
  <c r="BF390" i="14"/>
  <c r="BF391" i="14"/>
  <c r="BF392" i="14"/>
  <c r="BF376" i="14"/>
  <c r="BF377" i="14"/>
  <c r="BF378" i="14"/>
  <c r="BF379" i="14"/>
  <c r="BF380" i="14"/>
  <c r="BF381" i="14"/>
  <c r="BF382" i="14"/>
  <c r="BF383" i="14"/>
  <c r="BF367" i="14"/>
  <c r="BF368" i="14"/>
  <c r="BF369" i="14"/>
  <c r="BF370" i="14"/>
  <c r="BF371" i="14"/>
  <c r="BF372" i="14"/>
  <c r="BF373" i="14"/>
  <c r="BF374" i="14"/>
  <c r="BF358" i="14"/>
  <c r="BF359" i="14"/>
  <c r="BF360" i="14"/>
  <c r="BF361" i="14"/>
  <c r="BF362" i="14"/>
  <c r="BF363" i="14"/>
  <c r="BF364" i="14"/>
  <c r="BF365" i="14"/>
  <c r="BF349" i="14"/>
  <c r="BF350" i="14"/>
  <c r="BF351" i="14"/>
  <c r="BF352" i="14"/>
  <c r="BF353" i="14"/>
  <c r="BF354" i="14"/>
  <c r="BF355" i="14"/>
  <c r="BF356" i="14"/>
  <c r="BF340" i="14"/>
  <c r="BF341" i="14"/>
  <c r="BF342" i="14"/>
  <c r="BF343" i="14"/>
  <c r="BF344" i="14"/>
  <c r="BF345" i="14"/>
  <c r="BF346" i="14"/>
  <c r="BF347" i="14"/>
  <c r="BF393" i="14"/>
  <c r="BF384" i="14"/>
  <c r="BF375" i="14"/>
  <c r="BF366" i="14"/>
  <c r="BF357" i="14"/>
  <c r="BF348" i="14"/>
  <c r="BF339" i="14"/>
  <c r="BF331" i="14"/>
  <c r="BF332" i="14"/>
  <c r="BF333" i="14"/>
  <c r="BF334" i="14"/>
  <c r="BF335" i="14"/>
  <c r="BF336" i="14"/>
  <c r="BF337" i="14"/>
  <c r="BF338" i="14"/>
  <c r="BF330" i="14"/>
  <c r="BE394" i="14"/>
  <c r="BE395" i="14"/>
  <c r="BE396" i="14"/>
  <c r="BE397" i="14"/>
  <c r="BE398" i="14"/>
  <c r="BE399" i="14"/>
  <c r="BE400" i="14"/>
  <c r="BE401" i="14"/>
  <c r="BE393" i="14"/>
  <c r="BE385" i="14"/>
  <c r="BE386" i="14"/>
  <c r="BE387" i="14"/>
  <c r="BE388" i="14"/>
  <c r="BE389" i="14"/>
  <c r="BE390" i="14"/>
  <c r="BE391" i="14"/>
  <c r="BE392" i="14"/>
  <c r="BE384" i="14"/>
  <c r="BE376" i="14"/>
  <c r="BE377" i="14"/>
  <c r="BE378" i="14"/>
  <c r="BE379" i="14"/>
  <c r="BE380" i="14"/>
  <c r="BE381" i="14"/>
  <c r="BE382" i="14"/>
  <c r="BE383" i="14"/>
  <c r="BE375" i="14"/>
  <c r="BE367" i="14"/>
  <c r="BE368" i="14"/>
  <c r="BE369" i="14"/>
  <c r="BE370" i="14"/>
  <c r="BE371" i="14"/>
  <c r="BE372" i="14"/>
  <c r="BE373" i="14"/>
  <c r="BE374" i="14"/>
  <c r="BE366" i="14"/>
  <c r="BE358" i="14"/>
  <c r="BE359" i="14"/>
  <c r="BE360" i="14"/>
  <c r="BE361" i="14"/>
  <c r="BE362" i="14"/>
  <c r="BE363" i="14"/>
  <c r="BE364" i="14"/>
  <c r="BE365" i="14"/>
  <c r="BE357" i="14"/>
  <c r="BE349" i="14"/>
  <c r="BE350" i="14"/>
  <c r="BE351" i="14"/>
  <c r="BE352" i="14"/>
  <c r="BE353" i="14"/>
  <c r="BE354" i="14"/>
  <c r="BE355" i="14"/>
  <c r="BE356" i="14"/>
  <c r="BE348" i="14"/>
  <c r="BE340" i="14"/>
  <c r="BE341" i="14"/>
  <c r="BE342" i="14"/>
  <c r="BE343" i="14"/>
  <c r="BE344" i="14"/>
  <c r="BE345" i="14"/>
  <c r="BE346" i="14"/>
  <c r="BE347" i="14"/>
  <c r="BE339" i="14"/>
  <c r="BE331" i="14"/>
  <c r="BE332" i="14"/>
  <c r="BE333" i="14"/>
  <c r="BE334" i="14"/>
  <c r="BE335" i="14"/>
  <c r="BE336" i="14"/>
  <c r="BE337" i="14"/>
  <c r="BE338" i="14"/>
  <c r="BE330" i="14"/>
  <c r="AL21" i="50" l="1"/>
  <c r="AC21" i="50"/>
  <c r="AO21" i="50"/>
  <c r="AI21" i="50"/>
  <c r="AP21" i="50"/>
  <c r="AJ21" i="50"/>
  <c r="AM21" i="50"/>
  <c r="AD21" i="50"/>
  <c r="AN21" i="50"/>
  <c r="AH21" i="50"/>
  <c r="AK21" i="50"/>
  <c r="AB21" i="50"/>
  <c r="AA353" i="14"/>
  <c r="AB358" i="14"/>
  <c r="AB352" i="14"/>
  <c r="AE361" i="14"/>
  <c r="Y361" i="14"/>
  <c r="AA360" i="14"/>
  <c r="AC359" i="14"/>
  <c r="Z359" i="14"/>
  <c r="AE358" i="14"/>
  <c r="Y358" i="14"/>
  <c r="AD357" i="14"/>
  <c r="AA357" i="14"/>
  <c r="AF356" i="14"/>
  <c r="AC356" i="14"/>
  <c r="Z356" i="14"/>
  <c r="AE355" i="14"/>
  <c r="AB355" i="14"/>
  <c r="Y355" i="14"/>
  <c r="AD354" i="14"/>
  <c r="AA354" i="14"/>
  <c r="AF353" i="14"/>
  <c r="AC353" i="14"/>
  <c r="Z353" i="14"/>
  <c r="Z352" i="14"/>
  <c r="AC352" i="14"/>
  <c r="AF352" i="14"/>
  <c r="AD361" i="14"/>
  <c r="AA361" i="14"/>
  <c r="AF360" i="14"/>
  <c r="AC360" i="14"/>
  <c r="Z360" i="14"/>
  <c r="AE359" i="14"/>
  <c r="AB359" i="14"/>
  <c r="Y359" i="14"/>
  <c r="AD358" i="14"/>
  <c r="AA358" i="14"/>
  <c r="AF357" i="14"/>
  <c r="AC357" i="14"/>
  <c r="Z357" i="14"/>
  <c r="AE356" i="14"/>
  <c r="AB356" i="14"/>
  <c r="Y356" i="14"/>
  <c r="AD355" i="14"/>
  <c r="AA355" i="14"/>
  <c r="AF354" i="14"/>
  <c r="AC354" i="14"/>
  <c r="Z354" i="14"/>
  <c r="AE353" i="14"/>
  <c r="AB353" i="14"/>
  <c r="Y353" i="14"/>
  <c r="Y352" i="14"/>
  <c r="AE352" i="14"/>
  <c r="AB361" i="14"/>
  <c r="AD360" i="14"/>
  <c r="AF359" i="14"/>
  <c r="AA352" i="14"/>
  <c r="AD352" i="14"/>
  <c r="AF361" i="14"/>
  <c r="AC361" i="14"/>
  <c r="Z361" i="14"/>
  <c r="AE360" i="14"/>
  <c r="AB360" i="14"/>
  <c r="Y360" i="14"/>
  <c r="AD359" i="14"/>
  <c r="AA359" i="14"/>
  <c r="AF358" i="14"/>
  <c r="AC358" i="14"/>
  <c r="Z358" i="14"/>
  <c r="AE357" i="14"/>
  <c r="AB357" i="14"/>
  <c r="Y357" i="14"/>
  <c r="AD356" i="14"/>
  <c r="AA356" i="14"/>
  <c r="AF355" i="14"/>
  <c r="AC355" i="14"/>
  <c r="Z355" i="14"/>
  <c r="AE354" i="14"/>
  <c r="AB354" i="14"/>
  <c r="Y354" i="14"/>
  <c r="AD353" i="14"/>
  <c r="AZ51" i="3" l="1"/>
  <c r="AZ50" i="3"/>
  <c r="AZ49" i="3"/>
  <c r="AZ48" i="3"/>
  <c r="AZ47" i="3"/>
  <c r="AZ46" i="3"/>
  <c r="AZ45" i="3"/>
  <c r="AZ44" i="3"/>
  <c r="AZ43" i="3"/>
  <c r="AZ42" i="3"/>
  <c r="AZ41" i="3"/>
  <c r="AZ40" i="3"/>
  <c r="AZ39" i="3"/>
  <c r="AZ38" i="3"/>
  <c r="AZ3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L101" i="22" l="1"/>
  <c r="AB101" i="22"/>
  <c r="BO64" i="22" s="1"/>
  <c r="BX94" i="22"/>
  <c r="BX93" i="22"/>
  <c r="BX92" i="22"/>
  <c r="BX91" i="22"/>
  <c r="BX90" i="22"/>
  <c r="BX89" i="22"/>
  <c r="BX88" i="22"/>
  <c r="BX87" i="22"/>
  <c r="BX86" i="22"/>
  <c r="BX85" i="22"/>
  <c r="BX84" i="22"/>
  <c r="BX83" i="22"/>
  <c r="BX82" i="22"/>
  <c r="BX81" i="22"/>
  <c r="BX80" i="22"/>
  <c r="BX79" i="22"/>
  <c r="BX78" i="22"/>
  <c r="BX77" i="22"/>
  <c r="BX76" i="22"/>
  <c r="BX75" i="22"/>
  <c r="BX74" i="22"/>
  <c r="BX73" i="22"/>
  <c r="BX72" i="22"/>
  <c r="BX71" i="22"/>
  <c r="BX70" i="22"/>
  <c r="BX69" i="22"/>
  <c r="BX68" i="22"/>
  <c r="BX67" i="22"/>
  <c r="BX66" i="22"/>
  <c r="BX65" i="22"/>
  <c r="BX64" i="22"/>
  <c r="BW64" i="22"/>
  <c r="BP94" i="22"/>
  <c r="BP93" i="22"/>
  <c r="BP92" i="22"/>
  <c r="BP91" i="22"/>
  <c r="BP90" i="22"/>
  <c r="BP89" i="22"/>
  <c r="BP88" i="22"/>
  <c r="BP87" i="22"/>
  <c r="BP86" i="22"/>
  <c r="BP85" i="22"/>
  <c r="BP84" i="22"/>
  <c r="BP83" i="22"/>
  <c r="BP82" i="22"/>
  <c r="BP81" i="22"/>
  <c r="BP80" i="22"/>
  <c r="BP79" i="22"/>
  <c r="BP78" i="22"/>
  <c r="BP77" i="22"/>
  <c r="BP76" i="22"/>
  <c r="BP75" i="22"/>
  <c r="BP74" i="22"/>
  <c r="BP73" i="22"/>
  <c r="BP72" i="22"/>
  <c r="BP71" i="22"/>
  <c r="BP70" i="22"/>
  <c r="BP69" i="22"/>
  <c r="BP68" i="22"/>
  <c r="BP67" i="22"/>
  <c r="BP66" i="22"/>
  <c r="BP65" i="22"/>
  <c r="BP64" i="22"/>
  <c r="BH65" i="22" l="1"/>
  <c r="BH66" i="22"/>
  <c r="BH67" i="22"/>
  <c r="BH68" i="22"/>
  <c r="BH69" i="22"/>
  <c r="BH70" i="22"/>
  <c r="BH71" i="22"/>
  <c r="BH72" i="22"/>
  <c r="BH73" i="22"/>
  <c r="BH74" i="22"/>
  <c r="BH75" i="22"/>
  <c r="BH76" i="22"/>
  <c r="BH77" i="22"/>
  <c r="BH78" i="22"/>
  <c r="BH79" i="22"/>
  <c r="BH80" i="22"/>
  <c r="BH81" i="22"/>
  <c r="BH82" i="22"/>
  <c r="BH83" i="22"/>
  <c r="BH84" i="22"/>
  <c r="BH85" i="22"/>
  <c r="BH86" i="22"/>
  <c r="BH87" i="22"/>
  <c r="BH88" i="22"/>
  <c r="BH89" i="22"/>
  <c r="BH90" i="22"/>
  <c r="BH91" i="22"/>
  <c r="BH92" i="22"/>
  <c r="BH93" i="22"/>
  <c r="BH94" i="22"/>
  <c r="BH64" i="22"/>
  <c r="BG64" i="22"/>
  <c r="J99" i="22"/>
  <c r="C83" i="22" l="1"/>
  <c r="C81" i="22"/>
  <c r="S30" i="22"/>
  <c r="R60" i="22"/>
  <c r="R50" i="22"/>
  <c r="R51" i="22"/>
  <c r="R52" i="22"/>
  <c r="R53" i="22"/>
  <c r="R54" i="22"/>
  <c r="R55" i="22"/>
  <c r="R56" i="22"/>
  <c r="R57" i="22"/>
  <c r="R58" i="22"/>
  <c r="R59" i="22"/>
  <c r="R31" i="22"/>
  <c r="R32" i="22"/>
  <c r="R33" i="22"/>
  <c r="R34" i="22"/>
  <c r="R35" i="22"/>
  <c r="R36" i="22"/>
  <c r="R37" i="22"/>
  <c r="R38" i="22"/>
  <c r="R39" i="22"/>
  <c r="R40" i="22"/>
  <c r="R41" i="22"/>
  <c r="R42" i="22"/>
  <c r="R43" i="22"/>
  <c r="R44" i="22"/>
  <c r="R45" i="22"/>
  <c r="R46" i="22"/>
  <c r="R47" i="22"/>
  <c r="R48" i="22"/>
  <c r="R49" i="22"/>
  <c r="R30" i="22"/>
  <c r="C84" i="22" l="1"/>
  <c r="C88" i="22"/>
  <c r="E103" i="22" s="1"/>
  <c r="AL40" i="22"/>
  <c r="BO3" i="22" s="1"/>
  <c r="AV40" i="22"/>
  <c r="BW3" i="22" s="1"/>
  <c r="BX4" i="22"/>
  <c r="BX5" i="22"/>
  <c r="BX6" i="22"/>
  <c r="BX7" i="22"/>
  <c r="BX8" i="22"/>
  <c r="BX9" i="22"/>
  <c r="BX10" i="22"/>
  <c r="BX11" i="22"/>
  <c r="BX12" i="22"/>
  <c r="BX13" i="22"/>
  <c r="BX14" i="22"/>
  <c r="BX15" i="22"/>
  <c r="BX16" i="22"/>
  <c r="BX17" i="22"/>
  <c r="BX18" i="22"/>
  <c r="BX19" i="22"/>
  <c r="BX20" i="22"/>
  <c r="BX21" i="22"/>
  <c r="BX22" i="22"/>
  <c r="BX23" i="22"/>
  <c r="BX24" i="22"/>
  <c r="BX25" i="22"/>
  <c r="BX26" i="22"/>
  <c r="BX27" i="22"/>
  <c r="BX28" i="22"/>
  <c r="BX29" i="22"/>
  <c r="BX30" i="22"/>
  <c r="BX31" i="22"/>
  <c r="BX32" i="22"/>
  <c r="BX33" i="22"/>
  <c r="BX3" i="22"/>
  <c r="BP4" i="22"/>
  <c r="BP5" i="22"/>
  <c r="BP6" i="22"/>
  <c r="BP7" i="22"/>
  <c r="BP8" i="22"/>
  <c r="BP9" i="22"/>
  <c r="BP10" i="22"/>
  <c r="BP11" i="22"/>
  <c r="BP12" i="22"/>
  <c r="BP13" i="22"/>
  <c r="BP14" i="22"/>
  <c r="BP15" i="22"/>
  <c r="BP16" i="22"/>
  <c r="BP17" i="22"/>
  <c r="BP18" i="22"/>
  <c r="BP19" i="22"/>
  <c r="BP20" i="22"/>
  <c r="BP21" i="22"/>
  <c r="BP22" i="22"/>
  <c r="BP23" i="22"/>
  <c r="BP24" i="22"/>
  <c r="BP25" i="22"/>
  <c r="BP26" i="22"/>
  <c r="BP27" i="22"/>
  <c r="BP28" i="22"/>
  <c r="BP29" i="22"/>
  <c r="BP30" i="22"/>
  <c r="BP31" i="22"/>
  <c r="BP32" i="22"/>
  <c r="BP33" i="22"/>
  <c r="BP3" i="22"/>
  <c r="BH4" i="22"/>
  <c r="BH5" i="22"/>
  <c r="BH6" i="22"/>
  <c r="BH7" i="22"/>
  <c r="BH8" i="22"/>
  <c r="BH9" i="22"/>
  <c r="BH10" i="22"/>
  <c r="BH11" i="22"/>
  <c r="BH12" i="22"/>
  <c r="BH13" i="22"/>
  <c r="BH14" i="22"/>
  <c r="BH15" i="22"/>
  <c r="BH16" i="22"/>
  <c r="BH17" i="22"/>
  <c r="BH18" i="22"/>
  <c r="BH19" i="22"/>
  <c r="BH20" i="22"/>
  <c r="BH21" i="22"/>
  <c r="BH22" i="22"/>
  <c r="BH23" i="22"/>
  <c r="BH24" i="22"/>
  <c r="BH25" i="22"/>
  <c r="BH26" i="22"/>
  <c r="BH27" i="22"/>
  <c r="BH28" i="22"/>
  <c r="BH29" i="22"/>
  <c r="BH30" i="22"/>
  <c r="BH31" i="22"/>
  <c r="BH32" i="22"/>
  <c r="BH33" i="22"/>
  <c r="BH3" i="22"/>
  <c r="BG3" i="22"/>
  <c r="BU3" i="22"/>
  <c r="BU64" i="22" s="1"/>
  <c r="BM3" i="22"/>
  <c r="BM64" i="22" s="1"/>
  <c r="C90" i="22" l="1"/>
  <c r="C92" i="22" s="1"/>
  <c r="E104" i="22" s="1"/>
  <c r="C94" i="22"/>
  <c r="F103" i="22" s="1"/>
  <c r="BK65" i="22" s="1"/>
  <c r="BE3" i="22"/>
  <c r="BE64" i="22" s="1"/>
  <c r="AZ9" i="22"/>
  <c r="AZ3" i="22"/>
  <c r="AY3" i="22"/>
  <c r="BC67" i="22" l="1"/>
  <c r="J102" i="22" s="1"/>
  <c r="BS70" i="22"/>
  <c r="BS79" i="22"/>
  <c r="BS88" i="22"/>
  <c r="BC74" i="22"/>
  <c r="J109" i="22" s="1"/>
  <c r="BC93" i="22"/>
  <c r="BK73" i="22"/>
  <c r="BK91" i="22"/>
  <c r="BS78" i="22"/>
  <c r="BK67" i="22"/>
  <c r="BK84" i="22"/>
  <c r="BS71" i="22"/>
  <c r="BS89" i="22"/>
  <c r="BK71" i="22"/>
  <c r="BK80" i="22"/>
  <c r="BK89" i="22"/>
  <c r="BC65" i="22"/>
  <c r="J100" i="22" s="1"/>
  <c r="BC68" i="22"/>
  <c r="J103" i="22" s="1"/>
  <c r="BC76" i="22"/>
  <c r="J111" i="22" s="1"/>
  <c r="BC84" i="22"/>
  <c r="J119" i="22" s="1"/>
  <c r="BC83" i="22"/>
  <c r="J118" i="22" s="1"/>
  <c r="BK76" i="22"/>
  <c r="BK85" i="22"/>
  <c r="BK94" i="22"/>
  <c r="BS72" i="22"/>
  <c r="BS81" i="22"/>
  <c r="BS90" i="22"/>
  <c r="BK69" i="22"/>
  <c r="BK78" i="22"/>
  <c r="BK87" i="22"/>
  <c r="BS65" i="22"/>
  <c r="BS74" i="22"/>
  <c r="BS83" i="22"/>
  <c r="BS92" i="22"/>
  <c r="BK74" i="22"/>
  <c r="BK83" i="22"/>
  <c r="BK92" i="22"/>
  <c r="BS73" i="22"/>
  <c r="BS82" i="22"/>
  <c r="BS91" i="22"/>
  <c r="BC85" i="22"/>
  <c r="J120" i="22" s="1"/>
  <c r="BC66" i="22"/>
  <c r="J101" i="22" s="1"/>
  <c r="BK82" i="22"/>
  <c r="BS69" i="22"/>
  <c r="BS87" i="22"/>
  <c r="BK75" i="22"/>
  <c r="BK93" i="22"/>
  <c r="BS80" i="22"/>
  <c r="BK66" i="22"/>
  <c r="BC89" i="22"/>
  <c r="BC88" i="22"/>
  <c r="J123" i="22" s="1"/>
  <c r="BC73" i="22"/>
  <c r="J108" i="22" s="1"/>
  <c r="BC75" i="22"/>
  <c r="J110" i="22" s="1"/>
  <c r="BC91" i="22"/>
  <c r="BK79" i="22"/>
  <c r="BK88" i="22"/>
  <c r="BS66" i="22"/>
  <c r="BS75" i="22"/>
  <c r="BS84" i="22"/>
  <c r="BS93" i="22"/>
  <c r="BK72" i="22"/>
  <c r="BK81" i="22"/>
  <c r="BK90" i="22"/>
  <c r="BS68" i="22"/>
  <c r="BS77" i="22"/>
  <c r="BS86" i="22"/>
  <c r="BK70" i="22"/>
  <c r="BK68" i="22"/>
  <c r="BK77" i="22"/>
  <c r="BK86" i="22"/>
  <c r="BS67" i="22"/>
  <c r="BS76" i="22"/>
  <c r="BS85" i="22"/>
  <c r="BS94" i="22"/>
  <c r="BC90" i="22"/>
  <c r="BC81" i="22"/>
  <c r="BC72" i="22"/>
  <c r="BC86" i="22"/>
  <c r="BC77" i="22"/>
  <c r="BC82" i="22"/>
  <c r="BC80" i="22"/>
  <c r="BC94" i="22"/>
  <c r="BC79" i="22"/>
  <c r="BC70" i="22"/>
  <c r="BC87" i="22"/>
  <c r="BC78" i="22"/>
  <c r="BC69" i="22"/>
  <c r="BC92" i="22"/>
  <c r="BC71" i="22"/>
  <c r="BT332" i="14"/>
  <c r="BT333" i="14"/>
  <c r="BT331" i="14"/>
  <c r="V345" i="14" s="1"/>
  <c r="J113" i="22" l="1"/>
  <c r="J117" i="22"/>
  <c r="J122" i="22"/>
  <c r="J116" i="22"/>
  <c r="J106" i="22"/>
  <c r="J114" i="22"/>
  <c r="J107" i="22"/>
  <c r="J112" i="22"/>
  <c r="J104" i="22"/>
  <c r="J105" i="22"/>
  <c r="J115" i="22"/>
  <c r="J121" i="22"/>
  <c r="BP332" i="14"/>
  <c r="BP333" i="14"/>
  <c r="BP334" i="14"/>
  <c r="BP335" i="14"/>
  <c r="BP336" i="14"/>
  <c r="BP337" i="14"/>
  <c r="BP338" i="14"/>
  <c r="BP339" i="14"/>
  <c r="BP340" i="14"/>
  <c r="BP341" i="14"/>
  <c r="BP342" i="14"/>
  <c r="BP343" i="14"/>
  <c r="BP344" i="14"/>
  <c r="BP345" i="14"/>
  <c r="BP346" i="14"/>
  <c r="BP347" i="14"/>
  <c r="BP348" i="14"/>
  <c r="BP349" i="14"/>
  <c r="BP350" i="14"/>
  <c r="BP351" i="14"/>
  <c r="BP352" i="14"/>
  <c r="BP353" i="14"/>
  <c r="BP354" i="14"/>
  <c r="BP355" i="14"/>
  <c r="BP356" i="14"/>
  <c r="BP357" i="14"/>
  <c r="BP358" i="14"/>
  <c r="BP359" i="14"/>
  <c r="BP360" i="14"/>
  <c r="BP361" i="14"/>
  <c r="BP362" i="14"/>
  <c r="BP363" i="14"/>
  <c r="BP364" i="14"/>
  <c r="BP365" i="14"/>
  <c r="BP366" i="14"/>
  <c r="BP367" i="14"/>
  <c r="BP368" i="14"/>
  <c r="BP331" i="14"/>
  <c r="BR354" i="14"/>
  <c r="BR349" i="14"/>
  <c r="BR346" i="14"/>
  <c r="BR341" i="14"/>
  <c r="BR340" i="14"/>
  <c r="BR333" i="14"/>
  <c r="V357" i="14" l="1"/>
  <c r="V358" i="14" s="1"/>
  <c r="C19" i="22"/>
  <c r="C26" i="22" s="1"/>
  <c r="C22" i="22" l="1"/>
  <c r="L13" i="22" s="1"/>
  <c r="L23" i="22" s="1"/>
  <c r="N38" i="22" s="1"/>
  <c r="C20" i="22"/>
  <c r="C39" i="22"/>
  <c r="C35" i="22"/>
  <c r="C33" i="22"/>
  <c r="C31" i="22"/>
  <c r="I55" i="22" s="1"/>
  <c r="M11" i="21"/>
  <c r="W11" i="21"/>
  <c r="AG11" i="21"/>
  <c r="AQ11" i="21"/>
  <c r="BK11" i="21"/>
  <c r="BU11" i="21"/>
  <c r="BU10" i="21"/>
  <c r="BK10" i="21"/>
  <c r="BA10" i="21"/>
  <c r="AQ10" i="21"/>
  <c r="AG10" i="21"/>
  <c r="W10" i="21"/>
  <c r="M10" i="21"/>
  <c r="BY21" i="21"/>
  <c r="BV1" i="22" s="1"/>
  <c r="BV62" i="22" s="1"/>
  <c r="BO21" i="21"/>
  <c r="BN1" i="22" s="1"/>
  <c r="BN62" i="22" s="1"/>
  <c r="BE21" i="21"/>
  <c r="BF1" i="22" s="1"/>
  <c r="BF62" i="22" s="1"/>
  <c r="AU21" i="21"/>
  <c r="AK21" i="21"/>
  <c r="AA21" i="21"/>
  <c r="Q21" i="21"/>
  <c r="G21" i="21"/>
  <c r="C24" i="22" l="1"/>
  <c r="L15" i="22"/>
  <c r="L25" i="22" s="1"/>
  <c r="C23" i="22"/>
  <c r="C37" i="22" s="1"/>
  <c r="I54" i="22" s="1"/>
  <c r="AY6" i="22"/>
  <c r="J54" i="22"/>
  <c r="J52" i="22"/>
  <c r="J53" i="22"/>
  <c r="J50" i="22"/>
  <c r="J51" i="22"/>
  <c r="L21" i="22"/>
  <c r="BU15" i="21"/>
  <c r="BU16" i="21" s="1"/>
  <c r="BK15" i="21"/>
  <c r="BK18" i="21" s="1"/>
  <c r="BA15" i="21"/>
  <c r="BA18" i="21" s="1"/>
  <c r="AQ15" i="21"/>
  <c r="AQ16" i="21" s="1"/>
  <c r="AG15" i="21"/>
  <c r="AG18" i="21" s="1"/>
  <c r="W15" i="21"/>
  <c r="W18" i="21" s="1"/>
  <c r="M15" i="21"/>
  <c r="M16" i="21" s="1"/>
  <c r="C15" i="21"/>
  <c r="C16" i="21" s="1"/>
  <c r="I51" i="22" l="1"/>
  <c r="L19" i="22"/>
  <c r="N36" i="22" s="1"/>
  <c r="L17" i="22"/>
  <c r="N41" i="22" s="1"/>
  <c r="AY9" i="22" s="1"/>
  <c r="I50" i="22"/>
  <c r="I53" i="22"/>
  <c r="I52" i="22"/>
  <c r="M19" i="21"/>
  <c r="AQ19" i="21"/>
  <c r="BU19" i="21"/>
  <c r="N40" i="22"/>
  <c r="O37" i="22"/>
  <c r="AZ5" i="22" s="1"/>
  <c r="O40" i="22"/>
  <c r="AZ8" i="22" s="1"/>
  <c r="O39" i="22"/>
  <c r="AZ7" i="22" s="1"/>
  <c r="O36" i="22"/>
  <c r="AZ4" i="22" s="1"/>
  <c r="O38" i="22"/>
  <c r="AZ6" i="22" s="1"/>
  <c r="N39" i="22"/>
  <c r="N37" i="22"/>
  <c r="C18" i="21"/>
  <c r="W16" i="21"/>
  <c r="AG16" i="21"/>
  <c r="BA16" i="21"/>
  <c r="BK16" i="21"/>
  <c r="AQ18" i="21"/>
  <c r="M18" i="21"/>
  <c r="BU18" i="21"/>
  <c r="C19" i="21"/>
  <c r="BA19" i="21" l="1"/>
  <c r="AG19" i="21"/>
  <c r="BK19" i="21"/>
  <c r="W19" i="21"/>
  <c r="AY8" i="22"/>
  <c r="AY5" i="22"/>
  <c r="AY7" i="22"/>
  <c r="AY4" i="22"/>
  <c r="BS22" i="22" l="1"/>
  <c r="BS33" i="22"/>
  <c r="BS30" i="22"/>
  <c r="BS27" i="22"/>
  <c r="BS24" i="22"/>
  <c r="BS21" i="22"/>
  <c r="BS18" i="22"/>
  <c r="BS15" i="22"/>
  <c r="BS12" i="22"/>
  <c r="BS9" i="22"/>
  <c r="BS6" i="22"/>
  <c r="BS4" i="22"/>
  <c r="BK32" i="22"/>
  <c r="BK29" i="22"/>
  <c r="BK26" i="22"/>
  <c r="BK23" i="22"/>
  <c r="BK20" i="22"/>
  <c r="BK17" i="22"/>
  <c r="BK14" i="22"/>
  <c r="BK11" i="22"/>
  <c r="BK8" i="22"/>
  <c r="BK5" i="22"/>
  <c r="BC32" i="22"/>
  <c r="S59" i="22" s="1"/>
  <c r="BC29" i="22"/>
  <c r="S56" i="22" s="1"/>
  <c r="BC28" i="22"/>
  <c r="S55" i="22" s="1"/>
  <c r="BS31" i="22"/>
  <c r="BS25" i="22"/>
  <c r="BS19" i="22"/>
  <c r="BS13" i="22"/>
  <c r="BS10" i="22"/>
  <c r="BK33" i="22"/>
  <c r="BK27" i="22"/>
  <c r="BK21" i="22"/>
  <c r="BK18" i="22"/>
  <c r="BK12" i="22"/>
  <c r="BK9" i="22"/>
  <c r="BC33" i="22"/>
  <c r="S60" i="22" s="1"/>
  <c r="BC30" i="22"/>
  <c r="S57" i="22" s="1"/>
  <c r="BS32" i="22"/>
  <c r="BS29" i="22"/>
  <c r="BS26" i="22"/>
  <c r="BS23" i="22"/>
  <c r="BS20" i="22"/>
  <c r="BS17" i="22"/>
  <c r="BS14" i="22"/>
  <c r="BS11" i="22"/>
  <c r="BS8" i="22"/>
  <c r="BS5" i="22"/>
  <c r="BK31" i="22"/>
  <c r="BK28" i="22"/>
  <c r="BK25" i="22"/>
  <c r="BK22" i="22"/>
  <c r="BK19" i="22"/>
  <c r="BK16" i="22"/>
  <c r="BK13" i="22"/>
  <c r="BK10" i="22"/>
  <c r="BK7" i="22"/>
  <c r="BK4" i="22"/>
  <c r="BC31" i="22"/>
  <c r="S58" i="22" s="1"/>
  <c r="BS28" i="22"/>
  <c r="BS16" i="22"/>
  <c r="BS7" i="22"/>
  <c r="BK30" i="22"/>
  <c r="BK24" i="22"/>
  <c r="BK15" i="22"/>
  <c r="BK6" i="22"/>
  <c r="BC5" i="22"/>
  <c r="S32" i="22" s="1"/>
  <c r="BC4" i="22"/>
  <c r="S31" i="22" s="1"/>
  <c r="BC22" i="22"/>
  <c r="S49" i="22" s="1"/>
  <c r="BC25" i="22"/>
  <c r="S52" i="22" s="1"/>
  <c r="BC13" i="22"/>
  <c r="S40" i="22" s="1"/>
  <c r="BC21" i="22"/>
  <c r="S48" i="22" s="1"/>
  <c r="BC12" i="22"/>
  <c r="S39" i="22" s="1"/>
  <c r="BC26" i="22"/>
  <c r="S53" i="22" s="1"/>
  <c r="BC17" i="22"/>
  <c r="S44" i="22" s="1"/>
  <c r="BC10" i="22"/>
  <c r="S37" i="22" s="1"/>
  <c r="BC19" i="22"/>
  <c r="S46" i="22" s="1"/>
  <c r="BC27" i="22"/>
  <c r="S54" i="22" s="1"/>
  <c r="BC18" i="22"/>
  <c r="S45" i="22" s="1"/>
  <c r="BC9" i="22"/>
  <c r="S36" i="22" s="1"/>
  <c r="BC23" i="22"/>
  <c r="S50" i="22" s="1"/>
  <c r="BC14" i="22"/>
  <c r="S41" i="22" s="1"/>
  <c r="BC7" i="22"/>
  <c r="S34" i="22" s="1"/>
  <c r="BC16" i="22"/>
  <c r="S43" i="22" s="1"/>
  <c r="BC24" i="22"/>
  <c r="S51" i="22" s="1"/>
  <c r="BC15" i="22"/>
  <c r="S42" i="22" s="1"/>
  <c r="BC6" i="22"/>
  <c r="S33" i="22" s="1"/>
  <c r="BC20" i="22"/>
  <c r="S47" i="22" s="1"/>
  <c r="BC11" i="22"/>
  <c r="S38" i="22" s="1"/>
  <c r="BC8" i="22"/>
  <c r="S35" i="22" s="1"/>
  <c r="E308" i="14"/>
  <c r="F308" i="14"/>
  <c r="G308" i="14"/>
  <c r="H308" i="14"/>
  <c r="I308" i="14"/>
  <c r="J308" i="14"/>
  <c r="K308" i="14"/>
  <c r="D308" i="14"/>
  <c r="D159" i="14"/>
  <c r="D160" i="14"/>
  <c r="D161" i="14"/>
  <c r="D162" i="14"/>
  <c r="D163" i="14"/>
  <c r="D164" i="14"/>
  <c r="D165" i="14"/>
  <c r="D158" i="14"/>
  <c r="D107" i="14"/>
  <c r="D108" i="14"/>
  <c r="D109" i="14"/>
  <c r="D110" i="14"/>
  <c r="D111" i="14"/>
  <c r="D112" i="14"/>
  <c r="D106" i="14"/>
  <c r="N295" i="14" l="1"/>
  <c r="N294" i="14"/>
  <c r="N293" i="14"/>
  <c r="N292" i="14"/>
  <c r="N291" i="14"/>
  <c r="N290" i="14"/>
  <c r="N289" i="14"/>
  <c r="N288" i="14"/>
  <c r="N287" i="14"/>
  <c r="N286" i="14"/>
  <c r="P278" i="14"/>
  <c r="P277" i="14"/>
  <c r="O278" i="14"/>
  <c r="O277" i="14"/>
  <c r="O276" i="14"/>
  <c r="O275" i="14"/>
  <c r="O274" i="14"/>
  <c r="O273" i="14"/>
  <c r="O272" i="14"/>
  <c r="BM320" i="14" l="1"/>
  <c r="BM321" i="14"/>
  <c r="BM322" i="14"/>
  <c r="BM323" i="14"/>
  <c r="BM324" i="14"/>
  <c r="BM325" i="14"/>
  <c r="BM326" i="14"/>
  <c r="BM319" i="14"/>
  <c r="BM312" i="14"/>
  <c r="BM313" i="14"/>
  <c r="BM314" i="14"/>
  <c r="BM315" i="14"/>
  <c r="BM316" i="14"/>
  <c r="BM317" i="14"/>
  <c r="BM318" i="14"/>
  <c r="BM311" i="14"/>
  <c r="BM304" i="14"/>
  <c r="BM305" i="14"/>
  <c r="BM306" i="14"/>
  <c r="BM307" i="14"/>
  <c r="BM308" i="14"/>
  <c r="BM309" i="14"/>
  <c r="BM310" i="14"/>
  <c r="BM303" i="14"/>
  <c r="BM296" i="14"/>
  <c r="BM297" i="14"/>
  <c r="BM298" i="14"/>
  <c r="BM299" i="14"/>
  <c r="BM300" i="14"/>
  <c r="BM301" i="14"/>
  <c r="BM302" i="14"/>
  <c r="BM295" i="14"/>
  <c r="BM288" i="14"/>
  <c r="BM289" i="14"/>
  <c r="BM290" i="14"/>
  <c r="BM291" i="14"/>
  <c r="BM292" i="14"/>
  <c r="BM293" i="14"/>
  <c r="BM294" i="14"/>
  <c r="BM287" i="14"/>
  <c r="BM280" i="14"/>
  <c r="BM281" i="14"/>
  <c r="BM282" i="14"/>
  <c r="BM283" i="14"/>
  <c r="BM284" i="14"/>
  <c r="BM285" i="14"/>
  <c r="BM286" i="14"/>
  <c r="BM279" i="14"/>
  <c r="BM272" i="14"/>
  <c r="BM273" i="14"/>
  <c r="BM274" i="14"/>
  <c r="BM275" i="14"/>
  <c r="BM276" i="14"/>
  <c r="BM277" i="14"/>
  <c r="BM278" i="14"/>
  <c r="BM271" i="14"/>
  <c r="BM264" i="14"/>
  <c r="BM265" i="14"/>
  <c r="BM266" i="14"/>
  <c r="BM267" i="14"/>
  <c r="BM268" i="14"/>
  <c r="BM269" i="14"/>
  <c r="BM270" i="14"/>
  <c r="BM263" i="14"/>
  <c r="U273" i="14"/>
  <c r="U274" i="14"/>
  <c r="S272" i="14"/>
  <c r="U272" i="14" s="1"/>
  <c r="C312" i="14"/>
  <c r="BN320" i="14" s="1"/>
  <c r="C313" i="14"/>
  <c r="BN321" i="14" s="1"/>
  <c r="C314" i="14"/>
  <c r="BN322" i="14" s="1"/>
  <c r="C315" i="14"/>
  <c r="BN323" i="14" s="1"/>
  <c r="C316" i="14"/>
  <c r="BN324" i="14" s="1"/>
  <c r="C317" i="14"/>
  <c r="BN325" i="14" s="1"/>
  <c r="C318" i="14"/>
  <c r="BN326" i="14" s="1"/>
  <c r="C311" i="14"/>
  <c r="BN319" i="14" s="1"/>
  <c r="AK20" i="50" l="1"/>
  <c r="AB20" i="50"/>
  <c r="AN20" i="50"/>
  <c r="AH20" i="50"/>
  <c r="AO20" i="50"/>
  <c r="AI20" i="50"/>
  <c r="AL20" i="50"/>
  <c r="AC20" i="50"/>
  <c r="BN263" i="14"/>
  <c r="BN271" i="14"/>
  <c r="BN279" i="14"/>
  <c r="BN287" i="14"/>
  <c r="BN295" i="14"/>
  <c r="BN303" i="14"/>
  <c r="BN311" i="14"/>
  <c r="AM20" i="50"/>
  <c r="AD20" i="50"/>
  <c r="AP20" i="50"/>
  <c r="AJ20" i="50"/>
  <c r="BN270" i="14"/>
  <c r="BN269" i="14"/>
  <c r="BN268" i="14"/>
  <c r="BN267" i="14"/>
  <c r="BN266" i="14"/>
  <c r="BN265" i="14"/>
  <c r="BN264" i="14"/>
  <c r="BN278" i="14"/>
  <c r="BN277" i="14"/>
  <c r="BN276" i="14"/>
  <c r="BN275" i="14"/>
  <c r="BN274" i="14"/>
  <c r="BN273" i="14"/>
  <c r="BN272" i="14"/>
  <c r="BN286" i="14"/>
  <c r="BN285" i="14"/>
  <c r="BN284" i="14"/>
  <c r="BN283" i="14"/>
  <c r="BN282" i="14"/>
  <c r="BN281" i="14"/>
  <c r="BN280" i="14"/>
  <c r="BN294" i="14"/>
  <c r="BN293" i="14"/>
  <c r="BN292" i="14"/>
  <c r="BN291" i="14"/>
  <c r="BN290" i="14"/>
  <c r="BN289" i="14"/>
  <c r="BN288" i="14"/>
  <c r="BN302" i="14"/>
  <c r="BN301" i="14"/>
  <c r="BN300" i="14"/>
  <c r="BN299" i="14"/>
  <c r="BN298" i="14"/>
  <c r="BN297" i="14"/>
  <c r="BN296" i="14"/>
  <c r="BN310" i="14"/>
  <c r="BN309" i="14"/>
  <c r="BN308" i="14"/>
  <c r="BN307" i="14"/>
  <c r="BN306" i="14"/>
  <c r="BN305" i="14"/>
  <c r="BN304" i="14"/>
  <c r="BN318" i="14"/>
  <c r="BN317" i="14"/>
  <c r="BN316" i="14"/>
  <c r="BN315" i="14"/>
  <c r="BN314" i="14"/>
  <c r="BN313" i="14"/>
  <c r="BN312" i="14"/>
  <c r="V295" i="14"/>
  <c r="V292" i="14"/>
  <c r="V289" i="14"/>
  <c r="V286" i="14"/>
  <c r="U293" i="14"/>
  <c r="U290" i="14"/>
  <c r="U287" i="14"/>
  <c r="T294" i="14"/>
  <c r="T291" i="14"/>
  <c r="T288" i="14"/>
  <c r="S295" i="14"/>
  <c r="S292" i="14"/>
  <c r="S289" i="14"/>
  <c r="S286" i="14"/>
  <c r="R293" i="14"/>
  <c r="R290" i="14"/>
  <c r="R287" i="14"/>
  <c r="Q294" i="14"/>
  <c r="Q291" i="14"/>
  <c r="Q288" i="14"/>
  <c r="P295" i="14"/>
  <c r="P292" i="14"/>
  <c r="P289" i="14"/>
  <c r="P286" i="14"/>
  <c r="O289" i="14"/>
  <c r="O292" i="14"/>
  <c r="O295" i="14"/>
  <c r="V294" i="14"/>
  <c r="V291" i="14"/>
  <c r="V288" i="14"/>
  <c r="U295" i="14"/>
  <c r="U292" i="14"/>
  <c r="U289" i="14"/>
  <c r="U286" i="14"/>
  <c r="T293" i="14"/>
  <c r="T290" i="14"/>
  <c r="T287" i="14"/>
  <c r="S294" i="14"/>
  <c r="S291" i="14"/>
  <c r="S288" i="14"/>
  <c r="R295" i="14"/>
  <c r="R292" i="14"/>
  <c r="R289" i="14"/>
  <c r="R286" i="14"/>
  <c r="Q293" i="14"/>
  <c r="Q290" i="14"/>
  <c r="Q287" i="14"/>
  <c r="P294" i="14"/>
  <c r="P291" i="14"/>
  <c r="P288" i="14"/>
  <c r="O287" i="14"/>
  <c r="O290" i="14"/>
  <c r="O293" i="14"/>
  <c r="O286" i="14"/>
  <c r="V293" i="14"/>
  <c r="V290" i="14"/>
  <c r="V287" i="14"/>
  <c r="U294" i="14"/>
  <c r="U291" i="14"/>
  <c r="U288" i="14"/>
  <c r="T295" i="14"/>
  <c r="T292" i="14"/>
  <c r="T289" i="14"/>
  <c r="T286" i="14"/>
  <c r="S293" i="14"/>
  <c r="S290" i="14"/>
  <c r="S287" i="14"/>
  <c r="R294" i="14"/>
  <c r="R291" i="14"/>
  <c r="R288" i="14"/>
  <c r="Q295" i="14"/>
  <c r="Q292" i="14"/>
  <c r="Q289" i="14"/>
  <c r="Q286" i="14"/>
  <c r="P293" i="14"/>
  <c r="P290" i="14"/>
  <c r="P287" i="14"/>
  <c r="O288" i="14"/>
  <c r="O291" i="14"/>
  <c r="O294" i="14"/>
  <c r="BB222" i="14"/>
  <c r="BB220" i="14" l="1"/>
  <c r="BB219" i="14"/>
  <c r="BB218" i="14"/>
  <c r="BB217" i="14"/>
  <c r="BB216" i="14"/>
  <c r="BB215" i="14"/>
  <c r="BB214" i="14"/>
  <c r="BB213" i="14"/>
  <c r="BD204" i="14"/>
  <c r="BC204" i="14"/>
  <c r="BD203" i="14"/>
  <c r="BC203" i="14"/>
  <c r="BC202" i="14"/>
  <c r="BC201" i="14"/>
  <c r="BC200" i="14"/>
  <c r="BC199" i="14"/>
  <c r="BC198" i="14"/>
  <c r="BI200" i="14" l="1"/>
  <c r="BI199" i="14"/>
  <c r="BG198" i="14"/>
  <c r="BI198" i="14" s="1"/>
  <c r="BM252" i="14"/>
  <c r="BN252" i="14"/>
  <c r="BM253" i="14"/>
  <c r="BN253" i="14"/>
  <c r="BM254" i="14"/>
  <c r="BN254" i="14"/>
  <c r="BM255" i="14"/>
  <c r="BN255" i="14"/>
  <c r="BM256" i="14"/>
  <c r="BN256" i="14"/>
  <c r="BM257" i="14"/>
  <c r="BN257" i="14"/>
  <c r="BM258" i="14"/>
  <c r="BN258" i="14"/>
  <c r="BM259" i="14"/>
  <c r="BN259" i="14"/>
  <c r="BN251" i="14"/>
  <c r="BM251" i="14"/>
  <c r="BM243" i="14"/>
  <c r="BN243" i="14"/>
  <c r="BM244" i="14"/>
  <c r="BN244" i="14"/>
  <c r="BM245" i="14"/>
  <c r="BN245" i="14"/>
  <c r="BM246" i="14"/>
  <c r="BN246" i="14"/>
  <c r="BM247" i="14"/>
  <c r="BN247" i="14"/>
  <c r="BM248" i="14"/>
  <c r="BN248" i="14"/>
  <c r="BM249" i="14"/>
  <c r="BN249" i="14"/>
  <c r="BM250" i="14"/>
  <c r="BN250" i="14"/>
  <c r="BN242" i="14"/>
  <c r="BM242" i="14"/>
  <c r="BM234" i="14"/>
  <c r="BN234" i="14"/>
  <c r="BM235" i="14"/>
  <c r="BN235" i="14"/>
  <c r="BM236" i="14"/>
  <c r="BN236" i="14"/>
  <c r="BM237" i="14"/>
  <c r="BN237" i="14"/>
  <c r="BM238" i="14"/>
  <c r="BN238" i="14"/>
  <c r="BM239" i="14"/>
  <c r="BN239" i="14"/>
  <c r="BM240" i="14"/>
  <c r="BN240" i="14"/>
  <c r="BM241" i="14"/>
  <c r="BN241" i="14"/>
  <c r="BN233" i="14"/>
  <c r="BM233" i="14"/>
  <c r="BM225" i="14"/>
  <c r="BN225" i="14"/>
  <c r="BM226" i="14"/>
  <c r="BN226" i="14"/>
  <c r="BM227" i="14"/>
  <c r="BN227" i="14"/>
  <c r="BM228" i="14"/>
  <c r="BN228" i="14"/>
  <c r="BM229" i="14"/>
  <c r="BN229" i="14"/>
  <c r="BM230" i="14"/>
  <c r="BN230" i="14"/>
  <c r="BM231" i="14"/>
  <c r="BN231" i="14"/>
  <c r="BM232" i="14"/>
  <c r="BN232" i="14"/>
  <c r="BN224" i="14"/>
  <c r="BM224" i="14"/>
  <c r="BM216" i="14"/>
  <c r="BN216" i="14"/>
  <c r="BM217" i="14"/>
  <c r="BN217" i="14"/>
  <c r="BM218" i="14"/>
  <c r="BN218" i="14"/>
  <c r="BM219" i="14"/>
  <c r="BN219" i="14"/>
  <c r="BM220" i="14"/>
  <c r="BN220" i="14"/>
  <c r="BM221" i="14"/>
  <c r="BN221" i="14"/>
  <c r="BM222" i="14"/>
  <c r="BN222" i="14"/>
  <c r="BM223" i="14"/>
  <c r="BN223" i="14"/>
  <c r="BN215" i="14"/>
  <c r="BM215" i="14"/>
  <c r="BM207" i="14"/>
  <c r="BN207" i="14"/>
  <c r="BM208" i="14"/>
  <c r="BN208" i="14"/>
  <c r="BM209" i="14"/>
  <c r="BN209" i="14"/>
  <c r="BM210" i="14"/>
  <c r="BN210" i="14"/>
  <c r="BM211" i="14"/>
  <c r="BN211" i="14"/>
  <c r="BM212" i="14"/>
  <c r="BN212" i="14"/>
  <c r="BM213" i="14"/>
  <c r="BN213" i="14"/>
  <c r="BM214" i="14"/>
  <c r="BN214" i="14"/>
  <c r="BN206" i="14"/>
  <c r="BM206" i="14"/>
  <c r="BM198" i="14"/>
  <c r="BN198" i="14"/>
  <c r="BM199" i="14"/>
  <c r="BN199" i="14"/>
  <c r="BM200" i="14"/>
  <c r="BN200" i="14"/>
  <c r="BM201" i="14"/>
  <c r="BN201" i="14"/>
  <c r="BM202" i="14"/>
  <c r="BN202" i="14"/>
  <c r="BM203" i="14"/>
  <c r="BN203" i="14"/>
  <c r="BM204" i="14"/>
  <c r="BN204" i="14"/>
  <c r="BM205" i="14"/>
  <c r="BN205" i="14"/>
  <c r="BN197" i="14"/>
  <c r="BM197" i="14"/>
  <c r="BM189" i="14"/>
  <c r="BN189" i="14"/>
  <c r="BM190" i="14"/>
  <c r="BN190" i="14"/>
  <c r="BM191" i="14"/>
  <c r="BN191" i="14"/>
  <c r="BM192" i="14"/>
  <c r="BN192" i="14"/>
  <c r="BM193" i="14"/>
  <c r="BN193" i="14"/>
  <c r="BM194" i="14"/>
  <c r="BN194" i="14"/>
  <c r="BM195" i="14"/>
  <c r="BN195" i="14"/>
  <c r="BM196" i="14"/>
  <c r="BN196" i="14"/>
  <c r="BN188" i="14"/>
  <c r="BM188" i="14"/>
  <c r="CH216" i="14"/>
  <c r="CH189" i="14" s="1"/>
  <c r="CG216" i="14"/>
  <c r="CG189" i="14" s="1"/>
  <c r="CF216" i="14"/>
  <c r="CF189" i="14" s="1"/>
  <c r="CE216" i="14"/>
  <c r="CE189" i="14" s="1"/>
  <c r="CD216" i="14"/>
  <c r="CD189" i="14" s="1"/>
  <c r="CC216" i="14"/>
  <c r="CC189" i="14" s="1"/>
  <c r="CB216" i="14"/>
  <c r="CB189" i="14" s="1"/>
  <c r="CA216" i="14"/>
  <c r="CA189" i="14" s="1"/>
  <c r="AN19" i="50" l="1"/>
  <c r="AH19" i="50"/>
  <c r="AK19" i="50"/>
  <c r="AB19" i="50"/>
  <c r="AP19" i="50"/>
  <c r="AJ19" i="50"/>
  <c r="AM19" i="50"/>
  <c r="AD19" i="50"/>
  <c r="AL19" i="50"/>
  <c r="AC19" i="50"/>
  <c r="AO19" i="50"/>
  <c r="AI19" i="50"/>
  <c r="E168" i="22"/>
  <c r="E171" i="22"/>
  <c r="E174" i="22"/>
  <c r="E166" i="22"/>
  <c r="E169" i="22"/>
  <c r="E175" i="22"/>
  <c r="E167" i="22"/>
  <c r="E170" i="22"/>
  <c r="E173" i="22"/>
  <c r="E176" i="22"/>
  <c r="E165" i="22"/>
  <c r="E172" i="22"/>
  <c r="BE222" i="14"/>
  <c r="BH222" i="14"/>
  <c r="BF222" i="14"/>
  <c r="BI222" i="14"/>
  <c r="BG222" i="14"/>
  <c r="BJ222" i="14"/>
  <c r="BC222" i="14"/>
  <c r="BD222" i="14"/>
  <c r="BD214" i="14"/>
  <c r="BG214" i="14"/>
  <c r="BJ214" i="14"/>
  <c r="BF215" i="14"/>
  <c r="BI215" i="14"/>
  <c r="BE216" i="14"/>
  <c r="BH216" i="14"/>
  <c r="BD217" i="14"/>
  <c r="BG217" i="14"/>
  <c r="BJ217" i="14"/>
  <c r="BF218" i="14"/>
  <c r="BI218" i="14"/>
  <c r="BE219" i="14"/>
  <c r="BH219" i="14"/>
  <c r="BD220" i="14"/>
  <c r="BG220" i="14"/>
  <c r="BJ220" i="14"/>
  <c r="BF221" i="14"/>
  <c r="BI221" i="14"/>
  <c r="BI213" i="14"/>
  <c r="BF213" i="14"/>
  <c r="BC214" i="14"/>
  <c r="BC217" i="14"/>
  <c r="BC220" i="14"/>
  <c r="BE214" i="14"/>
  <c r="BH214" i="14"/>
  <c r="BD215" i="14"/>
  <c r="BG215" i="14"/>
  <c r="BJ215" i="14"/>
  <c r="BF216" i="14"/>
  <c r="BI216" i="14"/>
  <c r="BE217" i="14"/>
  <c r="BH217" i="14"/>
  <c r="BD218" i="14"/>
  <c r="BG218" i="14"/>
  <c r="BJ218" i="14"/>
  <c r="BF219" i="14"/>
  <c r="BI219" i="14"/>
  <c r="BE220" i="14"/>
  <c r="BH220" i="14"/>
  <c r="BD221" i="14"/>
  <c r="BG221" i="14"/>
  <c r="BJ221" i="14"/>
  <c r="BH213" i="14"/>
  <c r="BE213" i="14"/>
  <c r="BC215" i="14"/>
  <c r="BC218" i="14"/>
  <c r="BC221" i="14"/>
  <c r="BF214" i="14"/>
  <c r="BI214" i="14"/>
  <c r="BE215" i="14"/>
  <c r="BH215" i="14"/>
  <c r="BD216" i="14"/>
  <c r="BG216" i="14"/>
  <c r="BJ216" i="14"/>
  <c r="BF217" i="14"/>
  <c r="BI217" i="14"/>
  <c r="BE218" i="14"/>
  <c r="BH218" i="14"/>
  <c r="BD219" i="14"/>
  <c r="BG219" i="14"/>
  <c r="BJ219" i="14"/>
  <c r="BF220" i="14"/>
  <c r="BI220" i="14"/>
  <c r="BE221" i="14"/>
  <c r="BH221" i="14"/>
  <c r="BJ213" i="14"/>
  <c r="BG213" i="14"/>
  <c r="BD213" i="14"/>
  <c r="BC216" i="14"/>
  <c r="BC219" i="14"/>
  <c r="BC213" i="14"/>
  <c r="O191" i="14"/>
  <c r="N194" i="14"/>
  <c r="N195" i="14" s="1"/>
  <c r="N196" i="14" s="1"/>
  <c r="N197" i="14" s="1"/>
  <c r="N198" i="14" s="1"/>
  <c r="N199" i="14" s="1"/>
  <c r="N200" i="14" s="1"/>
  <c r="N201" i="14" s="1"/>
  <c r="N202" i="14" s="1"/>
  <c r="N203" i="14" s="1"/>
  <c r="N204" i="14" s="1"/>
  <c r="N205" i="14" s="1"/>
  <c r="N206" i="14" s="1"/>
  <c r="N207" i="14" s="1"/>
  <c r="N208" i="14" s="1"/>
  <c r="N209" i="14" s="1"/>
  <c r="N210" i="14" s="1"/>
  <c r="N211" i="14" s="1"/>
  <c r="N212" i="14" s="1"/>
  <c r="N213" i="14" s="1"/>
  <c r="N214" i="14" s="1"/>
  <c r="N215" i="14" s="1"/>
  <c r="N216" i="14" s="1"/>
  <c r="N217" i="14" s="1"/>
  <c r="N218" i="14" s="1"/>
  <c r="N219" i="14" s="1"/>
  <c r="N220" i="14" s="1"/>
  <c r="N221" i="14" s="1"/>
  <c r="N222" i="14" s="1"/>
  <c r="N223" i="14" s="1"/>
  <c r="N224" i="14" s="1"/>
  <c r="N225" i="14" s="1"/>
  <c r="N226" i="14" s="1"/>
  <c r="N227" i="14" s="1"/>
  <c r="N228" i="14" s="1"/>
  <c r="N229" i="14" s="1"/>
  <c r="N230" i="14" s="1"/>
  <c r="N231" i="14" s="1"/>
  <c r="N232" i="14" s="1"/>
  <c r="N233" i="14" s="1"/>
  <c r="N234" i="14" s="1"/>
  <c r="N235" i="14" s="1"/>
  <c r="N236" i="14" s="1"/>
  <c r="N237" i="14" s="1"/>
  <c r="N238" i="14" s="1"/>
  <c r="N239" i="14" s="1"/>
  <c r="N240" i="14" s="1"/>
  <c r="N241" i="14" s="1"/>
  <c r="M233" i="14"/>
  <c r="M234" i="14"/>
  <c r="M235" i="14"/>
  <c r="M236" i="14"/>
  <c r="M237" i="14"/>
  <c r="M238" i="14"/>
  <c r="M239" i="14"/>
  <c r="M240" i="14"/>
  <c r="M241" i="14"/>
  <c r="M232" i="14"/>
  <c r="M230" i="14"/>
  <c r="M228" i="14"/>
  <c r="M226" i="14"/>
  <c r="M224" i="14"/>
  <c r="M220" i="14"/>
  <c r="M218" i="14"/>
  <c r="M216" i="14"/>
  <c r="M212" i="14"/>
  <c r="M210" i="14"/>
  <c r="M208" i="14"/>
  <c r="M205" i="14"/>
  <c r="M206" i="14" s="1"/>
  <c r="M194" i="14"/>
  <c r="M195" i="14"/>
  <c r="M196" i="14"/>
  <c r="M197" i="14"/>
  <c r="M198" i="14"/>
  <c r="M199" i="14"/>
  <c r="M193" i="14"/>
  <c r="M204" i="14" l="1"/>
  <c r="M201" i="14"/>
  <c r="M202" i="14" s="1"/>
  <c r="M200" i="14" l="1"/>
  <c r="I223" i="14"/>
  <c r="J246" i="14" l="1"/>
  <c r="J244" i="14"/>
  <c r="J242" i="14"/>
  <c r="J241" i="14"/>
  <c r="J239" i="14"/>
  <c r="J237" i="14"/>
  <c r="J236" i="14"/>
  <c r="J234" i="14"/>
  <c r="O209" i="14" s="1"/>
  <c r="O214" i="14" l="1"/>
  <c r="O217" i="14"/>
  <c r="O225" i="14"/>
  <c r="O213" i="14"/>
  <c r="O221" i="14"/>
  <c r="O229" i="14"/>
  <c r="O222" i="14"/>
  <c r="K237" i="14"/>
  <c r="K242" i="14"/>
  <c r="BM179" i="14"/>
  <c r="BM115" i="14"/>
  <c r="BM116" i="14"/>
  <c r="BM117" i="14"/>
  <c r="BM118" i="14"/>
  <c r="BM119" i="14"/>
  <c r="BM120" i="14"/>
  <c r="BM114" i="14"/>
  <c r="L105" i="14"/>
  <c r="BN115" i="14" s="1"/>
  <c r="V19" i="14"/>
  <c r="BN47" i="14" s="1"/>
  <c r="BN49" i="14" l="1"/>
  <c r="BN51" i="14"/>
  <c r="BN46" i="14"/>
  <c r="BN45" i="14"/>
  <c r="BN48" i="14"/>
  <c r="BN50" i="14"/>
  <c r="BN114" i="14"/>
  <c r="BN119" i="14"/>
  <c r="BN116" i="14"/>
  <c r="BN120" i="14"/>
  <c r="BN117" i="14"/>
  <c r="BN118" i="14"/>
  <c r="P222" i="14"/>
  <c r="P214" i="14"/>
  <c r="K263" i="14" l="1"/>
  <c r="U263" i="14" s="1"/>
  <c r="BO368" i="14" l="1"/>
  <c r="BO367" i="14"/>
  <c r="BO366" i="14"/>
  <c r="BO364" i="14"/>
  <c r="BO363" i="14"/>
  <c r="BO362" i="14"/>
  <c r="BO361" i="14"/>
  <c r="BO359" i="14"/>
  <c r="BO358" i="14"/>
  <c r="BO357" i="14"/>
  <c r="BO356" i="14"/>
  <c r="BO355" i="14"/>
  <c r="BO354" i="14"/>
  <c r="BO353" i="14"/>
  <c r="BO352" i="14"/>
  <c r="BO351" i="14"/>
  <c r="BO350" i="14"/>
  <c r="BO349" i="14"/>
  <c r="BO348" i="14"/>
  <c r="BO347" i="14"/>
  <c r="BO346" i="14"/>
  <c r="BO345" i="14"/>
  <c r="BO341" i="14"/>
  <c r="BO340" i="14"/>
  <c r="BO337" i="14"/>
  <c r="BO334" i="14"/>
  <c r="BO333" i="14"/>
  <c r="V355" i="14" l="1"/>
  <c r="BR343" i="14" s="1"/>
  <c r="K329" i="14"/>
  <c r="BM336" i="14" l="1"/>
  <c r="BM333" i="14"/>
  <c r="BM334" i="14"/>
  <c r="BM335" i="14"/>
  <c r="U329" i="14"/>
  <c r="AE329" i="14"/>
  <c r="V356" i="14"/>
  <c r="U362" i="14" l="1"/>
  <c r="U391" i="14"/>
  <c r="BD392" i="14" s="1"/>
  <c r="V389" i="14"/>
  <c r="BD399" i="14" s="1"/>
  <c r="U389" i="14"/>
  <c r="BD390" i="14" s="1"/>
  <c r="T389" i="14"/>
  <c r="BD381" i="14" s="1"/>
  <c r="S389" i="14"/>
  <c r="BD372" i="14" s="1"/>
  <c r="R389" i="14"/>
  <c r="BD363" i="14" s="1"/>
  <c r="Q389" i="14"/>
  <c r="BD354" i="14" s="1"/>
  <c r="P389" i="14"/>
  <c r="BD345" i="14" s="1"/>
  <c r="O389" i="14"/>
  <c r="BD336" i="14" s="1"/>
  <c r="V386" i="14"/>
  <c r="BD396" i="14" s="1"/>
  <c r="V383" i="14"/>
  <c r="BD393" i="14" s="1"/>
  <c r="U386" i="14"/>
  <c r="BD387" i="14" s="1"/>
  <c r="U383" i="14"/>
  <c r="BD384" i="14" s="1"/>
  <c r="T386" i="14"/>
  <c r="BD378" i="14" s="1"/>
  <c r="T383" i="14"/>
  <c r="BD375" i="14" s="1"/>
  <c r="S386" i="14"/>
  <c r="BD369" i="14" s="1"/>
  <c r="S383" i="14"/>
  <c r="BD366" i="14" s="1"/>
  <c r="R386" i="14"/>
  <c r="BD360" i="14" s="1"/>
  <c r="R383" i="14"/>
  <c r="BD357" i="14" s="1"/>
  <c r="Q386" i="14"/>
  <c r="BD351" i="14" s="1"/>
  <c r="Q383" i="14"/>
  <c r="BD348" i="14" s="1"/>
  <c r="P386" i="14"/>
  <c r="BD342" i="14" s="1"/>
  <c r="P383" i="14"/>
  <c r="BD339" i="14" s="1"/>
  <c r="O386" i="14"/>
  <c r="BD333" i="14" s="1"/>
  <c r="O383" i="14"/>
  <c r="BD330" i="14" s="1"/>
  <c r="V391" i="14"/>
  <c r="BD401" i="14" s="1"/>
  <c r="T391" i="14"/>
  <c r="BD383" i="14" s="1"/>
  <c r="S391" i="14"/>
  <c r="BD374" i="14" s="1"/>
  <c r="R391" i="14"/>
  <c r="BD365" i="14" s="1"/>
  <c r="Q391" i="14"/>
  <c r="BD356" i="14" s="1"/>
  <c r="P391" i="14"/>
  <c r="BD347" i="14" s="1"/>
  <c r="O391" i="14"/>
  <c r="BD338" i="14" s="1"/>
  <c r="V388" i="14"/>
  <c r="BD398" i="14" s="1"/>
  <c r="V385" i="14"/>
  <c r="BD395" i="14" s="1"/>
  <c r="U388" i="14"/>
  <c r="BD389" i="14" s="1"/>
  <c r="U385" i="14"/>
  <c r="BD386" i="14" s="1"/>
  <c r="T388" i="14"/>
  <c r="BD380" i="14" s="1"/>
  <c r="T385" i="14"/>
  <c r="BD377" i="14" s="1"/>
  <c r="S388" i="14"/>
  <c r="BD371" i="14" s="1"/>
  <c r="S385" i="14"/>
  <c r="BD368" i="14" s="1"/>
  <c r="V390" i="14"/>
  <c r="BD400" i="14" s="1"/>
  <c r="S390" i="14"/>
  <c r="BD373" i="14" s="1"/>
  <c r="P390" i="14"/>
  <c r="BD346" i="14" s="1"/>
  <c r="V384" i="14"/>
  <c r="BD394" i="14" s="1"/>
  <c r="S384" i="14"/>
  <c r="BD367" i="14" s="1"/>
  <c r="Q387" i="14"/>
  <c r="BD352" i="14" s="1"/>
  <c r="P384" i="14"/>
  <c r="BD340" i="14" s="1"/>
  <c r="U390" i="14"/>
  <c r="BD391" i="14" s="1"/>
  <c r="R390" i="14"/>
  <c r="BD364" i="14" s="1"/>
  <c r="U387" i="14"/>
  <c r="BD388" i="14" s="1"/>
  <c r="T384" i="14"/>
  <c r="BD376" i="14" s="1"/>
  <c r="Q385" i="14"/>
  <c r="BD350" i="14" s="1"/>
  <c r="P387" i="14"/>
  <c r="BD343" i="14" s="1"/>
  <c r="O384" i="14"/>
  <c r="BD331" i="14" s="1"/>
  <c r="R388" i="14"/>
  <c r="BD362" i="14" s="1"/>
  <c r="T390" i="14"/>
  <c r="BD382" i="14" s="1"/>
  <c r="Q390" i="14"/>
  <c r="BD355" i="14" s="1"/>
  <c r="V387" i="14"/>
  <c r="BD397" i="14" s="1"/>
  <c r="U384" i="14"/>
  <c r="BD385" i="14" s="1"/>
  <c r="S387" i="14"/>
  <c r="BD370" i="14" s="1"/>
  <c r="R387" i="14"/>
  <c r="BD361" i="14" s="1"/>
  <c r="Q388" i="14"/>
  <c r="BD353" i="14" s="1"/>
  <c r="Q384" i="14"/>
  <c r="BD349" i="14" s="1"/>
  <c r="P385" i="14"/>
  <c r="BD341" i="14" s="1"/>
  <c r="O387" i="14"/>
  <c r="BD334" i="14" s="1"/>
  <c r="T387" i="14"/>
  <c r="BD379" i="14" s="1"/>
  <c r="R385" i="14"/>
  <c r="BD359" i="14" s="1"/>
  <c r="P388" i="14"/>
  <c r="BD344" i="14" s="1"/>
  <c r="O385" i="14"/>
  <c r="BD332" i="14" s="1"/>
  <c r="O390" i="14"/>
  <c r="BD337" i="14" s="1"/>
  <c r="R384" i="14"/>
  <c r="BD358" i="14" s="1"/>
  <c r="O388" i="14"/>
  <c r="BD335" i="14" s="1"/>
  <c r="J226" i="14"/>
  <c r="J227" i="14"/>
  <c r="O195" i="14" s="1"/>
  <c r="J228" i="14"/>
  <c r="O196" i="14" s="1"/>
  <c r="J229" i="14"/>
  <c r="O197" i="14" s="1"/>
  <c r="J230" i="14"/>
  <c r="O198" i="14" s="1"/>
  <c r="J231" i="14"/>
  <c r="O199" i="14" s="1"/>
  <c r="J232" i="14"/>
  <c r="O203" i="14" s="1"/>
  <c r="J233" i="14"/>
  <c r="O207" i="14" s="1"/>
  <c r="J235" i="14"/>
  <c r="O211" i="14" s="1"/>
  <c r="J238" i="14"/>
  <c r="O215" i="14" s="1"/>
  <c r="J240" i="14"/>
  <c r="O219" i="14" s="1"/>
  <c r="J243" i="14"/>
  <c r="O223" i="14" s="1"/>
  <c r="J245" i="14"/>
  <c r="J247" i="14"/>
  <c r="O231" i="14" s="1"/>
  <c r="J248" i="14"/>
  <c r="J249" i="14"/>
  <c r="O233" i="14" s="1"/>
  <c r="J250" i="14"/>
  <c r="O234" i="14" s="1"/>
  <c r="J251" i="14"/>
  <c r="O235" i="14" s="1"/>
  <c r="J252" i="14"/>
  <c r="O236" i="14" s="1"/>
  <c r="J253" i="14"/>
  <c r="O237" i="14" s="1"/>
  <c r="J254" i="14"/>
  <c r="O238" i="14" s="1"/>
  <c r="J255" i="14"/>
  <c r="O239" i="14" s="1"/>
  <c r="J256" i="14"/>
  <c r="O240" i="14" s="1"/>
  <c r="J257" i="14"/>
  <c r="J225" i="14"/>
  <c r="O193" i="14" s="1"/>
  <c r="O227" i="14" l="1"/>
  <c r="K246" i="14"/>
  <c r="O232" i="14"/>
  <c r="K248" i="14"/>
  <c r="O241" i="14"/>
  <c r="K257" i="14"/>
  <c r="P238" i="14"/>
  <c r="P196" i="14"/>
  <c r="P235" i="14"/>
  <c r="P223" i="14"/>
  <c r="O224" i="14"/>
  <c r="O212" i="14"/>
  <c r="O210" i="14"/>
  <c r="P237" i="14"/>
  <c r="P234" i="14"/>
  <c r="O230" i="14"/>
  <c r="P231" i="14" s="1"/>
  <c r="O220" i="14"/>
  <c r="O218" i="14"/>
  <c r="O208" i="14"/>
  <c r="P198" i="14"/>
  <c r="P241" i="14"/>
  <c r="P232" i="14"/>
  <c r="P199" i="14"/>
  <c r="P240" i="14"/>
  <c r="P239" i="14"/>
  <c r="P236" i="14"/>
  <c r="P233" i="14"/>
  <c r="O228" i="14"/>
  <c r="O226" i="14"/>
  <c r="P227" i="14" s="1"/>
  <c r="O216" i="14"/>
  <c r="P215" i="14"/>
  <c r="O201" i="14"/>
  <c r="O200" i="14" s="1"/>
  <c r="O205" i="14"/>
  <c r="O204" i="14" s="1"/>
  <c r="P197" i="14"/>
  <c r="O194" i="14"/>
  <c r="P195" i="14" s="1"/>
  <c r="K247" i="14"/>
  <c r="K249" i="14"/>
  <c r="K233" i="14"/>
  <c r="K234" i="14"/>
  <c r="K256" i="14"/>
  <c r="K232" i="14"/>
  <c r="K231" i="14"/>
  <c r="K245" i="14"/>
  <c r="K253" i="14"/>
  <c r="K252" i="14"/>
  <c r="K228" i="14"/>
  <c r="K255" i="14"/>
  <c r="K254" i="14"/>
  <c r="K243" i="14"/>
  <c r="K244" i="14"/>
  <c r="K251" i="14"/>
  <c r="K227" i="14"/>
  <c r="K230" i="14"/>
  <c r="K229" i="14"/>
  <c r="K240" i="14"/>
  <c r="K241" i="14"/>
  <c r="K238" i="14"/>
  <c r="K239" i="14"/>
  <c r="K250" i="14"/>
  <c r="K235" i="14"/>
  <c r="K236" i="14"/>
  <c r="K226" i="14"/>
  <c r="K188" i="14"/>
  <c r="U188" i="14" s="1"/>
  <c r="AE188" i="14" s="1"/>
  <c r="AO188" i="14" s="1"/>
  <c r="AY188" i="14" s="1"/>
  <c r="BI188" i="14" s="1"/>
  <c r="K132" i="14"/>
  <c r="P204" i="14" l="1"/>
  <c r="P200" i="14"/>
  <c r="P228" i="14"/>
  <c r="P229" i="14"/>
  <c r="P208" i="14"/>
  <c r="P209" i="14"/>
  <c r="P218" i="14"/>
  <c r="P210" i="14"/>
  <c r="P211" i="14"/>
  <c r="P216" i="14"/>
  <c r="P217" i="14"/>
  <c r="P219" i="14"/>
  <c r="P212" i="14"/>
  <c r="P213" i="14"/>
  <c r="P201" i="14"/>
  <c r="O202" i="14"/>
  <c r="P194" i="14"/>
  <c r="O206" i="14"/>
  <c r="P205" i="14"/>
  <c r="P226" i="14"/>
  <c r="P220" i="14"/>
  <c r="P221" i="14"/>
  <c r="P230" i="14"/>
  <c r="P224" i="14"/>
  <c r="P225" i="14"/>
  <c r="N26" i="14"/>
  <c r="BM51" i="14" s="1"/>
  <c r="N25" i="14"/>
  <c r="BM50" i="14" s="1"/>
  <c r="BM49" i="14"/>
  <c r="N23" i="14"/>
  <c r="BM48" i="14" s="1"/>
  <c r="N22" i="14"/>
  <c r="BM47" i="14" s="1"/>
  <c r="N21" i="14"/>
  <c r="BM46" i="14" s="1"/>
  <c r="N20" i="14"/>
  <c r="BM45" i="14" s="1"/>
  <c r="P41" i="14"/>
  <c r="O41" i="14"/>
  <c r="P40" i="14"/>
  <c r="O39" i="14"/>
  <c r="O38" i="14"/>
  <c r="O37" i="14"/>
  <c r="O36" i="14"/>
  <c r="O35" i="14"/>
  <c r="P206" i="14" l="1"/>
  <c r="P207" i="14"/>
  <c r="P202" i="14"/>
  <c r="P203" i="14"/>
  <c r="BM39" i="14"/>
  <c r="BM40" i="14"/>
  <c r="BM41" i="14"/>
  <c r="BM42" i="14"/>
  <c r="BM43" i="14"/>
  <c r="BM44" i="14"/>
  <c r="BM38" i="14"/>
  <c r="BM32" i="14"/>
  <c r="BM33" i="14"/>
  <c r="BM34" i="14"/>
  <c r="BM35" i="14"/>
  <c r="BM36" i="14"/>
  <c r="BM37" i="14"/>
  <c r="BM31" i="14"/>
  <c r="BM25" i="14"/>
  <c r="BM26" i="14"/>
  <c r="BM27" i="14"/>
  <c r="BM28" i="14"/>
  <c r="BM29" i="14"/>
  <c r="BM30" i="14"/>
  <c r="BM24" i="14"/>
  <c r="BM18" i="14"/>
  <c r="BM19" i="14"/>
  <c r="BM20" i="14"/>
  <c r="BM21" i="14"/>
  <c r="BM22" i="14"/>
  <c r="BM23" i="14"/>
  <c r="BM17" i="14"/>
  <c r="BM11" i="14"/>
  <c r="BM12" i="14"/>
  <c r="BM13" i="14"/>
  <c r="BM14" i="14"/>
  <c r="BM15" i="14"/>
  <c r="BM16" i="14"/>
  <c r="BM10" i="14"/>
  <c r="BM4" i="14"/>
  <c r="BM5" i="14"/>
  <c r="BM6" i="14"/>
  <c r="BM7" i="14"/>
  <c r="BM8" i="14"/>
  <c r="BM9" i="14"/>
  <c r="BM3" i="14"/>
  <c r="U47" i="14"/>
  <c r="T47" i="14"/>
  <c r="S47" i="14"/>
  <c r="R47" i="14"/>
  <c r="Q47" i="14"/>
  <c r="P47" i="14"/>
  <c r="O47" i="14"/>
  <c r="AE37" i="14"/>
  <c r="U37" i="14"/>
  <c r="AE38" i="14" s="1"/>
  <c r="S35" i="14"/>
  <c r="U35" i="14" s="1"/>
  <c r="U19" i="14"/>
  <c r="BN41" i="14" s="1"/>
  <c r="T19" i="14"/>
  <c r="BN36" i="14" s="1"/>
  <c r="S19" i="14"/>
  <c r="BN24" i="14" s="1"/>
  <c r="R19" i="14"/>
  <c r="BN19" i="14" s="1"/>
  <c r="Q19" i="14"/>
  <c r="BN11" i="14" s="1"/>
  <c r="P19" i="14"/>
  <c r="BN8" i="14" s="1"/>
  <c r="K3" i="14"/>
  <c r="U3" i="14" s="1"/>
  <c r="AE3" i="14" s="1"/>
  <c r="V48" i="14" l="1"/>
  <c r="AM16" i="50"/>
  <c r="AP16" i="50"/>
  <c r="AJ16" i="50"/>
  <c r="AD16" i="50"/>
  <c r="AO16" i="50"/>
  <c r="AI16" i="50"/>
  <c r="AL16" i="50"/>
  <c r="AC16" i="50"/>
  <c r="V50" i="14"/>
  <c r="V53" i="14"/>
  <c r="V56" i="14"/>
  <c r="V59" i="14"/>
  <c r="V51" i="14"/>
  <c r="V54" i="14"/>
  <c r="V57" i="14"/>
  <c r="V60" i="14"/>
  <c r="V49" i="14"/>
  <c r="V52" i="14"/>
  <c r="V55" i="14"/>
  <c r="V58" i="14"/>
  <c r="V61" i="14"/>
  <c r="BN14" i="14"/>
  <c r="BN28" i="14"/>
  <c r="BN5" i="14"/>
  <c r="BN27" i="14"/>
  <c r="BN26" i="14"/>
  <c r="BN7" i="14"/>
  <c r="BN15" i="14"/>
  <c r="BN30" i="14"/>
  <c r="BN17" i="14"/>
  <c r="BN4" i="14"/>
  <c r="BN23" i="14"/>
  <c r="BN16" i="14"/>
  <c r="BN18" i="14"/>
  <c r="BN35" i="14"/>
  <c r="BN40" i="14"/>
  <c r="BN6" i="14"/>
  <c r="BN10" i="14"/>
  <c r="BN29" i="14"/>
  <c r="BN34" i="14"/>
  <c r="BN39" i="14"/>
  <c r="BN33" i="14"/>
  <c r="BN22" i="14"/>
  <c r="BN44" i="14"/>
  <c r="R50" i="14"/>
  <c r="U51" i="14"/>
  <c r="S53" i="14"/>
  <c r="Q55" i="14"/>
  <c r="T56" i="14"/>
  <c r="R58" i="14"/>
  <c r="U59" i="14"/>
  <c r="S61" i="14"/>
  <c r="P49" i="14"/>
  <c r="P57" i="14"/>
  <c r="O51" i="14"/>
  <c r="O59" i="14"/>
  <c r="AE36" i="14"/>
  <c r="S50" i="14"/>
  <c r="Q52" i="14"/>
  <c r="T53" i="14"/>
  <c r="R55" i="14"/>
  <c r="U56" i="14"/>
  <c r="S58" i="14"/>
  <c r="Q60" i="14"/>
  <c r="T61" i="14"/>
  <c r="P50" i="14"/>
  <c r="P58" i="14"/>
  <c r="O52" i="14"/>
  <c r="O60" i="14"/>
  <c r="Q49" i="14"/>
  <c r="T50" i="14"/>
  <c r="R52" i="14"/>
  <c r="U53" i="14"/>
  <c r="S55" i="14"/>
  <c r="Q57" i="14"/>
  <c r="T58" i="14"/>
  <c r="R60" i="14"/>
  <c r="U61" i="14"/>
  <c r="P51" i="14"/>
  <c r="P59" i="14"/>
  <c r="O53" i="14"/>
  <c r="O61" i="14"/>
  <c r="R49" i="14"/>
  <c r="U50" i="14"/>
  <c r="S52" i="14"/>
  <c r="Q54" i="14"/>
  <c r="T55" i="14"/>
  <c r="R57" i="14"/>
  <c r="U58" i="14"/>
  <c r="S60" i="14"/>
  <c r="U48" i="14"/>
  <c r="P52" i="14"/>
  <c r="P60" i="14"/>
  <c r="O54" i="14"/>
  <c r="O48" i="14"/>
  <c r="S49" i="14"/>
  <c r="Q51" i="14"/>
  <c r="T52" i="14"/>
  <c r="R54" i="14"/>
  <c r="U55" i="14"/>
  <c r="S57" i="14"/>
  <c r="Q59" i="14"/>
  <c r="T60" i="14"/>
  <c r="T48" i="14"/>
  <c r="P53" i="14"/>
  <c r="P61" i="14"/>
  <c r="O55" i="14"/>
  <c r="T49" i="14"/>
  <c r="R51" i="14"/>
  <c r="U52" i="14"/>
  <c r="S54" i="14"/>
  <c r="Q56" i="14"/>
  <c r="T57" i="14"/>
  <c r="R59" i="14"/>
  <c r="U60" i="14"/>
  <c r="S48" i="14"/>
  <c r="P54" i="14"/>
  <c r="P48" i="14"/>
  <c r="O56" i="14"/>
  <c r="U49" i="14"/>
  <c r="S51" i="14"/>
  <c r="Q53" i="14"/>
  <c r="T54" i="14"/>
  <c r="R56" i="14"/>
  <c r="U57" i="14"/>
  <c r="S59" i="14"/>
  <c r="Q61" i="14"/>
  <c r="R48" i="14"/>
  <c r="Q50" i="14"/>
  <c r="Q48" i="14"/>
  <c r="T51" i="14"/>
  <c r="P55" i="14"/>
  <c r="R53" i="14"/>
  <c r="P56" i="14"/>
  <c r="U54" i="14"/>
  <c r="O49" i="14"/>
  <c r="S56" i="14"/>
  <c r="O50" i="14"/>
  <c r="Q58" i="14"/>
  <c r="O57" i="14"/>
  <c r="T59" i="14"/>
  <c r="O58" i="14"/>
  <c r="R61" i="14"/>
  <c r="BN3" i="14"/>
  <c r="BN21" i="14"/>
  <c r="BN13" i="14"/>
  <c r="BN25" i="14"/>
  <c r="BN31" i="14"/>
  <c r="BN43" i="14"/>
  <c r="BN38" i="14"/>
  <c r="BN9" i="14"/>
  <c r="BN20" i="14"/>
  <c r="BN12" i="14"/>
  <c r="BN37" i="14"/>
  <c r="BN42" i="14"/>
  <c r="BN32" i="14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E7" i="1" s="1"/>
  <c r="E8" i="1" l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AK16" i="50"/>
  <c r="AB16" i="50"/>
  <c r="AN16" i="50"/>
  <c r="AH16" i="50"/>
  <c r="C23" i="14"/>
  <c r="C31" i="14"/>
  <c r="C39" i="14"/>
  <c r="C24" i="14"/>
  <c r="C32" i="14"/>
  <c r="C40" i="14"/>
  <c r="C41" i="14"/>
  <c r="C34" i="14"/>
  <c r="C43" i="14"/>
  <c r="C28" i="14"/>
  <c r="C36" i="14"/>
  <c r="C44" i="14"/>
  <c r="C33" i="14"/>
  <c r="C42" i="14"/>
  <c r="C27" i="14"/>
  <c r="C21" i="14"/>
  <c r="C29" i="14"/>
  <c r="C37" i="14"/>
  <c r="C25" i="14"/>
  <c r="C26" i="14"/>
  <c r="C35" i="14"/>
  <c r="C22" i="14"/>
  <c r="C30" i="14"/>
  <c r="C38" i="14"/>
  <c r="C15" i="14"/>
  <c r="C16" i="14"/>
  <c r="C9" i="14"/>
  <c r="C17" i="14"/>
  <c r="C7" i="14"/>
  <c r="C8" i="14"/>
  <c r="B8" i="14" s="1"/>
  <c r="C10" i="14"/>
  <c r="C18" i="14"/>
  <c r="C11" i="14"/>
  <c r="C12" i="14"/>
  <c r="C13" i="14"/>
  <c r="C19" i="14"/>
  <c r="C20" i="14"/>
  <c r="C14" i="14"/>
  <c r="E179" i="14"/>
  <c r="E178" i="14"/>
  <c r="E177" i="14"/>
  <c r="E176" i="14"/>
  <c r="F181" i="14"/>
  <c r="E181" i="14"/>
  <c r="F180" i="14"/>
  <c r="E180" i="14"/>
  <c r="E175" i="14"/>
  <c r="E58" i="1" l="1"/>
  <c r="R57" i="1"/>
  <c r="AH57" i="1"/>
  <c r="J57" i="1"/>
  <c r="AP57" i="1"/>
  <c r="Z57" i="1"/>
  <c r="B9" i="14"/>
  <c r="C68" i="14"/>
  <c r="D7" i="14" s="1"/>
  <c r="E7" i="14" s="1"/>
  <c r="BM171" i="14"/>
  <c r="BM163" i="14"/>
  <c r="BM155" i="14"/>
  <c r="BM147" i="14"/>
  <c r="BM139" i="14"/>
  <c r="V136" i="14"/>
  <c r="E59" i="1" l="1"/>
  <c r="AP58" i="1"/>
  <c r="Z58" i="1"/>
  <c r="J58" i="1"/>
  <c r="AH58" i="1"/>
  <c r="R58" i="1"/>
  <c r="D9" i="14"/>
  <c r="E9" i="14" s="1"/>
  <c r="D8" i="14"/>
  <c r="E8" i="14" s="1"/>
  <c r="B10" i="14"/>
  <c r="U136" i="14"/>
  <c r="T136" i="14"/>
  <c r="S136" i="14"/>
  <c r="R136" i="14"/>
  <c r="Q136" i="14"/>
  <c r="P136" i="14"/>
  <c r="O136" i="14"/>
  <c r="K177" i="14"/>
  <c r="K176" i="14"/>
  <c r="I175" i="14"/>
  <c r="K175" i="14" s="1"/>
  <c r="BM173" i="14"/>
  <c r="BM174" i="14"/>
  <c r="BM175" i="14"/>
  <c r="BM176" i="14"/>
  <c r="BM177" i="14"/>
  <c r="BM178" i="14"/>
  <c r="BM172" i="14"/>
  <c r="BM165" i="14"/>
  <c r="BM166" i="14"/>
  <c r="BM167" i="14"/>
  <c r="BM168" i="14"/>
  <c r="BM169" i="14"/>
  <c r="BM170" i="14"/>
  <c r="BM164" i="14"/>
  <c r="BM157" i="14"/>
  <c r="BM158" i="14"/>
  <c r="BM159" i="14"/>
  <c r="BM160" i="14"/>
  <c r="BM161" i="14"/>
  <c r="BM162" i="14"/>
  <c r="BM156" i="14"/>
  <c r="BM149" i="14"/>
  <c r="BM150" i="14"/>
  <c r="BM151" i="14"/>
  <c r="BM152" i="14"/>
  <c r="BM153" i="14"/>
  <c r="BM154" i="14"/>
  <c r="BM148" i="14"/>
  <c r="BM141" i="14"/>
  <c r="BM142" i="14"/>
  <c r="BM143" i="14"/>
  <c r="BM144" i="14"/>
  <c r="BM145" i="14"/>
  <c r="BM146" i="14"/>
  <c r="BM140" i="14"/>
  <c r="BM133" i="14"/>
  <c r="BM134" i="14"/>
  <c r="BM135" i="14"/>
  <c r="BM136" i="14"/>
  <c r="BM137" i="14"/>
  <c r="BM138" i="14"/>
  <c r="BM132" i="14"/>
  <c r="K157" i="14"/>
  <c r="BN178" i="14" s="1"/>
  <c r="J157" i="14"/>
  <c r="BN165" i="14" s="1"/>
  <c r="I157" i="14"/>
  <c r="H157" i="14"/>
  <c r="BN149" i="14" s="1"/>
  <c r="G157" i="14"/>
  <c r="F157" i="14"/>
  <c r="E60" i="1" l="1"/>
  <c r="AP59" i="1"/>
  <c r="R59" i="1"/>
  <c r="AH59" i="1"/>
  <c r="Z59" i="1"/>
  <c r="J59" i="1"/>
  <c r="AK18" i="50"/>
  <c r="AB18" i="50"/>
  <c r="AN18" i="50"/>
  <c r="AH18" i="50"/>
  <c r="Q178" i="14"/>
  <c r="AM18" i="50"/>
  <c r="AP18" i="50"/>
  <c r="AJ18" i="50"/>
  <c r="AD18" i="50"/>
  <c r="Q177" i="14"/>
  <c r="AO18" i="50"/>
  <c r="AI18" i="50"/>
  <c r="AL18" i="50"/>
  <c r="AC18" i="50"/>
  <c r="D10" i="14"/>
  <c r="E10" i="14" s="1"/>
  <c r="B11" i="14"/>
  <c r="BN164" i="14"/>
  <c r="BN175" i="14"/>
  <c r="BN152" i="14"/>
  <c r="BN168" i="14"/>
  <c r="BN134" i="14"/>
  <c r="BN139" i="14"/>
  <c r="BN141" i="14"/>
  <c r="BN147" i="14"/>
  <c r="BN151" i="14"/>
  <c r="BN155" i="14"/>
  <c r="BN157" i="14"/>
  <c r="BN163" i="14"/>
  <c r="BN167" i="14"/>
  <c r="BN171" i="14"/>
  <c r="BN145" i="14"/>
  <c r="BN174" i="14"/>
  <c r="BN179" i="14"/>
  <c r="BN142" i="14"/>
  <c r="BN148" i="14"/>
  <c r="V139" i="14"/>
  <c r="V142" i="14"/>
  <c r="V137" i="14"/>
  <c r="V143" i="14"/>
  <c r="V138" i="14"/>
  <c r="V141" i="14"/>
  <c r="V144" i="14"/>
  <c r="V140" i="14"/>
  <c r="O140" i="14"/>
  <c r="S140" i="14"/>
  <c r="U137" i="14"/>
  <c r="Q138" i="14"/>
  <c r="T138" i="14"/>
  <c r="Q139" i="14"/>
  <c r="T139" i="14"/>
  <c r="Q140" i="14"/>
  <c r="T140" i="14"/>
  <c r="Q141" i="14"/>
  <c r="T141" i="14"/>
  <c r="Q142" i="14"/>
  <c r="T142" i="14"/>
  <c r="Q143" i="14"/>
  <c r="T143" i="14"/>
  <c r="Q144" i="14"/>
  <c r="T144" i="14"/>
  <c r="T137" i="14"/>
  <c r="Q137" i="14"/>
  <c r="Q176" i="14"/>
  <c r="R138" i="14"/>
  <c r="U138" i="14"/>
  <c r="R139" i="14"/>
  <c r="U139" i="14"/>
  <c r="R140" i="14"/>
  <c r="U140" i="14"/>
  <c r="R141" i="14"/>
  <c r="U141" i="14"/>
  <c r="R142" i="14"/>
  <c r="U142" i="14"/>
  <c r="R143" i="14"/>
  <c r="U143" i="14"/>
  <c r="R144" i="14"/>
  <c r="U144" i="14"/>
  <c r="S137" i="14"/>
  <c r="P137" i="14"/>
  <c r="P138" i="14"/>
  <c r="S138" i="14"/>
  <c r="P139" i="14"/>
  <c r="S139" i="14"/>
  <c r="P140" i="14"/>
  <c r="P141" i="14"/>
  <c r="S141" i="14"/>
  <c r="P142" i="14"/>
  <c r="S142" i="14"/>
  <c r="P143" i="14"/>
  <c r="S143" i="14"/>
  <c r="P144" i="14"/>
  <c r="S144" i="14"/>
  <c r="R137" i="14"/>
  <c r="BN135" i="14"/>
  <c r="BN161" i="14"/>
  <c r="BN132" i="14"/>
  <c r="BN136" i="14"/>
  <c r="BN133" i="14"/>
  <c r="BN146" i="14"/>
  <c r="BN143" i="14"/>
  <c r="BN153" i="14"/>
  <c r="BN150" i="14"/>
  <c r="BN162" i="14"/>
  <c r="BN159" i="14"/>
  <c r="BN169" i="14"/>
  <c r="BN166" i="14"/>
  <c r="BN172" i="14"/>
  <c r="BN176" i="14"/>
  <c r="BN173" i="14"/>
  <c r="BN138" i="14"/>
  <c r="BN158" i="14"/>
  <c r="BN137" i="14"/>
  <c r="BN140" i="14"/>
  <c r="BN144" i="14"/>
  <c r="BN154" i="14"/>
  <c r="BN156" i="14"/>
  <c r="BN160" i="14"/>
  <c r="BN170" i="14"/>
  <c r="BN177" i="14"/>
  <c r="O137" i="14"/>
  <c r="O142" i="14"/>
  <c r="O139" i="14"/>
  <c r="O144" i="14"/>
  <c r="O141" i="14"/>
  <c r="O138" i="14"/>
  <c r="O143" i="14"/>
  <c r="F128" i="14"/>
  <c r="E128" i="14"/>
  <c r="E126" i="14"/>
  <c r="E125" i="14"/>
  <c r="E124" i="14"/>
  <c r="E123" i="14"/>
  <c r="F127" i="14"/>
  <c r="K124" i="14" s="1"/>
  <c r="E127" i="14"/>
  <c r="E122" i="14"/>
  <c r="U76" i="14"/>
  <c r="T76" i="14"/>
  <c r="S76" i="14"/>
  <c r="R76" i="14"/>
  <c r="Q76" i="14"/>
  <c r="P76" i="14"/>
  <c r="O76" i="14"/>
  <c r="E61" i="1" l="1"/>
  <c r="AP60" i="1"/>
  <c r="AH60" i="1"/>
  <c r="Z60" i="1"/>
  <c r="R60" i="1"/>
  <c r="J60" i="1"/>
  <c r="T180" i="14"/>
  <c r="V123" i="14"/>
  <c r="AP17" i="50"/>
  <c r="AJ17" i="50"/>
  <c r="AM17" i="50"/>
  <c r="AD17" i="50"/>
  <c r="D11" i="14"/>
  <c r="E11" i="14" s="1"/>
  <c r="B12" i="14"/>
  <c r="BM108" i="14"/>
  <c r="BM109" i="14"/>
  <c r="BM110" i="14"/>
  <c r="BM111" i="14"/>
  <c r="BM112" i="14"/>
  <c r="BM113" i="14"/>
  <c r="BM107" i="14"/>
  <c r="BM101" i="14"/>
  <c r="BM102" i="14"/>
  <c r="BM103" i="14"/>
  <c r="BM104" i="14"/>
  <c r="BM105" i="14"/>
  <c r="BM106" i="14"/>
  <c r="BM100" i="14"/>
  <c r="BM94" i="14"/>
  <c r="BM95" i="14"/>
  <c r="BM96" i="14"/>
  <c r="BM97" i="14"/>
  <c r="BM98" i="14"/>
  <c r="BM99" i="14"/>
  <c r="BM93" i="14"/>
  <c r="BM87" i="14"/>
  <c r="BM88" i="14"/>
  <c r="BM89" i="14"/>
  <c r="BM90" i="14"/>
  <c r="BM91" i="14"/>
  <c r="BM92" i="14"/>
  <c r="BM86" i="14"/>
  <c r="BM80" i="14"/>
  <c r="BM81" i="14"/>
  <c r="BM82" i="14"/>
  <c r="BM83" i="14"/>
  <c r="BM84" i="14"/>
  <c r="BM85" i="14"/>
  <c r="BM79" i="14"/>
  <c r="BM73" i="14"/>
  <c r="BM74" i="14"/>
  <c r="BM75" i="14"/>
  <c r="BM76" i="14"/>
  <c r="BM77" i="14"/>
  <c r="BM78" i="14"/>
  <c r="BM72" i="14"/>
  <c r="E62" i="1" l="1"/>
  <c r="R61" i="1"/>
  <c r="AP61" i="1"/>
  <c r="AH61" i="1"/>
  <c r="Z61" i="1"/>
  <c r="J61" i="1"/>
  <c r="B13" i="14"/>
  <c r="D12" i="14"/>
  <c r="E12" i="14" s="1"/>
  <c r="K123" i="14"/>
  <c r="I122" i="14"/>
  <c r="K122" i="14" s="1"/>
  <c r="K72" i="14"/>
  <c r="K105" i="14"/>
  <c r="J105" i="14"/>
  <c r="I105" i="14"/>
  <c r="H105" i="14"/>
  <c r="G105" i="14"/>
  <c r="F105" i="14"/>
  <c r="E63" i="1" l="1"/>
  <c r="Z62" i="1"/>
  <c r="R62" i="1"/>
  <c r="J62" i="1"/>
  <c r="AH62" i="1"/>
  <c r="AP62" i="1"/>
  <c r="AN17" i="50"/>
  <c r="AH17" i="50"/>
  <c r="AK17" i="50"/>
  <c r="AB17" i="50"/>
  <c r="V122" i="14"/>
  <c r="AL17" i="50"/>
  <c r="AO17" i="50"/>
  <c r="AI17" i="50"/>
  <c r="AC17" i="50"/>
  <c r="B14" i="14"/>
  <c r="D13" i="14"/>
  <c r="E13" i="14" s="1"/>
  <c r="V121" i="14"/>
  <c r="V78" i="14"/>
  <c r="V81" i="14"/>
  <c r="V84" i="14"/>
  <c r="V87" i="14"/>
  <c r="V90" i="14"/>
  <c r="V79" i="14"/>
  <c r="V82" i="14"/>
  <c r="V85" i="14"/>
  <c r="V88" i="14"/>
  <c r="V77" i="14"/>
  <c r="V80" i="14"/>
  <c r="V83" i="14"/>
  <c r="V86" i="14"/>
  <c r="V89" i="14"/>
  <c r="U72" i="14"/>
  <c r="U132" i="14"/>
  <c r="Q78" i="14"/>
  <c r="S79" i="14"/>
  <c r="U80" i="14"/>
  <c r="Q82" i="14"/>
  <c r="S83" i="14"/>
  <c r="U84" i="14"/>
  <c r="Q86" i="14"/>
  <c r="S87" i="14"/>
  <c r="U88" i="14"/>
  <c r="Q90" i="14"/>
  <c r="R77" i="14"/>
  <c r="O83" i="14"/>
  <c r="R78" i="14"/>
  <c r="T79" i="14"/>
  <c r="P81" i="14"/>
  <c r="R82" i="14"/>
  <c r="T83" i="14"/>
  <c r="P85" i="14"/>
  <c r="R86" i="14"/>
  <c r="T87" i="14"/>
  <c r="P89" i="14"/>
  <c r="R90" i="14"/>
  <c r="Q77" i="14"/>
  <c r="O84" i="14"/>
  <c r="O77" i="14"/>
  <c r="S78" i="14"/>
  <c r="U79" i="14"/>
  <c r="Q81" i="14"/>
  <c r="S82" i="14"/>
  <c r="U83" i="14"/>
  <c r="Q85" i="14"/>
  <c r="S86" i="14"/>
  <c r="U87" i="14"/>
  <c r="Q89" i="14"/>
  <c r="S90" i="14"/>
  <c r="P77" i="14"/>
  <c r="O85" i="14"/>
  <c r="T78" i="14"/>
  <c r="P80" i="14"/>
  <c r="R81" i="14"/>
  <c r="T82" i="14"/>
  <c r="P84" i="14"/>
  <c r="R85" i="14"/>
  <c r="T86" i="14"/>
  <c r="P88" i="14"/>
  <c r="R89" i="14"/>
  <c r="T90" i="14"/>
  <c r="O78" i="14"/>
  <c r="O86" i="14"/>
  <c r="U78" i="14"/>
  <c r="Q80" i="14"/>
  <c r="S81" i="14"/>
  <c r="U82" i="14"/>
  <c r="Q84" i="14"/>
  <c r="S85" i="14"/>
  <c r="U86" i="14"/>
  <c r="Q88" i="14"/>
  <c r="S89" i="14"/>
  <c r="U90" i="14"/>
  <c r="O79" i="14"/>
  <c r="O87" i="14"/>
  <c r="P79" i="14"/>
  <c r="R80" i="14"/>
  <c r="T81" i="14"/>
  <c r="P83" i="14"/>
  <c r="R84" i="14"/>
  <c r="T85" i="14"/>
  <c r="P87" i="14"/>
  <c r="R88" i="14"/>
  <c r="T89" i="14"/>
  <c r="U77" i="14"/>
  <c r="O80" i="14"/>
  <c r="O88" i="14"/>
  <c r="Q79" i="14"/>
  <c r="S80" i="14"/>
  <c r="U81" i="14"/>
  <c r="Q83" i="14"/>
  <c r="S84" i="14"/>
  <c r="U85" i="14"/>
  <c r="Q87" i="14"/>
  <c r="S88" i="14"/>
  <c r="U89" i="14"/>
  <c r="T77" i="14"/>
  <c r="O81" i="14"/>
  <c r="P78" i="14"/>
  <c r="T88" i="14"/>
  <c r="R79" i="14"/>
  <c r="P90" i="14"/>
  <c r="T80" i="14"/>
  <c r="S77" i="14"/>
  <c r="P82" i="14"/>
  <c r="O82" i="14"/>
  <c r="R83" i="14"/>
  <c r="O89" i="14"/>
  <c r="T84" i="14"/>
  <c r="O90" i="14"/>
  <c r="P86" i="14"/>
  <c r="R87" i="14"/>
  <c r="BN74" i="14"/>
  <c r="BN75" i="14"/>
  <c r="BN72" i="14"/>
  <c r="BN77" i="14"/>
  <c r="BN78" i="14"/>
  <c r="BN76" i="14"/>
  <c r="BN73" i="14"/>
  <c r="BN84" i="14"/>
  <c r="BN85" i="14"/>
  <c r="BN80" i="14"/>
  <c r="BN82" i="14"/>
  <c r="BN79" i="14"/>
  <c r="BN83" i="14"/>
  <c r="BN81" i="14"/>
  <c r="BN90" i="14"/>
  <c r="BN91" i="14"/>
  <c r="BN88" i="14"/>
  <c r="BN92" i="14"/>
  <c r="BN87" i="14"/>
  <c r="BN86" i="14"/>
  <c r="BN89" i="14"/>
  <c r="BN96" i="14"/>
  <c r="BN99" i="14"/>
  <c r="BN97" i="14"/>
  <c r="BN95" i="14"/>
  <c r="BN94" i="14"/>
  <c r="BN93" i="14"/>
  <c r="BN98" i="14"/>
  <c r="BN102" i="14"/>
  <c r="BN106" i="14"/>
  <c r="BN100" i="14"/>
  <c r="BN105" i="14"/>
  <c r="BN103" i="14"/>
  <c r="BN101" i="14"/>
  <c r="BN104" i="14"/>
  <c r="BN108" i="14"/>
  <c r="BN107" i="14"/>
  <c r="BN109" i="14"/>
  <c r="BN112" i="14"/>
  <c r="BN111" i="14"/>
  <c r="BN110" i="14"/>
  <c r="BN113" i="14"/>
  <c r="E64" i="1" l="1"/>
  <c r="Z63" i="1"/>
  <c r="AH63" i="1"/>
  <c r="AP63" i="1"/>
  <c r="J63" i="1"/>
  <c r="R63" i="1"/>
  <c r="T16" i="50"/>
  <c r="W16" i="50" s="1"/>
  <c r="V16" i="50"/>
  <c r="Y16" i="50" s="1"/>
  <c r="T17" i="50"/>
  <c r="W17" i="50" s="1"/>
  <c r="V17" i="50"/>
  <c r="Y17" i="50" s="1"/>
  <c r="U16" i="50"/>
  <c r="X16" i="50" s="1"/>
  <c r="Z16" i="50" s="1"/>
  <c r="U17" i="50"/>
  <c r="X17" i="50" s="1"/>
  <c r="Z17" i="50" s="1"/>
  <c r="B15" i="14"/>
  <c r="D14" i="14"/>
  <c r="E14" i="14" s="1"/>
  <c r="AP30" i="3"/>
  <c r="AG10" i="3"/>
  <c r="AH10" i="3" s="1"/>
  <c r="AI10" i="3" s="1"/>
  <c r="Y10" i="3"/>
  <c r="Z10" i="3" s="1"/>
  <c r="AA10" i="3" s="1"/>
  <c r="R10" i="3"/>
  <c r="K10" i="3"/>
  <c r="L10" i="3" s="1"/>
  <c r="C10" i="3"/>
  <c r="D10" i="3" s="1"/>
  <c r="E65" i="1" l="1"/>
  <c r="J64" i="1"/>
  <c r="AP64" i="1"/>
  <c r="R64" i="1"/>
  <c r="AH64" i="1"/>
  <c r="Z64" i="1"/>
  <c r="B16" i="14"/>
  <c r="D15" i="14"/>
  <c r="E15" i="14" s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V68" i="1" l="1"/>
  <c r="AV69" i="1" s="1"/>
  <c r="AV72" i="1" s="1"/>
  <c r="AQ69" i="1"/>
  <c r="AQ70" i="1"/>
  <c r="E66" i="1"/>
  <c r="E67" i="1" s="1"/>
  <c r="AP65" i="1"/>
  <c r="R65" i="1"/>
  <c r="AH65" i="1"/>
  <c r="Z65" i="1"/>
  <c r="J65" i="1"/>
  <c r="B17" i="14"/>
  <c r="D16" i="14"/>
  <c r="E16" i="14" s="1"/>
  <c r="AU89" i="1"/>
  <c r="AV70" i="1" l="1"/>
  <c r="AV71" i="1" s="1"/>
  <c r="G67" i="1"/>
  <c r="AJ67" i="1" s="1"/>
  <c r="J67" i="1"/>
  <c r="AH67" i="1"/>
  <c r="AP67" i="1"/>
  <c r="R67" i="1"/>
  <c r="Z67" i="1"/>
  <c r="T67" i="1"/>
  <c r="L67" i="1"/>
  <c r="Z66" i="1"/>
  <c r="AP66" i="1"/>
  <c r="R66" i="1"/>
  <c r="AH66" i="1"/>
  <c r="J66" i="1"/>
  <c r="B18" i="14"/>
  <c r="D17" i="14"/>
  <c r="E17" i="14" s="1"/>
  <c r="AU3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M3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AE3" i="1"/>
  <c r="W3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O3" i="1"/>
  <c r="AB67" i="1" l="1"/>
  <c r="AR67" i="1"/>
  <c r="BE44" i="3"/>
  <c r="BE45" i="3"/>
  <c r="BE46" i="3"/>
  <c r="BE47" i="3"/>
  <c r="BE48" i="3"/>
  <c r="BE49" i="3"/>
  <c r="BE50" i="3"/>
  <c r="BE51" i="3"/>
  <c r="BE52" i="3"/>
  <c r="BE53" i="3"/>
  <c r="G57" i="1"/>
  <c r="G58" i="1"/>
  <c r="G59" i="1"/>
  <c r="G60" i="1"/>
  <c r="G61" i="1"/>
  <c r="G62" i="1"/>
  <c r="G63" i="1"/>
  <c r="G64" i="1"/>
  <c r="G65" i="1"/>
  <c r="G66" i="1"/>
  <c r="BA37" i="3"/>
  <c r="BA35" i="3"/>
  <c r="BA36" i="3"/>
  <c r="AW34" i="3"/>
  <c r="BE42" i="3"/>
  <c r="BE43" i="3"/>
  <c r="BE41" i="3"/>
  <c r="B19" i="14"/>
  <c r="D18" i="14"/>
  <c r="E18" i="14" s="1"/>
  <c r="Z107" i="1"/>
  <c r="Z109" i="1"/>
  <c r="AW39" i="3"/>
  <c r="AW35" i="3"/>
  <c r="AW44" i="3"/>
  <c r="AW53" i="3"/>
  <c r="BA42" i="3"/>
  <c r="BA51" i="3"/>
  <c r="BE40" i="3"/>
  <c r="AW48" i="3"/>
  <c r="BA43" i="3"/>
  <c r="BE38" i="3"/>
  <c r="AW40" i="3"/>
  <c r="AW49" i="3"/>
  <c r="BA38" i="3"/>
  <c r="BA47" i="3"/>
  <c r="BE36" i="3"/>
  <c r="AW47" i="3"/>
  <c r="BE34" i="3"/>
  <c r="BA34" i="3"/>
  <c r="AW52" i="3"/>
  <c r="BA50" i="3"/>
  <c r="AW51" i="3"/>
  <c r="BA52" i="3"/>
  <c r="AW41" i="3"/>
  <c r="AW50" i="3"/>
  <c r="BA39" i="3"/>
  <c r="BA48" i="3"/>
  <c r="BE37" i="3"/>
  <c r="AW42" i="3"/>
  <c r="BA40" i="3"/>
  <c r="BE35" i="3"/>
  <c r="AW37" i="3"/>
  <c r="AW46" i="3"/>
  <c r="BA44" i="3"/>
  <c r="BA53" i="3"/>
  <c r="AW45" i="3"/>
  <c r="BA46" i="3"/>
  <c r="AW38" i="3"/>
  <c r="BA45" i="3"/>
  <c r="AW36" i="3"/>
  <c r="BA49" i="3"/>
  <c r="AW43" i="3"/>
  <c r="BA41" i="3"/>
  <c r="BE39" i="3"/>
  <c r="J121" i="1"/>
  <c r="J118" i="1"/>
  <c r="J120" i="1"/>
  <c r="AB62" i="1" l="1"/>
  <c r="T62" i="1"/>
  <c r="AR62" i="1"/>
  <c r="AJ62" i="1"/>
  <c r="L62" i="1"/>
  <c r="AB60" i="1"/>
  <c r="AJ60" i="1"/>
  <c r="AR60" i="1"/>
  <c r="L60" i="1"/>
  <c r="T60" i="1"/>
  <c r="AJ59" i="1"/>
  <c r="AB59" i="1"/>
  <c r="T59" i="1"/>
  <c r="L59" i="1"/>
  <c r="AR59" i="1"/>
  <c r="AR58" i="1"/>
  <c r="AB58" i="1"/>
  <c r="AJ58" i="1"/>
  <c r="T58" i="1"/>
  <c r="L58" i="1"/>
  <c r="AJ57" i="1"/>
  <c r="L57" i="1"/>
  <c r="AB57" i="1"/>
  <c r="T57" i="1"/>
  <c r="AR57" i="1"/>
  <c r="AR61" i="1"/>
  <c r="AB61" i="1"/>
  <c r="AJ61" i="1"/>
  <c r="L61" i="1"/>
  <c r="T61" i="1"/>
  <c r="AJ66" i="1"/>
  <c r="AR66" i="1"/>
  <c r="AB66" i="1"/>
  <c r="L66" i="1"/>
  <c r="T66" i="1"/>
  <c r="AJ65" i="1"/>
  <c r="T65" i="1"/>
  <c r="AR65" i="1"/>
  <c r="AB65" i="1"/>
  <c r="L65" i="1"/>
  <c r="L64" i="1"/>
  <c r="AJ64" i="1"/>
  <c r="AB64" i="1"/>
  <c r="AR64" i="1"/>
  <c r="T64" i="1"/>
  <c r="AR63" i="1"/>
  <c r="AJ63" i="1"/>
  <c r="AB63" i="1"/>
  <c r="L63" i="1"/>
  <c r="T63" i="1"/>
  <c r="B20" i="14"/>
  <c r="D19" i="14"/>
  <c r="E19" i="14" s="1"/>
  <c r="AB109" i="1"/>
  <c r="AA109" i="1"/>
  <c r="AB107" i="1"/>
  <c r="AA107" i="1"/>
  <c r="N120" i="1"/>
  <c r="M120" i="1"/>
  <c r="L120" i="1"/>
  <c r="K120" i="1"/>
  <c r="N121" i="1"/>
  <c r="M121" i="1"/>
  <c r="L121" i="1"/>
  <c r="K121" i="1"/>
  <c r="B21" i="14" l="1"/>
  <c r="D20" i="14"/>
  <c r="E20" i="14" s="1"/>
  <c r="AL73" i="1"/>
  <c r="AD73" i="1"/>
  <c r="V73" i="1"/>
  <c r="B22" i="14" l="1"/>
  <c r="D21" i="14"/>
  <c r="E21" i="14" s="1"/>
  <c r="R32" i="1"/>
  <c r="G32" i="1"/>
  <c r="Z32" i="1"/>
  <c r="AP32" i="1"/>
  <c r="J32" i="1"/>
  <c r="AG17" i="3"/>
  <c r="AH17" i="3" s="1"/>
  <c r="AI17" i="3" s="1"/>
  <c r="Y17" i="3"/>
  <c r="Z17" i="3" s="1"/>
  <c r="AA17" i="3" s="1"/>
  <c r="R17" i="3"/>
  <c r="K17" i="3"/>
  <c r="L17" i="3" s="1"/>
  <c r="C17" i="3"/>
  <c r="D17" i="3" s="1"/>
  <c r="B23" i="14" l="1"/>
  <c r="D22" i="14"/>
  <c r="E22" i="14" s="1"/>
  <c r="AR32" i="1"/>
  <c r="AB32" i="1"/>
  <c r="T32" i="1"/>
  <c r="L32" i="1"/>
  <c r="G33" i="1"/>
  <c r="Z33" i="1"/>
  <c r="R33" i="1"/>
  <c r="J33" i="1"/>
  <c r="AP33" i="1"/>
  <c r="AG16" i="3"/>
  <c r="AH16" i="3" s="1"/>
  <c r="AI16" i="3" s="1"/>
  <c r="AG15" i="3"/>
  <c r="AH15" i="3" s="1"/>
  <c r="AI15" i="3" s="1"/>
  <c r="AG14" i="3"/>
  <c r="AH14" i="3" s="1"/>
  <c r="AI14" i="3" s="1"/>
  <c r="AG13" i="3"/>
  <c r="AH13" i="3" s="1"/>
  <c r="AI13" i="3" s="1"/>
  <c r="AG12" i="3"/>
  <c r="AH12" i="3" s="1"/>
  <c r="AI12" i="3" s="1"/>
  <c r="AG11" i="3"/>
  <c r="AH11" i="3" s="1"/>
  <c r="AI11" i="3" s="1"/>
  <c r="AG9" i="3"/>
  <c r="AH9" i="3" s="1"/>
  <c r="AI9" i="3" s="1"/>
  <c r="AG8" i="3"/>
  <c r="AH8" i="3" s="1"/>
  <c r="AI8" i="3" s="1"/>
  <c r="AG7" i="3"/>
  <c r="AH7" i="3" s="1"/>
  <c r="AI7" i="3" s="1"/>
  <c r="AG6" i="3"/>
  <c r="AH6" i="3" s="1"/>
  <c r="AI6" i="3" s="1"/>
  <c r="Y7" i="3"/>
  <c r="Z7" i="3" s="1"/>
  <c r="AA7" i="3" s="1"/>
  <c r="Y8" i="3"/>
  <c r="Z8" i="3" s="1"/>
  <c r="AA8" i="3" s="1"/>
  <c r="Y9" i="3"/>
  <c r="Z9" i="3" s="1"/>
  <c r="AA9" i="3" s="1"/>
  <c r="Y11" i="3"/>
  <c r="Z11" i="3" s="1"/>
  <c r="AA11" i="3" s="1"/>
  <c r="Y12" i="3"/>
  <c r="Z12" i="3" s="1"/>
  <c r="AA12" i="3" s="1"/>
  <c r="Y13" i="3"/>
  <c r="Z13" i="3" s="1"/>
  <c r="AA13" i="3" s="1"/>
  <c r="Y14" i="3"/>
  <c r="Z14" i="3" s="1"/>
  <c r="AA14" i="3" s="1"/>
  <c r="Y15" i="3"/>
  <c r="Z15" i="3" s="1"/>
  <c r="AA15" i="3" s="1"/>
  <c r="Y16" i="3"/>
  <c r="Z16" i="3" s="1"/>
  <c r="AA16" i="3" s="1"/>
  <c r="Y6" i="3"/>
  <c r="Z6" i="3" s="1"/>
  <c r="AA6" i="3" s="1"/>
  <c r="R16" i="3"/>
  <c r="R15" i="3"/>
  <c r="R14" i="3"/>
  <c r="R13" i="3"/>
  <c r="R12" i="3"/>
  <c r="R11" i="3"/>
  <c r="R9" i="3"/>
  <c r="R8" i="3"/>
  <c r="R7" i="3"/>
  <c r="R6" i="3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9" i="3"/>
  <c r="L9" i="3" s="1"/>
  <c r="K8" i="3"/>
  <c r="L8" i="3" s="1"/>
  <c r="K7" i="3"/>
  <c r="L7" i="3" s="1"/>
  <c r="K6" i="3"/>
  <c r="L6" i="3" s="1"/>
  <c r="C7" i="3"/>
  <c r="D7" i="3" s="1"/>
  <c r="C8" i="3"/>
  <c r="D8" i="3" s="1"/>
  <c r="C9" i="3"/>
  <c r="D9" i="3" s="1"/>
  <c r="C11" i="3"/>
  <c r="D11" i="3" s="1"/>
  <c r="C12" i="3"/>
  <c r="D12" i="3" s="1"/>
  <c r="C13" i="3"/>
  <c r="D13" i="3" s="1"/>
  <c r="C14" i="3"/>
  <c r="D14" i="3" s="1"/>
  <c r="C15" i="3"/>
  <c r="D15" i="3" s="1"/>
  <c r="C16" i="3"/>
  <c r="D16" i="3" s="1"/>
  <c r="C6" i="3"/>
  <c r="D6" i="3" s="1"/>
  <c r="B24" i="14" l="1"/>
  <c r="D23" i="14"/>
  <c r="E23" i="14" s="1"/>
  <c r="G34" i="1"/>
  <c r="R34" i="1"/>
  <c r="AP34" i="1"/>
  <c r="J34" i="1"/>
  <c r="Z34" i="1"/>
  <c r="L33" i="1"/>
  <c r="AR33" i="1"/>
  <c r="AB33" i="1"/>
  <c r="T33" i="1"/>
  <c r="AP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7" i="1"/>
  <c r="AH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7" i="1"/>
  <c r="Z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7" i="1"/>
  <c r="R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7" i="1"/>
  <c r="J7" i="1"/>
  <c r="K70" i="1"/>
  <c r="M67" i="1" s="1"/>
  <c r="N67" i="1" s="1"/>
  <c r="O67" i="1" s="1"/>
  <c r="S69" i="1" l="1"/>
  <c r="S70" i="1"/>
  <c r="AA70" i="1"/>
  <c r="AF70" i="1" s="1"/>
  <c r="AA69" i="1"/>
  <c r="AI70" i="1"/>
  <c r="AN68" i="1"/>
  <c r="AN69" i="1" s="1"/>
  <c r="AN72" i="1" s="1"/>
  <c r="AI69" i="1"/>
  <c r="M61" i="1"/>
  <c r="N61" i="1" s="1"/>
  <c r="O61" i="1" s="1"/>
  <c r="M65" i="1"/>
  <c r="N65" i="1" s="1"/>
  <c r="O65" i="1" s="1"/>
  <c r="M66" i="1"/>
  <c r="N66" i="1" s="1"/>
  <c r="O66" i="1" s="1"/>
  <c r="M58" i="1"/>
  <c r="N58" i="1" s="1"/>
  <c r="O58" i="1" s="1"/>
  <c r="M57" i="1"/>
  <c r="N57" i="1" s="1"/>
  <c r="O57" i="1" s="1"/>
  <c r="M63" i="1"/>
  <c r="N63" i="1" s="1"/>
  <c r="O63" i="1" s="1"/>
  <c r="M59" i="1"/>
  <c r="N59" i="1" s="1"/>
  <c r="O59" i="1" s="1"/>
  <c r="M64" i="1"/>
  <c r="N64" i="1" s="1"/>
  <c r="O64" i="1" s="1"/>
  <c r="M60" i="1"/>
  <c r="N60" i="1" s="1"/>
  <c r="O60" i="1" s="1"/>
  <c r="M62" i="1"/>
  <c r="N62" i="1" s="1"/>
  <c r="O62" i="1" s="1"/>
  <c r="E21" i="3"/>
  <c r="F21" i="3" s="1"/>
  <c r="AO70" i="3" s="1"/>
  <c r="E18" i="3"/>
  <c r="F18" i="3" s="1"/>
  <c r="AO67" i="3" s="1"/>
  <c r="E20" i="3"/>
  <c r="F20" i="3" s="1"/>
  <c r="AO69" i="3" s="1"/>
  <c r="E19" i="3"/>
  <c r="F19" i="3" s="1"/>
  <c r="AO68" i="3" s="1"/>
  <c r="B25" i="14"/>
  <c r="D24" i="14"/>
  <c r="E24" i="14" s="1"/>
  <c r="E10" i="3"/>
  <c r="F10" i="3" s="1"/>
  <c r="AO12" i="3" s="1"/>
  <c r="M32" i="1"/>
  <c r="N32" i="1" s="1"/>
  <c r="O32" i="1" s="1"/>
  <c r="M33" i="1"/>
  <c r="N33" i="1" s="1"/>
  <c r="O33" i="1" s="1"/>
  <c r="AP35" i="1"/>
  <c r="G35" i="1"/>
  <c r="J35" i="1"/>
  <c r="R35" i="1"/>
  <c r="Z35" i="1"/>
  <c r="T34" i="1"/>
  <c r="AR34" i="1"/>
  <c r="AB34" i="1"/>
  <c r="L34" i="1"/>
  <c r="M34" i="1" s="1"/>
  <c r="N34" i="1" s="1"/>
  <c r="O34" i="1" s="1"/>
  <c r="AM89" i="1"/>
  <c r="E17" i="3"/>
  <c r="F17" i="3" s="1"/>
  <c r="AO19" i="3" s="1"/>
  <c r="E8" i="3"/>
  <c r="F8" i="3" s="1"/>
  <c r="AO10" i="3" s="1"/>
  <c r="E15" i="3"/>
  <c r="F15" i="3" s="1"/>
  <c r="AO17" i="3" s="1"/>
  <c r="E14" i="3"/>
  <c r="F14" i="3" s="1"/>
  <c r="AO16" i="3" s="1"/>
  <c r="E13" i="3"/>
  <c r="F13" i="3" s="1"/>
  <c r="AO15" i="3" s="1"/>
  <c r="E7" i="3"/>
  <c r="F7" i="3" s="1"/>
  <c r="AO9" i="3" s="1"/>
  <c r="E16" i="3"/>
  <c r="F16" i="3" s="1"/>
  <c r="AO18" i="3" s="1"/>
  <c r="E12" i="3"/>
  <c r="F12" i="3" s="1"/>
  <c r="AO14" i="3" s="1"/>
  <c r="E11" i="3"/>
  <c r="F11" i="3" s="1"/>
  <c r="AO13" i="3" s="1"/>
  <c r="E6" i="3"/>
  <c r="F6" i="3" s="1"/>
  <c r="AO8" i="3" s="1"/>
  <c r="E9" i="3"/>
  <c r="F9" i="3" s="1"/>
  <c r="AO11" i="3" s="1"/>
  <c r="G7" i="1"/>
  <c r="J116" i="1"/>
  <c r="J110" i="1"/>
  <c r="J104" i="1"/>
  <c r="Z97" i="1"/>
  <c r="J114" i="1"/>
  <c r="J108" i="1"/>
  <c r="J102" i="1"/>
  <c r="Z95" i="1"/>
  <c r="AB95" i="1" s="1"/>
  <c r="J112" i="1"/>
  <c r="J106" i="1"/>
  <c r="Z105" i="1"/>
  <c r="Z99" i="1"/>
  <c r="Z93" i="1"/>
  <c r="Z103" i="1"/>
  <c r="Z91" i="1"/>
  <c r="Z101" i="1"/>
  <c r="J8" i="1"/>
  <c r="G8" i="1"/>
  <c r="G9" i="1"/>
  <c r="AP8" i="1"/>
  <c r="AH8" i="1"/>
  <c r="Z8" i="1"/>
  <c r="R8" i="1"/>
  <c r="S68" i="1"/>
  <c r="AF71" i="1" l="1"/>
  <c r="AN70" i="1"/>
  <c r="AN71" i="1" s="1"/>
  <c r="U67" i="1"/>
  <c r="V67" i="1" s="1"/>
  <c r="W67" i="1" s="1"/>
  <c r="U59" i="1"/>
  <c r="V59" i="1" s="1"/>
  <c r="W59" i="1" s="1"/>
  <c r="U64" i="1"/>
  <c r="V64" i="1" s="1"/>
  <c r="W64" i="1" s="1"/>
  <c r="U63" i="1"/>
  <c r="V63" i="1" s="1"/>
  <c r="W63" i="1" s="1"/>
  <c r="U65" i="1"/>
  <c r="V65" i="1" s="1"/>
  <c r="W65" i="1" s="1"/>
  <c r="U58" i="1"/>
  <c r="V58" i="1" s="1"/>
  <c r="W58" i="1" s="1"/>
  <c r="U62" i="1"/>
  <c r="V62" i="1" s="1"/>
  <c r="W62" i="1" s="1"/>
  <c r="U61" i="1"/>
  <c r="V61" i="1" s="1"/>
  <c r="W61" i="1" s="1"/>
  <c r="U66" i="1"/>
  <c r="V66" i="1" s="1"/>
  <c r="W66" i="1" s="1"/>
  <c r="U57" i="1"/>
  <c r="V57" i="1" s="1"/>
  <c r="W57" i="1" s="1"/>
  <c r="U60" i="1"/>
  <c r="V60" i="1" s="1"/>
  <c r="W60" i="1" s="1"/>
  <c r="M20" i="3"/>
  <c r="N20" i="3" s="1"/>
  <c r="AP69" i="3" s="1"/>
  <c r="M21" i="3"/>
  <c r="N21" i="3" s="1"/>
  <c r="AP70" i="3" s="1"/>
  <c r="M19" i="3"/>
  <c r="N19" i="3" s="1"/>
  <c r="AP68" i="3" s="1"/>
  <c r="M18" i="3"/>
  <c r="N18" i="3" s="1"/>
  <c r="AP67" i="3" s="1"/>
  <c r="B26" i="14"/>
  <c r="D25" i="14"/>
  <c r="E25" i="14" s="1"/>
  <c r="M10" i="3"/>
  <c r="N10" i="3" s="1"/>
  <c r="AP12" i="3" s="1"/>
  <c r="U32" i="1"/>
  <c r="V32" i="1" s="1"/>
  <c r="W32" i="1" s="1"/>
  <c r="G36" i="1"/>
  <c r="Z36" i="1"/>
  <c r="J36" i="1"/>
  <c r="AP36" i="1"/>
  <c r="R36" i="1"/>
  <c r="U33" i="1"/>
  <c r="V33" i="1" s="1"/>
  <c r="W33" i="1" s="1"/>
  <c r="U34" i="1"/>
  <c r="V34" i="1" s="1"/>
  <c r="W34" i="1" s="1"/>
  <c r="AR35" i="1"/>
  <c r="AB35" i="1"/>
  <c r="T35" i="1"/>
  <c r="U35" i="1" s="1"/>
  <c r="V35" i="1" s="1"/>
  <c r="W35" i="1" s="1"/>
  <c r="L35" i="1"/>
  <c r="M35" i="1" s="1"/>
  <c r="N35" i="1" s="1"/>
  <c r="O35" i="1" s="1"/>
  <c r="AB93" i="1"/>
  <c r="AA93" i="1"/>
  <c r="AA95" i="1"/>
  <c r="L110" i="1"/>
  <c r="K110" i="1"/>
  <c r="N110" i="1"/>
  <c r="M110" i="1"/>
  <c r="AA103" i="1"/>
  <c r="AB103" i="1"/>
  <c r="AB105" i="1"/>
  <c r="AA105" i="1"/>
  <c r="N118" i="1"/>
  <c r="M118" i="1"/>
  <c r="L118" i="1"/>
  <c r="K118" i="1"/>
  <c r="L108" i="1"/>
  <c r="K108" i="1"/>
  <c r="N108" i="1"/>
  <c r="M108" i="1"/>
  <c r="L104" i="1"/>
  <c r="K104" i="1"/>
  <c r="N104" i="1"/>
  <c r="M104" i="1"/>
  <c r="AA101" i="1"/>
  <c r="AB101" i="1"/>
  <c r="N106" i="1"/>
  <c r="M106" i="1"/>
  <c r="L106" i="1"/>
  <c r="K106" i="1"/>
  <c r="L114" i="1"/>
  <c r="K114" i="1"/>
  <c r="N114" i="1"/>
  <c r="M114" i="1"/>
  <c r="AB91" i="1"/>
  <c r="AA91" i="1"/>
  <c r="AA99" i="1"/>
  <c r="AB99" i="1"/>
  <c r="N112" i="1"/>
  <c r="M112" i="1"/>
  <c r="L112" i="1"/>
  <c r="K112" i="1"/>
  <c r="L102" i="1"/>
  <c r="K102" i="1"/>
  <c r="N102" i="1"/>
  <c r="M102" i="1"/>
  <c r="AA97" i="1"/>
  <c r="AB97" i="1"/>
  <c r="L116" i="1"/>
  <c r="K116" i="1"/>
  <c r="N116" i="1"/>
  <c r="M116" i="1"/>
  <c r="M17" i="3"/>
  <c r="N17" i="3" s="1"/>
  <c r="AP19" i="3" s="1"/>
  <c r="AI63" i="3"/>
  <c r="AA63" i="3"/>
  <c r="M6" i="3"/>
  <c r="N6" i="3" s="1"/>
  <c r="AP8" i="3" s="1"/>
  <c r="M14" i="3"/>
  <c r="N14" i="3" s="1"/>
  <c r="AP16" i="3" s="1"/>
  <c r="M12" i="3"/>
  <c r="N12" i="3" s="1"/>
  <c r="AP14" i="3" s="1"/>
  <c r="M11" i="3"/>
  <c r="N11" i="3" s="1"/>
  <c r="AP13" i="3" s="1"/>
  <c r="M7" i="3"/>
  <c r="N7" i="3" s="1"/>
  <c r="AP9" i="3" s="1"/>
  <c r="M15" i="3"/>
  <c r="N15" i="3" s="1"/>
  <c r="AP17" i="3" s="1"/>
  <c r="M13" i="3"/>
  <c r="N13" i="3" s="1"/>
  <c r="AP15" i="3" s="1"/>
  <c r="M9" i="3"/>
  <c r="N9" i="3" s="1"/>
  <c r="AP11" i="3" s="1"/>
  <c r="M8" i="3"/>
  <c r="N8" i="3" s="1"/>
  <c r="AP10" i="3" s="1"/>
  <c r="M16" i="3"/>
  <c r="N16" i="3" s="1"/>
  <c r="AP18" i="3" s="1"/>
  <c r="Z10" i="1"/>
  <c r="AH10" i="1"/>
  <c r="AP9" i="1"/>
  <c r="AH9" i="1"/>
  <c r="Z9" i="1"/>
  <c r="R9" i="1"/>
  <c r="J9" i="1"/>
  <c r="AR9" i="1"/>
  <c r="AJ9" i="1"/>
  <c r="AB9" i="1"/>
  <c r="L9" i="1"/>
  <c r="M9" i="1" s="1"/>
  <c r="N9" i="1" s="1"/>
  <c r="O9" i="1" s="1"/>
  <c r="T9" i="1"/>
  <c r="U9" i="1" s="1"/>
  <c r="V9" i="1" s="1"/>
  <c r="W9" i="1" s="1"/>
  <c r="AR8" i="1"/>
  <c r="AJ8" i="1"/>
  <c r="AB8" i="1"/>
  <c r="T8" i="1"/>
  <c r="U8" i="1" s="1"/>
  <c r="V8" i="1" s="1"/>
  <c r="W8" i="1" s="1"/>
  <c r="L8" i="1"/>
  <c r="M8" i="1" s="1"/>
  <c r="N8" i="1" s="1"/>
  <c r="O8" i="1" s="1"/>
  <c r="AR7" i="1"/>
  <c r="AJ7" i="1"/>
  <c r="AB7" i="1"/>
  <c r="T7" i="1"/>
  <c r="U7" i="1" s="1"/>
  <c r="V7" i="1" s="1"/>
  <c r="W7" i="1" s="1"/>
  <c r="L7" i="1"/>
  <c r="M7" i="1" s="1"/>
  <c r="N7" i="1" s="1"/>
  <c r="O7" i="1" s="1"/>
  <c r="S17" i="3" l="1"/>
  <c r="AQ19" i="3" s="1"/>
  <c r="AC67" i="1"/>
  <c r="AD67" i="1" s="1"/>
  <c r="AC57" i="1"/>
  <c r="AD57" i="1" s="1"/>
  <c r="AC60" i="1"/>
  <c r="AD60" i="1" s="1"/>
  <c r="AC66" i="1"/>
  <c r="AD66" i="1" s="1"/>
  <c r="AC61" i="1"/>
  <c r="AD61" i="1" s="1"/>
  <c r="AC59" i="1"/>
  <c r="AD59" i="1" s="1"/>
  <c r="AC62" i="1"/>
  <c r="AD62" i="1" s="1"/>
  <c r="AC64" i="1"/>
  <c r="AD64" i="1" s="1"/>
  <c r="AC65" i="1"/>
  <c r="AD65" i="1" s="1"/>
  <c r="AC58" i="1"/>
  <c r="AD58" i="1" s="1"/>
  <c r="AC63" i="1"/>
  <c r="AD63" i="1" s="1"/>
  <c r="S18" i="3"/>
  <c r="AQ67" i="3" s="1"/>
  <c r="S21" i="3"/>
  <c r="AQ70" i="3" s="1"/>
  <c r="S20" i="3"/>
  <c r="AQ69" i="3" s="1"/>
  <c r="S19" i="3"/>
  <c r="AQ68" i="3" s="1"/>
  <c r="AJ21" i="3"/>
  <c r="AK21" i="3" s="1"/>
  <c r="AJ20" i="3"/>
  <c r="AK20" i="3" s="1"/>
  <c r="AB21" i="3"/>
  <c r="AB20" i="3"/>
  <c r="AB18" i="3"/>
  <c r="AB19" i="3"/>
  <c r="AJ18" i="3"/>
  <c r="AK18" i="3" s="1"/>
  <c r="AJ19" i="3"/>
  <c r="AK19" i="3" s="1"/>
  <c r="AA112" i="1"/>
  <c r="AF68" i="1" s="1"/>
  <c r="D26" i="14"/>
  <c r="E26" i="14" s="1"/>
  <c r="B27" i="14"/>
  <c r="AB112" i="1"/>
  <c r="AF69" i="1" s="1"/>
  <c r="S16" i="3"/>
  <c r="AQ18" i="3" s="1"/>
  <c r="S12" i="3"/>
  <c r="AQ14" i="3" s="1"/>
  <c r="S8" i="3"/>
  <c r="AQ10" i="3" s="1"/>
  <c r="S15" i="3"/>
  <c r="AQ17" i="3" s="1"/>
  <c r="S6" i="3"/>
  <c r="AQ8" i="3" s="1"/>
  <c r="S13" i="3"/>
  <c r="AQ15" i="3" s="1"/>
  <c r="S9" i="3"/>
  <c r="AQ11" i="3" s="1"/>
  <c r="S10" i="3"/>
  <c r="AQ12" i="3" s="1"/>
  <c r="S11" i="3"/>
  <c r="AQ13" i="3" s="1"/>
  <c r="S7" i="3"/>
  <c r="AQ9" i="3" s="1"/>
  <c r="S14" i="3"/>
  <c r="AQ16" i="3" s="1"/>
  <c r="M123" i="1"/>
  <c r="K74" i="1" s="1"/>
  <c r="S74" i="1" s="1"/>
  <c r="AA74" i="1" s="1"/>
  <c r="AI74" i="1" s="1"/>
  <c r="AQ74" i="1" s="1"/>
  <c r="N123" i="1"/>
  <c r="K123" i="1"/>
  <c r="L123" i="1"/>
  <c r="AJ17" i="3"/>
  <c r="AK17" i="3" s="1"/>
  <c r="AJ10" i="3"/>
  <c r="AK10" i="3" s="1"/>
  <c r="AB17" i="3"/>
  <c r="AB10" i="3"/>
  <c r="AK67" i="1"/>
  <c r="AL67" i="1" s="1"/>
  <c r="AM67" i="1" s="1"/>
  <c r="R37" i="1"/>
  <c r="G37" i="1"/>
  <c r="J37" i="1"/>
  <c r="AP37" i="1"/>
  <c r="Z37" i="1"/>
  <c r="T36" i="1"/>
  <c r="U36" i="1" s="1"/>
  <c r="V36" i="1" s="1"/>
  <c r="W36" i="1" s="1"/>
  <c r="AB36" i="1"/>
  <c r="AR36" i="1"/>
  <c r="L36" i="1"/>
  <c r="M36" i="1" s="1"/>
  <c r="N36" i="1" s="1"/>
  <c r="O36" i="1" s="1"/>
  <c r="AP10" i="1"/>
  <c r="J10" i="1"/>
  <c r="AJ8" i="3"/>
  <c r="AK8" i="3" s="1"/>
  <c r="AJ9" i="3"/>
  <c r="AK9" i="3" s="1"/>
  <c r="AJ14" i="3"/>
  <c r="AK14" i="3" s="1"/>
  <c r="AJ16" i="3"/>
  <c r="AK16" i="3" s="1"/>
  <c r="AJ15" i="3"/>
  <c r="AK15" i="3" s="1"/>
  <c r="AJ11" i="3"/>
  <c r="AK11" i="3" s="1"/>
  <c r="AJ13" i="3"/>
  <c r="AK13" i="3" s="1"/>
  <c r="AJ12" i="3"/>
  <c r="AK12" i="3" s="1"/>
  <c r="AJ6" i="3"/>
  <c r="AK6" i="3" s="1"/>
  <c r="AJ7" i="3"/>
  <c r="AK7" i="3" s="1"/>
  <c r="AB11" i="3"/>
  <c r="AB8" i="3"/>
  <c r="AB7" i="3"/>
  <c r="AB9" i="3"/>
  <c r="AB14" i="3"/>
  <c r="AB6" i="3"/>
  <c r="AB16" i="3"/>
  <c r="AB15" i="3"/>
  <c r="AB13" i="3"/>
  <c r="AB12" i="3"/>
  <c r="R10" i="1"/>
  <c r="G10" i="1"/>
  <c r="AB10" i="1" s="1"/>
  <c r="AK65" i="1" l="1"/>
  <c r="AL65" i="1" s="1"/>
  <c r="AM65" i="1" s="1"/>
  <c r="AK60" i="1"/>
  <c r="AL60" i="1" s="1"/>
  <c r="AM60" i="1" s="1"/>
  <c r="AK62" i="1"/>
  <c r="AL62" i="1" s="1"/>
  <c r="AM62" i="1" s="1"/>
  <c r="AK57" i="1"/>
  <c r="AL57" i="1" s="1"/>
  <c r="AM57" i="1" s="1"/>
  <c r="AK58" i="1"/>
  <c r="AL58" i="1" s="1"/>
  <c r="AM58" i="1" s="1"/>
  <c r="AK66" i="1"/>
  <c r="AL66" i="1" s="1"/>
  <c r="AM66" i="1" s="1"/>
  <c r="AK63" i="1"/>
  <c r="AL63" i="1" s="1"/>
  <c r="AM63" i="1" s="1"/>
  <c r="AK59" i="1"/>
  <c r="AL59" i="1" s="1"/>
  <c r="AM59" i="1" s="1"/>
  <c r="AK64" i="1"/>
  <c r="AL64" i="1" s="1"/>
  <c r="AM64" i="1" s="1"/>
  <c r="AK61" i="1"/>
  <c r="AL61" i="1" s="1"/>
  <c r="AM61" i="1" s="1"/>
  <c r="D27" i="14"/>
  <c r="E27" i="14" s="1"/>
  <c r="B28" i="14"/>
  <c r="T37" i="1"/>
  <c r="U37" i="1" s="1"/>
  <c r="V37" i="1" s="1"/>
  <c r="W37" i="1" s="1"/>
  <c r="L37" i="1"/>
  <c r="M37" i="1" s="1"/>
  <c r="N37" i="1" s="1"/>
  <c r="O37" i="1" s="1"/>
  <c r="AB37" i="1"/>
  <c r="AR37" i="1"/>
  <c r="G38" i="1"/>
  <c r="R38" i="1"/>
  <c r="AP38" i="1"/>
  <c r="Z38" i="1"/>
  <c r="J38" i="1"/>
  <c r="AS67" i="1"/>
  <c r="AT67" i="1" s="1"/>
  <c r="AU67" i="1" s="1"/>
  <c r="AK8" i="1"/>
  <c r="AM91" i="1"/>
  <c r="AC10" i="1"/>
  <c r="AD10" i="1" s="1"/>
  <c r="AK9" i="1"/>
  <c r="AL9" i="1" s="1"/>
  <c r="AK7" i="1"/>
  <c r="AL7" i="1" s="1"/>
  <c r="L10" i="1"/>
  <c r="M10" i="1" s="1"/>
  <c r="N10" i="1" s="1"/>
  <c r="O10" i="1" s="1"/>
  <c r="AR10" i="1"/>
  <c r="BA14" i="1"/>
  <c r="T10" i="1"/>
  <c r="U10" i="1" s="1"/>
  <c r="V10" i="1" s="1"/>
  <c r="W10" i="1" s="1"/>
  <c r="AJ10" i="1"/>
  <c r="AK10" i="1" s="1"/>
  <c r="AL10" i="1" s="1"/>
  <c r="G11" i="1"/>
  <c r="Z11" i="1"/>
  <c r="AP11" i="1"/>
  <c r="R11" i="1"/>
  <c r="AH11" i="1"/>
  <c r="J11" i="1"/>
  <c r="AC19" i="3" l="1"/>
  <c r="AR68" i="3" s="1"/>
  <c r="AS60" i="1"/>
  <c r="AT60" i="1" s="1"/>
  <c r="AU60" i="1" s="1"/>
  <c r="AS58" i="1"/>
  <c r="AT58" i="1" s="1"/>
  <c r="AU58" i="1" s="1"/>
  <c r="AS62" i="1"/>
  <c r="AT62" i="1" s="1"/>
  <c r="AU62" i="1" s="1"/>
  <c r="AS65" i="1"/>
  <c r="AT65" i="1" s="1"/>
  <c r="AU65" i="1" s="1"/>
  <c r="AS61" i="1"/>
  <c r="AT61" i="1" s="1"/>
  <c r="AU61" i="1" s="1"/>
  <c r="AS64" i="1"/>
  <c r="AT64" i="1" s="1"/>
  <c r="AU64" i="1" s="1"/>
  <c r="AS66" i="1"/>
  <c r="AT66" i="1" s="1"/>
  <c r="AU66" i="1" s="1"/>
  <c r="AS57" i="1"/>
  <c r="AT57" i="1" s="1"/>
  <c r="AU57" i="1" s="1"/>
  <c r="AS59" i="1"/>
  <c r="AT59" i="1" s="1"/>
  <c r="AU59" i="1" s="1"/>
  <c r="AS63" i="1"/>
  <c r="AT63" i="1" s="1"/>
  <c r="AU63" i="1" s="1"/>
  <c r="AC21" i="3"/>
  <c r="AR70" i="3" s="1"/>
  <c r="AC20" i="3"/>
  <c r="AR69" i="3" s="1"/>
  <c r="AC18" i="3"/>
  <c r="AR67" i="3" s="1"/>
  <c r="AL8" i="1"/>
  <c r="AM8" i="1" s="1"/>
  <c r="B29" i="14"/>
  <c r="D28" i="14"/>
  <c r="E28" i="14" s="1"/>
  <c r="AC11" i="3"/>
  <c r="AR13" i="3" s="1"/>
  <c r="AC14" i="3"/>
  <c r="AR16" i="3" s="1"/>
  <c r="AC15" i="3"/>
  <c r="AR17" i="3" s="1"/>
  <c r="AC12" i="3"/>
  <c r="AR14" i="3" s="1"/>
  <c r="AC8" i="3"/>
  <c r="AR10" i="3" s="1"/>
  <c r="AC9" i="3"/>
  <c r="AR11" i="3" s="1"/>
  <c r="AC10" i="3"/>
  <c r="AR12" i="3" s="1"/>
  <c r="AC13" i="3"/>
  <c r="AR15" i="3" s="1"/>
  <c r="AC7" i="3"/>
  <c r="AR9" i="3" s="1"/>
  <c r="AC16" i="3"/>
  <c r="AR18" i="3" s="1"/>
  <c r="AC17" i="3"/>
  <c r="AR19" i="3" s="1"/>
  <c r="AC6" i="3"/>
  <c r="AR8" i="3" s="1"/>
  <c r="AU91" i="1"/>
  <c r="AS32" i="1"/>
  <c r="AS33" i="1"/>
  <c r="AS34" i="1"/>
  <c r="AS35" i="1"/>
  <c r="AS36" i="1"/>
  <c r="AR38" i="1"/>
  <c r="AS38" i="1" s="1"/>
  <c r="AB38" i="1"/>
  <c r="AC38" i="1" s="1"/>
  <c r="AD38" i="1" s="1"/>
  <c r="L38" i="1"/>
  <c r="M38" i="1" s="1"/>
  <c r="N38" i="1" s="1"/>
  <c r="O38" i="1" s="1"/>
  <c r="T38" i="1"/>
  <c r="U38" i="1" s="1"/>
  <c r="V38" i="1" s="1"/>
  <c r="W38" i="1" s="1"/>
  <c r="AC32" i="1"/>
  <c r="AD32" i="1" s="1"/>
  <c r="AC34" i="1"/>
  <c r="AD34" i="1" s="1"/>
  <c r="AS37" i="1"/>
  <c r="AC35" i="1"/>
  <c r="AD35" i="1" s="1"/>
  <c r="G39" i="1"/>
  <c r="AP39" i="1"/>
  <c r="Z39" i="1"/>
  <c r="J39" i="1"/>
  <c r="R39" i="1"/>
  <c r="AC33" i="1"/>
  <c r="AD33" i="1" s="1"/>
  <c r="AC37" i="1"/>
  <c r="AD37" i="1" s="1"/>
  <c r="AC36" i="1"/>
  <c r="AD36" i="1" s="1"/>
  <c r="AC7" i="1"/>
  <c r="AD7" i="1" s="1"/>
  <c r="AS8" i="1"/>
  <c r="AS7" i="1"/>
  <c r="AS10" i="1"/>
  <c r="AT10" i="1" s="1"/>
  <c r="AS9" i="1"/>
  <c r="AC8" i="1"/>
  <c r="AD8" i="1" s="1"/>
  <c r="AC9" i="1"/>
  <c r="AD9" i="1" s="1"/>
  <c r="AM10" i="1"/>
  <c r="AM7" i="1"/>
  <c r="AM9" i="1"/>
  <c r="BA16" i="1"/>
  <c r="BA15" i="1"/>
  <c r="G12" i="1"/>
  <c r="AP12" i="1"/>
  <c r="R12" i="1"/>
  <c r="AH12" i="1"/>
  <c r="J12" i="1"/>
  <c r="Z12" i="1"/>
  <c r="AJ11" i="1"/>
  <c r="AK11" i="1" s="1"/>
  <c r="AL11" i="1" s="1"/>
  <c r="L11" i="1"/>
  <c r="M11" i="1" s="1"/>
  <c r="N11" i="1" s="1"/>
  <c r="O11" i="1" s="1"/>
  <c r="AB11" i="1"/>
  <c r="AR11" i="1"/>
  <c r="AS11" i="1" s="1"/>
  <c r="AT11" i="1" s="1"/>
  <c r="T11" i="1"/>
  <c r="U11" i="1" s="1"/>
  <c r="V11" i="1" s="1"/>
  <c r="W11" i="1" s="1"/>
  <c r="AL19" i="3" l="1"/>
  <c r="AS68" i="3" s="1"/>
  <c r="AQ73" i="3" s="1"/>
  <c r="AL18" i="3"/>
  <c r="AS67" i="3" s="1"/>
  <c r="AQ72" i="3" s="1"/>
  <c r="AL20" i="3"/>
  <c r="AS69" i="3" s="1"/>
  <c r="AQ74" i="3" s="1"/>
  <c r="AL21" i="3"/>
  <c r="AS70" i="3" s="1"/>
  <c r="AQ75" i="3" s="1"/>
  <c r="AT38" i="1"/>
  <c r="AU38" i="1" s="1"/>
  <c r="AT36" i="1"/>
  <c r="AU36" i="1" s="1"/>
  <c r="AT37" i="1"/>
  <c r="AU37" i="1" s="1"/>
  <c r="AT35" i="1"/>
  <c r="AU35" i="1" s="1"/>
  <c r="AT8" i="1"/>
  <c r="AU8" i="1" s="1"/>
  <c r="AT34" i="1"/>
  <c r="AU34" i="1" s="1"/>
  <c r="AT7" i="1"/>
  <c r="AU7" i="1" s="1"/>
  <c r="AT33" i="1"/>
  <c r="AU33" i="1" s="1"/>
  <c r="AT9" i="1"/>
  <c r="AU9" i="1" s="1"/>
  <c r="AT32" i="1"/>
  <c r="AU32" i="1" s="1"/>
  <c r="B30" i="14"/>
  <c r="D29" i="14"/>
  <c r="E29" i="14" s="1"/>
  <c r="AL7" i="3"/>
  <c r="AS9" i="3" s="1"/>
  <c r="AL15" i="3"/>
  <c r="AS17" i="3" s="1"/>
  <c r="AL13" i="3"/>
  <c r="AS15" i="3" s="1"/>
  <c r="AL14" i="3"/>
  <c r="AS16" i="3" s="1"/>
  <c r="AL8" i="3"/>
  <c r="AS10" i="3" s="1"/>
  <c r="AL16" i="3"/>
  <c r="AS18" i="3" s="1"/>
  <c r="AL10" i="3"/>
  <c r="AS12" i="3" s="1"/>
  <c r="AL11" i="3"/>
  <c r="AS13" i="3" s="1"/>
  <c r="AL9" i="3"/>
  <c r="AS11" i="3" s="1"/>
  <c r="AL17" i="3"/>
  <c r="AS19" i="3" s="1"/>
  <c r="AL6" i="3"/>
  <c r="AS8" i="3" s="1"/>
  <c r="AL12" i="3"/>
  <c r="AS14" i="3" s="1"/>
  <c r="J40" i="1"/>
  <c r="G40" i="1"/>
  <c r="AP40" i="1"/>
  <c r="R40" i="1"/>
  <c r="Z40" i="1"/>
  <c r="T39" i="1"/>
  <c r="U39" i="1" s="1"/>
  <c r="V39" i="1" s="1"/>
  <c r="W39" i="1" s="1"/>
  <c r="AR39" i="1"/>
  <c r="AS39" i="1" s="1"/>
  <c r="L39" i="1"/>
  <c r="M39" i="1" s="1"/>
  <c r="N39" i="1" s="1"/>
  <c r="O39" i="1" s="1"/>
  <c r="AB39" i="1"/>
  <c r="AC39" i="1" s="1"/>
  <c r="AD39" i="1" s="1"/>
  <c r="AC11" i="1"/>
  <c r="AD11" i="1" s="1"/>
  <c r="AU11" i="1"/>
  <c r="AM11" i="1"/>
  <c r="G13" i="1"/>
  <c r="AP13" i="1"/>
  <c r="R13" i="1"/>
  <c r="AH13" i="1"/>
  <c r="J13" i="1"/>
  <c r="Z13" i="1"/>
  <c r="AR12" i="1"/>
  <c r="AS12" i="1" s="1"/>
  <c r="AT12" i="1" s="1"/>
  <c r="T12" i="1"/>
  <c r="U12" i="1" s="1"/>
  <c r="V12" i="1" s="1"/>
  <c r="W12" i="1" s="1"/>
  <c r="AJ12" i="1"/>
  <c r="AK12" i="1" s="1"/>
  <c r="AL12" i="1" s="1"/>
  <c r="L12" i="1"/>
  <c r="M12" i="1" s="1"/>
  <c r="N12" i="1" s="1"/>
  <c r="O12" i="1" s="1"/>
  <c r="AB12" i="1"/>
  <c r="AT39" i="1" l="1"/>
  <c r="AU39" i="1" s="1"/>
  <c r="B31" i="14"/>
  <c r="D30" i="14"/>
  <c r="E30" i="14" s="1"/>
  <c r="G41" i="1"/>
  <c r="Z41" i="1"/>
  <c r="J41" i="1"/>
  <c r="AP41" i="1"/>
  <c r="R41" i="1"/>
  <c r="AB40" i="1"/>
  <c r="AC40" i="1" s="1"/>
  <c r="AD40" i="1" s="1"/>
  <c r="T40" i="1"/>
  <c r="U40" i="1" s="1"/>
  <c r="V40" i="1" s="1"/>
  <c r="W40" i="1" s="1"/>
  <c r="AR40" i="1"/>
  <c r="AS40" i="1" s="1"/>
  <c r="L40" i="1"/>
  <c r="M40" i="1" s="1"/>
  <c r="N40" i="1" s="1"/>
  <c r="O40" i="1" s="1"/>
  <c r="AC12" i="1"/>
  <c r="AD12" i="1" s="1"/>
  <c r="AU12" i="1"/>
  <c r="AM12" i="1"/>
  <c r="BG31" i="3"/>
  <c r="G14" i="1"/>
  <c r="Z14" i="1"/>
  <c r="AP14" i="1"/>
  <c r="R14" i="1"/>
  <c r="AH14" i="1"/>
  <c r="J14" i="1"/>
  <c r="AJ13" i="1"/>
  <c r="AK13" i="1" s="1"/>
  <c r="AL13" i="1" s="1"/>
  <c r="L13" i="1"/>
  <c r="M13" i="1" s="1"/>
  <c r="N13" i="1" s="1"/>
  <c r="O13" i="1" s="1"/>
  <c r="AB13" i="1"/>
  <c r="AR13" i="1"/>
  <c r="AS13" i="1" s="1"/>
  <c r="AT13" i="1" s="1"/>
  <c r="T13" i="1"/>
  <c r="U13" i="1" s="1"/>
  <c r="V13" i="1" s="1"/>
  <c r="W13" i="1" s="1"/>
  <c r="AT40" i="1" l="1"/>
  <c r="AU40" i="1" s="1"/>
  <c r="B32" i="14"/>
  <c r="D31" i="14"/>
  <c r="E31" i="14" s="1"/>
  <c r="AB41" i="1"/>
  <c r="AC41" i="1" s="1"/>
  <c r="AD41" i="1" s="1"/>
  <c r="L41" i="1"/>
  <c r="M41" i="1" s="1"/>
  <c r="N41" i="1" s="1"/>
  <c r="O41" i="1" s="1"/>
  <c r="T41" i="1"/>
  <c r="U41" i="1" s="1"/>
  <c r="V41" i="1" s="1"/>
  <c r="W41" i="1" s="1"/>
  <c r="AR41" i="1"/>
  <c r="AS41" i="1" s="1"/>
  <c r="G42" i="1"/>
  <c r="AP42" i="1"/>
  <c r="Z42" i="1"/>
  <c r="R42" i="1"/>
  <c r="J42" i="1"/>
  <c r="AH42" i="1"/>
  <c r="AC13" i="1"/>
  <c r="AD13" i="1" s="1"/>
  <c r="AU13" i="1"/>
  <c r="AM13" i="1"/>
  <c r="G15" i="1"/>
  <c r="Z15" i="1"/>
  <c r="AP15" i="1"/>
  <c r="R15" i="1"/>
  <c r="AH15" i="1"/>
  <c r="J15" i="1"/>
  <c r="AB14" i="1"/>
  <c r="AR14" i="1"/>
  <c r="AS14" i="1" s="1"/>
  <c r="AT14" i="1" s="1"/>
  <c r="T14" i="1"/>
  <c r="U14" i="1" s="1"/>
  <c r="V14" i="1" s="1"/>
  <c r="W14" i="1" s="1"/>
  <c r="AJ14" i="1"/>
  <c r="AK14" i="1" s="1"/>
  <c r="AL14" i="1" s="1"/>
  <c r="L14" i="1"/>
  <c r="M14" i="1" s="1"/>
  <c r="N14" i="1" s="1"/>
  <c r="O14" i="1" s="1"/>
  <c r="AT41" i="1" l="1"/>
  <c r="AU41" i="1" s="1"/>
  <c r="B33" i="14"/>
  <c r="D32" i="14"/>
  <c r="E32" i="14" s="1"/>
  <c r="Z43" i="1"/>
  <c r="G43" i="1"/>
  <c r="R43" i="1"/>
  <c r="AP43" i="1"/>
  <c r="J43" i="1"/>
  <c r="AH43" i="1"/>
  <c r="T42" i="1"/>
  <c r="U42" i="1" s="1"/>
  <c r="V42" i="1" s="1"/>
  <c r="W42" i="1" s="1"/>
  <c r="L42" i="1"/>
  <c r="M42" i="1" s="1"/>
  <c r="N42" i="1" s="1"/>
  <c r="O42" i="1" s="1"/>
  <c r="AR42" i="1"/>
  <c r="AS42" i="1" s="1"/>
  <c r="AB42" i="1"/>
  <c r="AC42" i="1" s="1"/>
  <c r="AD42" i="1" s="1"/>
  <c r="AJ42" i="1"/>
  <c r="AC14" i="1"/>
  <c r="AD14" i="1" s="1"/>
  <c r="AU14" i="1"/>
  <c r="AM14" i="1"/>
  <c r="G16" i="1"/>
  <c r="AH16" i="1"/>
  <c r="J16" i="1"/>
  <c r="Z16" i="1"/>
  <c r="AP16" i="1"/>
  <c r="R16" i="1"/>
  <c r="AR15" i="1"/>
  <c r="AS15" i="1" s="1"/>
  <c r="AT15" i="1" s="1"/>
  <c r="T15" i="1"/>
  <c r="U15" i="1" s="1"/>
  <c r="V15" i="1" s="1"/>
  <c r="W15" i="1" s="1"/>
  <c r="AJ15" i="1"/>
  <c r="AK15" i="1" s="1"/>
  <c r="AL15" i="1" s="1"/>
  <c r="L15" i="1"/>
  <c r="M15" i="1" s="1"/>
  <c r="N15" i="1" s="1"/>
  <c r="O15" i="1" s="1"/>
  <c r="AB15" i="1"/>
  <c r="AT42" i="1" l="1"/>
  <c r="AU42" i="1" s="1"/>
  <c r="B34" i="14"/>
  <c r="D33" i="14"/>
  <c r="E33" i="14" s="1"/>
  <c r="AP45" i="1"/>
  <c r="AH45" i="1"/>
  <c r="Z45" i="1"/>
  <c r="R45" i="1"/>
  <c r="J45" i="1"/>
  <c r="G45" i="1"/>
  <c r="AK42" i="1"/>
  <c r="AB43" i="1"/>
  <c r="AC43" i="1" s="1"/>
  <c r="AD43" i="1" s="1"/>
  <c r="T43" i="1"/>
  <c r="U43" i="1" s="1"/>
  <c r="V43" i="1" s="1"/>
  <c r="W43" i="1" s="1"/>
  <c r="AR43" i="1"/>
  <c r="AS43" i="1" s="1"/>
  <c r="L43" i="1"/>
  <c r="M43" i="1" s="1"/>
  <c r="N43" i="1" s="1"/>
  <c r="O43" i="1" s="1"/>
  <c r="AJ43" i="1"/>
  <c r="AP44" i="1"/>
  <c r="G44" i="1"/>
  <c r="R44" i="1"/>
  <c r="J44" i="1"/>
  <c r="Z44" i="1"/>
  <c r="AH44" i="1"/>
  <c r="AC15" i="1"/>
  <c r="AD15" i="1" s="1"/>
  <c r="AU15" i="1"/>
  <c r="AM15" i="1"/>
  <c r="G17" i="1"/>
  <c r="Z17" i="1"/>
  <c r="AP17" i="1"/>
  <c r="R17" i="1"/>
  <c r="AH17" i="1"/>
  <c r="J17" i="1"/>
  <c r="AR16" i="1"/>
  <c r="AS16" i="1" s="1"/>
  <c r="AT16" i="1" s="1"/>
  <c r="T16" i="1"/>
  <c r="U16" i="1" s="1"/>
  <c r="V16" i="1" s="1"/>
  <c r="W16" i="1" s="1"/>
  <c r="AJ16" i="1"/>
  <c r="AK16" i="1" s="1"/>
  <c r="AL16" i="1" s="1"/>
  <c r="L16" i="1"/>
  <c r="M16" i="1" s="1"/>
  <c r="N16" i="1" s="1"/>
  <c r="O16" i="1" s="1"/>
  <c r="AB16" i="1"/>
  <c r="AL42" i="1" l="1"/>
  <c r="AM42" i="1" s="1"/>
  <c r="AT43" i="1"/>
  <c r="AU43" i="1" s="1"/>
  <c r="B35" i="14"/>
  <c r="D34" i="14"/>
  <c r="E34" i="14" s="1"/>
  <c r="AH46" i="1"/>
  <c r="AP46" i="1"/>
  <c r="Z46" i="1"/>
  <c r="R46" i="1"/>
  <c r="J46" i="1"/>
  <c r="G46" i="1"/>
  <c r="AR45" i="1"/>
  <c r="AS45" i="1" s="1"/>
  <c r="AJ45" i="1"/>
  <c r="T45" i="1"/>
  <c r="U45" i="1" s="1"/>
  <c r="V45" i="1" s="1"/>
  <c r="W45" i="1" s="1"/>
  <c r="AB45" i="1"/>
  <c r="AC45" i="1" s="1"/>
  <c r="AD45" i="1" s="1"/>
  <c r="L45" i="1"/>
  <c r="M45" i="1" s="1"/>
  <c r="N45" i="1" s="1"/>
  <c r="O45" i="1" s="1"/>
  <c r="AK43" i="1"/>
  <c r="AR44" i="1"/>
  <c r="AS44" i="1" s="1"/>
  <c r="AB44" i="1"/>
  <c r="AC44" i="1" s="1"/>
  <c r="AD44" i="1" s="1"/>
  <c r="T44" i="1"/>
  <c r="U44" i="1" s="1"/>
  <c r="V44" i="1" s="1"/>
  <c r="W44" i="1" s="1"/>
  <c r="L44" i="1"/>
  <c r="M44" i="1" s="1"/>
  <c r="N44" i="1" s="1"/>
  <c r="O44" i="1" s="1"/>
  <c r="AJ44" i="1"/>
  <c r="AC16" i="1"/>
  <c r="AD16" i="1" s="1"/>
  <c r="AU16" i="1"/>
  <c r="AM16" i="1"/>
  <c r="G18" i="1"/>
  <c r="AP18" i="1"/>
  <c r="R18" i="1"/>
  <c r="AH18" i="1"/>
  <c r="J18" i="1"/>
  <c r="Z18" i="1"/>
  <c r="AB17" i="1"/>
  <c r="AR17" i="1"/>
  <c r="AS17" i="1" s="1"/>
  <c r="AT17" i="1" s="1"/>
  <c r="T17" i="1"/>
  <c r="U17" i="1" s="1"/>
  <c r="V17" i="1" s="1"/>
  <c r="W17" i="1" s="1"/>
  <c r="AJ17" i="1"/>
  <c r="AK17" i="1" s="1"/>
  <c r="AL17" i="1" s="1"/>
  <c r="L17" i="1"/>
  <c r="M17" i="1" s="1"/>
  <c r="N17" i="1" s="1"/>
  <c r="O17" i="1" s="1"/>
  <c r="AT45" i="1" l="1"/>
  <c r="AU45" i="1" s="1"/>
  <c r="AT44" i="1"/>
  <c r="AU44" i="1" s="1"/>
  <c r="AL43" i="1"/>
  <c r="AM43" i="1" s="1"/>
  <c r="B36" i="14"/>
  <c r="D35" i="14"/>
  <c r="E35" i="14" s="1"/>
  <c r="AK45" i="1"/>
  <c r="AP47" i="1"/>
  <c r="AH47" i="1"/>
  <c r="Z47" i="1"/>
  <c r="R47" i="1"/>
  <c r="J47" i="1"/>
  <c r="G47" i="1"/>
  <c r="AJ46" i="1"/>
  <c r="AR46" i="1"/>
  <c r="AS46" i="1" s="1"/>
  <c r="AB46" i="1"/>
  <c r="AC46" i="1" s="1"/>
  <c r="AD46" i="1" s="1"/>
  <c r="T46" i="1"/>
  <c r="U46" i="1" s="1"/>
  <c r="V46" i="1" s="1"/>
  <c r="W46" i="1" s="1"/>
  <c r="L46" i="1"/>
  <c r="M46" i="1" s="1"/>
  <c r="N46" i="1" s="1"/>
  <c r="O46" i="1" s="1"/>
  <c r="AK44" i="1"/>
  <c r="AC17" i="1"/>
  <c r="AD17" i="1" s="1"/>
  <c r="AU17" i="1"/>
  <c r="AM17" i="1"/>
  <c r="G19" i="1"/>
  <c r="Z19" i="1"/>
  <c r="AP19" i="1"/>
  <c r="R19" i="1"/>
  <c r="AH19" i="1"/>
  <c r="J19" i="1"/>
  <c r="AR18" i="1"/>
  <c r="AS18" i="1" s="1"/>
  <c r="AT18" i="1" s="1"/>
  <c r="L18" i="1"/>
  <c r="M18" i="1" s="1"/>
  <c r="N18" i="1" s="1"/>
  <c r="O18" i="1" s="1"/>
  <c r="AJ18" i="1"/>
  <c r="AK18" i="1" s="1"/>
  <c r="AL18" i="1" s="1"/>
  <c r="T18" i="1"/>
  <c r="U18" i="1" s="1"/>
  <c r="V18" i="1" s="1"/>
  <c r="W18" i="1" s="1"/>
  <c r="AB18" i="1"/>
  <c r="AL44" i="1" l="1"/>
  <c r="AM44" i="1" s="1"/>
  <c r="AL45" i="1"/>
  <c r="AM45" i="1" s="1"/>
  <c r="AT46" i="1"/>
  <c r="AU46" i="1" s="1"/>
  <c r="B37" i="14"/>
  <c r="D36" i="14"/>
  <c r="E36" i="14" s="1"/>
  <c r="AR47" i="1"/>
  <c r="AS47" i="1" s="1"/>
  <c r="AJ47" i="1"/>
  <c r="AB47" i="1"/>
  <c r="AC47" i="1" s="1"/>
  <c r="AD47" i="1" s="1"/>
  <c r="T47" i="1"/>
  <c r="U47" i="1" s="1"/>
  <c r="V47" i="1" s="1"/>
  <c r="W47" i="1" s="1"/>
  <c r="L47" i="1"/>
  <c r="M47" i="1" s="1"/>
  <c r="N47" i="1" s="1"/>
  <c r="O47" i="1" s="1"/>
  <c r="AP48" i="1"/>
  <c r="AH48" i="1"/>
  <c r="R48" i="1"/>
  <c r="Z48" i="1"/>
  <c r="J48" i="1"/>
  <c r="G48" i="1"/>
  <c r="AK46" i="1"/>
  <c r="AC18" i="1"/>
  <c r="AD18" i="1" s="1"/>
  <c r="AU18" i="1"/>
  <c r="AM18" i="1"/>
  <c r="G20" i="1"/>
  <c r="AP20" i="1"/>
  <c r="R20" i="1"/>
  <c r="AH20" i="1"/>
  <c r="J20" i="1"/>
  <c r="Z20" i="1"/>
  <c r="AR19" i="1"/>
  <c r="AS19" i="1" s="1"/>
  <c r="AT19" i="1" s="1"/>
  <c r="AB19" i="1"/>
  <c r="T19" i="1"/>
  <c r="U19" i="1" s="1"/>
  <c r="V19" i="1" s="1"/>
  <c r="W19" i="1" s="1"/>
  <c r="AJ19" i="1"/>
  <c r="AK19" i="1" s="1"/>
  <c r="AL19" i="1" s="1"/>
  <c r="L19" i="1"/>
  <c r="M19" i="1" s="1"/>
  <c r="N19" i="1" s="1"/>
  <c r="O19" i="1" s="1"/>
  <c r="AL46" i="1" l="1"/>
  <c r="AM46" i="1" s="1"/>
  <c r="AT47" i="1"/>
  <c r="AU47" i="1" s="1"/>
  <c r="B38" i="14"/>
  <c r="D37" i="14"/>
  <c r="E37" i="14" s="1"/>
  <c r="AP49" i="1"/>
  <c r="R49" i="1"/>
  <c r="AH49" i="1"/>
  <c r="Z49" i="1"/>
  <c r="J49" i="1"/>
  <c r="G49" i="1"/>
  <c r="AK47" i="1"/>
  <c r="AR48" i="1"/>
  <c r="AS48" i="1" s="1"/>
  <c r="AJ48" i="1"/>
  <c r="AB48" i="1"/>
  <c r="AC48" i="1" s="1"/>
  <c r="AD48" i="1" s="1"/>
  <c r="T48" i="1"/>
  <c r="U48" i="1" s="1"/>
  <c r="V48" i="1" s="1"/>
  <c r="W48" i="1" s="1"/>
  <c r="L48" i="1"/>
  <c r="M48" i="1" s="1"/>
  <c r="N48" i="1" s="1"/>
  <c r="O48" i="1" s="1"/>
  <c r="AC19" i="1"/>
  <c r="AD19" i="1" s="1"/>
  <c r="AU19" i="1"/>
  <c r="AM19" i="1"/>
  <c r="G21" i="1"/>
  <c r="AP21" i="1"/>
  <c r="R21" i="1"/>
  <c r="AH21" i="1"/>
  <c r="J21" i="1"/>
  <c r="Z21" i="1"/>
  <c r="AB20" i="1"/>
  <c r="AR20" i="1"/>
  <c r="AS20" i="1" s="1"/>
  <c r="AT20" i="1" s="1"/>
  <c r="T20" i="1"/>
  <c r="U20" i="1" s="1"/>
  <c r="V20" i="1" s="1"/>
  <c r="W20" i="1" s="1"/>
  <c r="AJ20" i="1"/>
  <c r="AK20" i="1" s="1"/>
  <c r="AL20" i="1" s="1"/>
  <c r="L20" i="1"/>
  <c r="M20" i="1" s="1"/>
  <c r="N20" i="1" s="1"/>
  <c r="O20" i="1" s="1"/>
  <c r="AT48" i="1" l="1"/>
  <c r="AU48" i="1" s="1"/>
  <c r="AL47" i="1"/>
  <c r="AM47" i="1" s="1"/>
  <c r="B39" i="14"/>
  <c r="D38" i="14"/>
  <c r="E38" i="14" s="1"/>
  <c r="AP50" i="1"/>
  <c r="AH50" i="1"/>
  <c r="Z50" i="1"/>
  <c r="R50" i="1"/>
  <c r="J50" i="1"/>
  <c r="G50" i="1"/>
  <c r="AK48" i="1"/>
  <c r="AJ49" i="1"/>
  <c r="AR49" i="1"/>
  <c r="AS49" i="1" s="1"/>
  <c r="AB49" i="1"/>
  <c r="AC49" i="1" s="1"/>
  <c r="AD49" i="1" s="1"/>
  <c r="T49" i="1"/>
  <c r="U49" i="1" s="1"/>
  <c r="V49" i="1" s="1"/>
  <c r="W49" i="1" s="1"/>
  <c r="L49" i="1"/>
  <c r="M49" i="1" s="1"/>
  <c r="N49" i="1" s="1"/>
  <c r="O49" i="1" s="1"/>
  <c r="AC20" i="1"/>
  <c r="AD20" i="1" s="1"/>
  <c r="AU20" i="1"/>
  <c r="AM20" i="1"/>
  <c r="G22" i="1"/>
  <c r="Z22" i="1"/>
  <c r="AP22" i="1"/>
  <c r="R22" i="1"/>
  <c r="AH22" i="1"/>
  <c r="J22" i="1"/>
  <c r="AB21" i="1"/>
  <c r="AR21" i="1"/>
  <c r="AS21" i="1" s="1"/>
  <c r="AT21" i="1" s="1"/>
  <c r="T21" i="1"/>
  <c r="U21" i="1" s="1"/>
  <c r="V21" i="1" s="1"/>
  <c r="W21" i="1" s="1"/>
  <c r="AJ21" i="1"/>
  <c r="AK21" i="1" s="1"/>
  <c r="AL21" i="1" s="1"/>
  <c r="L21" i="1"/>
  <c r="M21" i="1" s="1"/>
  <c r="N21" i="1" s="1"/>
  <c r="O21" i="1" s="1"/>
  <c r="AT49" i="1" l="1"/>
  <c r="AU49" i="1" s="1"/>
  <c r="AL48" i="1"/>
  <c r="AM48" i="1" s="1"/>
  <c r="B40" i="14"/>
  <c r="D39" i="14"/>
  <c r="E39" i="14" s="1"/>
  <c r="AP51" i="1"/>
  <c r="AH51" i="1"/>
  <c r="Z51" i="1"/>
  <c r="R51" i="1"/>
  <c r="J51" i="1"/>
  <c r="G51" i="1"/>
  <c r="AK49" i="1"/>
  <c r="AR50" i="1"/>
  <c r="AS50" i="1" s="1"/>
  <c r="AJ50" i="1"/>
  <c r="AB50" i="1"/>
  <c r="AC50" i="1" s="1"/>
  <c r="AD50" i="1" s="1"/>
  <c r="T50" i="1"/>
  <c r="U50" i="1" s="1"/>
  <c r="V50" i="1" s="1"/>
  <c r="W50" i="1" s="1"/>
  <c r="L50" i="1"/>
  <c r="M50" i="1" s="1"/>
  <c r="N50" i="1" s="1"/>
  <c r="O50" i="1" s="1"/>
  <c r="AC21" i="1"/>
  <c r="AD21" i="1" s="1"/>
  <c r="AU21" i="1"/>
  <c r="AM21" i="1"/>
  <c r="G23" i="1"/>
  <c r="AP23" i="1"/>
  <c r="R23" i="1"/>
  <c r="AH23" i="1"/>
  <c r="J23" i="1"/>
  <c r="Z23" i="1"/>
  <c r="AR22" i="1"/>
  <c r="AS22" i="1" s="1"/>
  <c r="AT22" i="1" s="1"/>
  <c r="AB22" i="1"/>
  <c r="T22" i="1"/>
  <c r="U22" i="1" s="1"/>
  <c r="V22" i="1" s="1"/>
  <c r="W22" i="1" s="1"/>
  <c r="AJ22" i="1"/>
  <c r="AK22" i="1" s="1"/>
  <c r="AL22" i="1" s="1"/>
  <c r="L22" i="1"/>
  <c r="M22" i="1" s="1"/>
  <c r="N22" i="1" s="1"/>
  <c r="O22" i="1" s="1"/>
  <c r="AT50" i="1" l="1"/>
  <c r="AU50" i="1" s="1"/>
  <c r="AL49" i="1"/>
  <c r="AM49" i="1" s="1"/>
  <c r="B41" i="14"/>
  <c r="D40" i="14"/>
  <c r="E40" i="14" s="1"/>
  <c r="AR51" i="1"/>
  <c r="AS51" i="1" s="1"/>
  <c r="T51" i="1"/>
  <c r="U51" i="1" s="1"/>
  <c r="V51" i="1" s="1"/>
  <c r="W51" i="1" s="1"/>
  <c r="AJ51" i="1"/>
  <c r="AB51" i="1"/>
  <c r="AC51" i="1" s="1"/>
  <c r="AD51" i="1" s="1"/>
  <c r="L51" i="1"/>
  <c r="M51" i="1" s="1"/>
  <c r="N51" i="1" s="1"/>
  <c r="O51" i="1" s="1"/>
  <c r="AK50" i="1"/>
  <c r="AP52" i="1"/>
  <c r="R52" i="1"/>
  <c r="AH52" i="1"/>
  <c r="Z52" i="1"/>
  <c r="J52" i="1"/>
  <c r="G52" i="1"/>
  <c r="AC22" i="1"/>
  <c r="AD22" i="1" s="1"/>
  <c r="AU22" i="1"/>
  <c r="AM22" i="1"/>
  <c r="G24" i="1"/>
  <c r="AP24" i="1"/>
  <c r="Z24" i="1"/>
  <c r="R24" i="1"/>
  <c r="AH24" i="1"/>
  <c r="J24" i="1"/>
  <c r="AJ23" i="1"/>
  <c r="AK23" i="1" s="1"/>
  <c r="AL23" i="1" s="1"/>
  <c r="AR23" i="1"/>
  <c r="AS23" i="1" s="1"/>
  <c r="AT23" i="1" s="1"/>
  <c r="T23" i="1"/>
  <c r="U23" i="1" s="1"/>
  <c r="V23" i="1" s="1"/>
  <c r="W23" i="1" s="1"/>
  <c r="L23" i="1"/>
  <c r="M23" i="1" s="1"/>
  <c r="N23" i="1" s="1"/>
  <c r="O23" i="1" s="1"/>
  <c r="AB23" i="1"/>
  <c r="AL50" i="1" l="1"/>
  <c r="AM50" i="1" s="1"/>
  <c r="AT51" i="1"/>
  <c r="AU51" i="1" s="1"/>
  <c r="B42" i="14"/>
  <c r="D41" i="14"/>
  <c r="E41" i="14" s="1"/>
  <c r="AK51" i="1"/>
  <c r="AR52" i="1"/>
  <c r="AS52" i="1" s="1"/>
  <c r="AB52" i="1"/>
  <c r="AC52" i="1" s="1"/>
  <c r="AD52" i="1" s="1"/>
  <c r="AJ52" i="1"/>
  <c r="T52" i="1"/>
  <c r="U52" i="1" s="1"/>
  <c r="V52" i="1" s="1"/>
  <c r="W52" i="1" s="1"/>
  <c r="L52" i="1"/>
  <c r="M52" i="1" s="1"/>
  <c r="N52" i="1" s="1"/>
  <c r="O52" i="1" s="1"/>
  <c r="AP53" i="1"/>
  <c r="Z53" i="1"/>
  <c r="AH53" i="1"/>
  <c r="R53" i="1"/>
  <c r="J53" i="1"/>
  <c r="G53" i="1"/>
  <c r="AC23" i="1"/>
  <c r="AD23" i="1" s="1"/>
  <c r="AU23" i="1"/>
  <c r="AM23" i="1"/>
  <c r="G25" i="1"/>
  <c r="AP25" i="1"/>
  <c r="R25" i="1"/>
  <c r="AH25" i="1"/>
  <c r="J25" i="1"/>
  <c r="Z25" i="1"/>
  <c r="AB24" i="1"/>
  <c r="AR24" i="1"/>
  <c r="AS24" i="1" s="1"/>
  <c r="AT24" i="1" s="1"/>
  <c r="T24" i="1"/>
  <c r="U24" i="1" s="1"/>
  <c r="V24" i="1" s="1"/>
  <c r="W24" i="1" s="1"/>
  <c r="AJ24" i="1"/>
  <c r="AK24" i="1" s="1"/>
  <c r="AL24" i="1" s="1"/>
  <c r="L24" i="1"/>
  <c r="M24" i="1" s="1"/>
  <c r="N24" i="1" s="1"/>
  <c r="O24" i="1" s="1"/>
  <c r="AT52" i="1" l="1"/>
  <c r="AU52" i="1" s="1"/>
  <c r="AL51" i="1"/>
  <c r="AM51" i="1" s="1"/>
  <c r="B43" i="14"/>
  <c r="D42" i="14"/>
  <c r="E42" i="14" s="1"/>
  <c r="AR53" i="1"/>
  <c r="AS53" i="1" s="1"/>
  <c r="AJ53" i="1"/>
  <c r="AB53" i="1"/>
  <c r="AC53" i="1" s="1"/>
  <c r="AD53" i="1" s="1"/>
  <c r="T53" i="1"/>
  <c r="U53" i="1" s="1"/>
  <c r="V53" i="1" s="1"/>
  <c r="W53" i="1" s="1"/>
  <c r="L53" i="1"/>
  <c r="M53" i="1" s="1"/>
  <c r="N53" i="1" s="1"/>
  <c r="O53" i="1" s="1"/>
  <c r="AK52" i="1"/>
  <c r="AP54" i="1"/>
  <c r="AH54" i="1"/>
  <c r="Z54" i="1"/>
  <c r="R54" i="1"/>
  <c r="J54" i="1"/>
  <c r="G54" i="1"/>
  <c r="AC24" i="1"/>
  <c r="AD24" i="1" s="1"/>
  <c r="AU24" i="1"/>
  <c r="AM24" i="1"/>
  <c r="G26" i="1"/>
  <c r="Z26" i="1"/>
  <c r="AP26" i="1"/>
  <c r="R26" i="1"/>
  <c r="AH26" i="1"/>
  <c r="J26" i="1"/>
  <c r="AR25" i="1"/>
  <c r="AS25" i="1" s="1"/>
  <c r="AT25" i="1" s="1"/>
  <c r="AB25" i="1"/>
  <c r="T25" i="1"/>
  <c r="U25" i="1" s="1"/>
  <c r="V25" i="1" s="1"/>
  <c r="W25" i="1" s="1"/>
  <c r="AJ25" i="1"/>
  <c r="AK25" i="1" s="1"/>
  <c r="AL25" i="1" s="1"/>
  <c r="L25" i="1"/>
  <c r="M25" i="1" s="1"/>
  <c r="N25" i="1" s="1"/>
  <c r="O25" i="1" s="1"/>
  <c r="AL52" i="1" l="1"/>
  <c r="AM52" i="1" s="1"/>
  <c r="AT53" i="1"/>
  <c r="AU53" i="1" s="1"/>
  <c r="B44" i="14"/>
  <c r="D43" i="14"/>
  <c r="E43" i="14" s="1"/>
  <c r="AR54" i="1"/>
  <c r="AS54" i="1" s="1"/>
  <c r="AJ54" i="1"/>
  <c r="T54" i="1"/>
  <c r="U54" i="1" s="1"/>
  <c r="V54" i="1" s="1"/>
  <c r="W54" i="1" s="1"/>
  <c r="AB54" i="1"/>
  <c r="AC54" i="1" s="1"/>
  <c r="AD54" i="1" s="1"/>
  <c r="L54" i="1"/>
  <c r="M54" i="1" s="1"/>
  <c r="N54" i="1" s="1"/>
  <c r="O54" i="1" s="1"/>
  <c r="AK53" i="1"/>
  <c r="AP55" i="1"/>
  <c r="Z55" i="1"/>
  <c r="R55" i="1"/>
  <c r="AH55" i="1"/>
  <c r="J55" i="1"/>
  <c r="G55" i="1"/>
  <c r="AC25" i="1"/>
  <c r="AD25" i="1" s="1"/>
  <c r="AU25" i="1"/>
  <c r="AM25" i="1"/>
  <c r="G27" i="1"/>
  <c r="Z27" i="1"/>
  <c r="AP27" i="1"/>
  <c r="R27" i="1"/>
  <c r="AH27" i="1"/>
  <c r="J27" i="1"/>
  <c r="AB26" i="1"/>
  <c r="AJ26" i="1"/>
  <c r="AK26" i="1" s="1"/>
  <c r="AL26" i="1" s="1"/>
  <c r="L26" i="1"/>
  <c r="M26" i="1" s="1"/>
  <c r="N26" i="1" s="1"/>
  <c r="O26" i="1" s="1"/>
  <c r="AR26" i="1"/>
  <c r="AS26" i="1" s="1"/>
  <c r="AT26" i="1" s="1"/>
  <c r="T26" i="1"/>
  <c r="U26" i="1" s="1"/>
  <c r="V26" i="1" s="1"/>
  <c r="W26" i="1" s="1"/>
  <c r="AT54" i="1" l="1"/>
  <c r="AU54" i="1" s="1"/>
  <c r="AL53" i="1"/>
  <c r="AM53" i="1" s="1"/>
  <c r="B45" i="14"/>
  <c r="D44" i="14"/>
  <c r="E44" i="14" s="1"/>
  <c r="AR55" i="1"/>
  <c r="AS55" i="1" s="1"/>
  <c r="AB55" i="1"/>
  <c r="AC55" i="1" s="1"/>
  <c r="AD55" i="1" s="1"/>
  <c r="AJ55" i="1"/>
  <c r="T55" i="1"/>
  <c r="U55" i="1" s="1"/>
  <c r="V55" i="1" s="1"/>
  <c r="W55" i="1" s="1"/>
  <c r="L55" i="1"/>
  <c r="M55" i="1" s="1"/>
  <c r="N55" i="1" s="1"/>
  <c r="O55" i="1" s="1"/>
  <c r="AK54" i="1"/>
  <c r="AP56" i="1"/>
  <c r="AH56" i="1"/>
  <c r="Z56" i="1"/>
  <c r="R56" i="1"/>
  <c r="J56" i="1"/>
  <c r="G56" i="1"/>
  <c r="AC26" i="1"/>
  <c r="AD26" i="1" s="1"/>
  <c r="AU26" i="1"/>
  <c r="AM26" i="1"/>
  <c r="G28" i="1"/>
  <c r="AP28" i="1"/>
  <c r="R28" i="1"/>
  <c r="AH28" i="1"/>
  <c r="J28" i="1"/>
  <c r="Z28" i="1"/>
  <c r="AB27" i="1"/>
  <c r="AR27" i="1"/>
  <c r="AS27" i="1" s="1"/>
  <c r="AT27" i="1" s="1"/>
  <c r="T27" i="1"/>
  <c r="U27" i="1" s="1"/>
  <c r="V27" i="1" s="1"/>
  <c r="W27" i="1" s="1"/>
  <c r="AJ27" i="1"/>
  <c r="AK27" i="1" s="1"/>
  <c r="AL27" i="1" s="1"/>
  <c r="L27" i="1"/>
  <c r="M27" i="1" s="1"/>
  <c r="N27" i="1" s="1"/>
  <c r="O27" i="1" s="1"/>
  <c r="AL54" i="1" l="1"/>
  <c r="AM54" i="1" s="1"/>
  <c r="AT55" i="1"/>
  <c r="AU55" i="1" s="1"/>
  <c r="B46" i="14"/>
  <c r="D45" i="14"/>
  <c r="E45" i="14" s="1"/>
  <c r="AR56" i="1"/>
  <c r="AS56" i="1" s="1"/>
  <c r="AJ56" i="1"/>
  <c r="AB56" i="1"/>
  <c r="AC56" i="1" s="1"/>
  <c r="AD56" i="1" s="1"/>
  <c r="T56" i="1"/>
  <c r="U56" i="1" s="1"/>
  <c r="V56" i="1" s="1"/>
  <c r="W56" i="1" s="1"/>
  <c r="L56" i="1"/>
  <c r="M56" i="1" s="1"/>
  <c r="N56" i="1" s="1"/>
  <c r="O56" i="1" s="1"/>
  <c r="AK55" i="1"/>
  <c r="AC27" i="1"/>
  <c r="AD27" i="1" s="1"/>
  <c r="AU27" i="1"/>
  <c r="AM27" i="1"/>
  <c r="G29" i="1"/>
  <c r="AP29" i="1"/>
  <c r="R29" i="1"/>
  <c r="AH29" i="1"/>
  <c r="J29" i="1"/>
  <c r="Z29" i="1"/>
  <c r="AR28" i="1"/>
  <c r="AS28" i="1" s="1"/>
  <c r="AT28" i="1" s="1"/>
  <c r="T28" i="1"/>
  <c r="U28" i="1" s="1"/>
  <c r="V28" i="1" s="1"/>
  <c r="W28" i="1" s="1"/>
  <c r="AB28" i="1"/>
  <c r="AJ28" i="1"/>
  <c r="AK28" i="1" s="1"/>
  <c r="AL28" i="1" s="1"/>
  <c r="L28" i="1"/>
  <c r="M28" i="1" s="1"/>
  <c r="N28" i="1" s="1"/>
  <c r="O28" i="1" s="1"/>
  <c r="AL55" i="1" l="1"/>
  <c r="AM55" i="1" s="1"/>
  <c r="AT56" i="1"/>
  <c r="AU56" i="1" s="1"/>
  <c r="B47" i="14"/>
  <c r="D46" i="14"/>
  <c r="E46" i="14" s="1"/>
  <c r="AK56" i="1"/>
  <c r="AC28" i="1"/>
  <c r="AD28" i="1" s="1"/>
  <c r="AU28" i="1"/>
  <c r="AM28" i="1"/>
  <c r="G30" i="1"/>
  <c r="AP30" i="1"/>
  <c r="R30" i="1"/>
  <c r="AH30" i="1"/>
  <c r="J30" i="1"/>
  <c r="Z30" i="1"/>
  <c r="AR29" i="1"/>
  <c r="AS29" i="1" s="1"/>
  <c r="AT29" i="1" s="1"/>
  <c r="AB29" i="1"/>
  <c r="T29" i="1"/>
  <c r="U29" i="1" s="1"/>
  <c r="V29" i="1" s="1"/>
  <c r="W29" i="1" s="1"/>
  <c r="AJ29" i="1"/>
  <c r="AK29" i="1" s="1"/>
  <c r="AL29" i="1" s="1"/>
  <c r="L29" i="1"/>
  <c r="M29" i="1" s="1"/>
  <c r="N29" i="1" s="1"/>
  <c r="O29" i="1" s="1"/>
  <c r="AL56" i="1" l="1"/>
  <c r="AM56" i="1" s="1"/>
  <c r="B48" i="14"/>
  <c r="D47" i="14"/>
  <c r="E47" i="14" s="1"/>
  <c r="AC29" i="1"/>
  <c r="AD29" i="1" s="1"/>
  <c r="AU29" i="1"/>
  <c r="AM29" i="1"/>
  <c r="G31" i="1"/>
  <c r="AH31" i="1"/>
  <c r="J31" i="1"/>
  <c r="Z31" i="1"/>
  <c r="AP31" i="1"/>
  <c r="R31" i="1"/>
  <c r="AB30" i="1"/>
  <c r="AR30" i="1"/>
  <c r="AS30" i="1" s="1"/>
  <c r="AT30" i="1" s="1"/>
  <c r="T30" i="1"/>
  <c r="U30" i="1" s="1"/>
  <c r="V30" i="1" s="1"/>
  <c r="W30" i="1" s="1"/>
  <c r="AJ30" i="1"/>
  <c r="AK30" i="1" s="1"/>
  <c r="AL30" i="1" s="1"/>
  <c r="L30" i="1"/>
  <c r="M30" i="1" s="1"/>
  <c r="N30" i="1" s="1"/>
  <c r="O30" i="1" s="1"/>
  <c r="B49" i="14" l="1"/>
  <c r="D48" i="14"/>
  <c r="E48" i="14" s="1"/>
  <c r="AC30" i="1"/>
  <c r="AD30" i="1" s="1"/>
  <c r="AU30" i="1"/>
  <c r="AM30" i="1"/>
  <c r="AR31" i="1"/>
  <c r="AS31" i="1" s="1"/>
  <c r="AT31" i="1" s="1"/>
  <c r="T31" i="1"/>
  <c r="U31" i="1" s="1"/>
  <c r="V31" i="1" s="1"/>
  <c r="W31" i="1" s="1"/>
  <c r="S72" i="1" s="1"/>
  <c r="AJ31" i="1"/>
  <c r="AK31" i="1" s="1"/>
  <c r="AL31" i="1" s="1"/>
  <c r="L31" i="1"/>
  <c r="M31" i="1" s="1"/>
  <c r="N31" i="1" s="1"/>
  <c r="O31" i="1" s="1"/>
  <c r="K72" i="1" s="1"/>
  <c r="AB31" i="1"/>
  <c r="AH32" i="1"/>
  <c r="B50" i="14" l="1"/>
  <c r="D49" i="14"/>
  <c r="E49" i="14" s="1"/>
  <c r="AC31" i="1"/>
  <c r="AD31" i="1" s="1"/>
  <c r="AA72" i="1" s="1"/>
  <c r="AU31" i="1"/>
  <c r="AM31" i="1"/>
  <c r="AH33" i="1"/>
  <c r="AJ32" i="1"/>
  <c r="B51" i="14" l="1"/>
  <c r="D50" i="14"/>
  <c r="E50" i="14" s="1"/>
  <c r="AK32" i="1"/>
  <c r="AH34" i="1"/>
  <c r="AJ33" i="1"/>
  <c r="AL32" i="1" l="1"/>
  <c r="AM32" i="1" s="1"/>
  <c r="B52" i="14"/>
  <c r="D51" i="14"/>
  <c r="E51" i="14" s="1"/>
  <c r="AK33" i="1"/>
  <c r="AH35" i="1"/>
  <c r="AJ34" i="1"/>
  <c r="AL33" i="1" l="1"/>
  <c r="AM33" i="1" s="1"/>
  <c r="B53" i="14"/>
  <c r="D52" i="14"/>
  <c r="E52" i="14" s="1"/>
  <c r="AK34" i="1"/>
  <c r="AH36" i="1"/>
  <c r="AJ35" i="1"/>
  <c r="AL34" i="1" l="1"/>
  <c r="AM34" i="1" s="1"/>
  <c r="B54" i="14"/>
  <c r="D53" i="14"/>
  <c r="E53" i="14" s="1"/>
  <c r="AK35" i="1"/>
  <c r="AH37" i="1"/>
  <c r="AJ36" i="1"/>
  <c r="AL35" i="1" l="1"/>
  <c r="AM35" i="1" s="1"/>
  <c r="B55" i="14"/>
  <c r="D54" i="14"/>
  <c r="E54" i="14" s="1"/>
  <c r="AK36" i="1"/>
  <c r="AH38" i="1"/>
  <c r="AJ37" i="1"/>
  <c r="AL36" i="1" l="1"/>
  <c r="AM36" i="1" s="1"/>
  <c r="B56" i="14"/>
  <c r="B57" i="14" s="1"/>
  <c r="D55" i="14"/>
  <c r="E55" i="14" s="1"/>
  <c r="AK37" i="1"/>
  <c r="AJ38" i="1"/>
  <c r="AH39" i="1"/>
  <c r="D57" i="14" l="1"/>
  <c r="E57" i="14" s="1"/>
  <c r="B58" i="14"/>
  <c r="AL37" i="1"/>
  <c r="AM37" i="1" s="1"/>
  <c r="D56" i="14"/>
  <c r="E56" i="14" s="1"/>
  <c r="AK38" i="1"/>
  <c r="AJ39" i="1"/>
  <c r="AH40" i="1"/>
  <c r="B59" i="14" l="1"/>
  <c r="D58" i="14"/>
  <c r="E58" i="14" s="1"/>
  <c r="AL38" i="1"/>
  <c r="AM38" i="1" s="1"/>
  <c r="AK39" i="1"/>
  <c r="AH41" i="1"/>
  <c r="AJ40" i="1"/>
  <c r="D59" i="14" l="1"/>
  <c r="E59" i="14" s="1"/>
  <c r="B60" i="14"/>
  <c r="AL39" i="1"/>
  <c r="AM39" i="1" s="1"/>
  <c r="AK40" i="1"/>
  <c r="AJ41" i="1"/>
  <c r="B61" i="14" l="1"/>
  <c r="D60" i="14"/>
  <c r="E60" i="14" s="1"/>
  <c r="AL40" i="1"/>
  <c r="AM40" i="1" s="1"/>
  <c r="AK41" i="1"/>
  <c r="J76" i="1"/>
  <c r="AZ14" i="1"/>
  <c r="BF14" i="1" s="1"/>
  <c r="R76" i="1"/>
  <c r="AZ15" i="1"/>
  <c r="BF15" i="1" s="1"/>
  <c r="D61" i="14" l="1"/>
  <c r="E61" i="14" s="1"/>
  <c r="B62" i="14"/>
  <c r="AL41" i="1"/>
  <c r="AM41" i="1" s="1"/>
  <c r="BB14" i="1"/>
  <c r="BB15" i="1"/>
  <c r="Z76" i="1"/>
  <c r="AZ16" i="1"/>
  <c r="BF16" i="1" s="1"/>
  <c r="AI72" i="1" l="1"/>
  <c r="AZ17" i="1" s="1"/>
  <c r="B63" i="14"/>
  <c r="D62" i="14"/>
  <c r="E62" i="14" s="1"/>
  <c r="BB16" i="1"/>
  <c r="AH76" i="1" l="1"/>
  <c r="BF17" i="1"/>
  <c r="BA17" i="1"/>
  <c r="BB17" i="1" s="1"/>
  <c r="D63" i="14"/>
  <c r="E63" i="14" s="1"/>
  <c r="B64" i="14"/>
  <c r="AQ38" i="3"/>
  <c r="AQ37" i="3"/>
  <c r="AQ40" i="3"/>
  <c r="AQ41" i="3"/>
  <c r="AQ47" i="3"/>
  <c r="AQ52" i="3"/>
  <c r="AQ49" i="3"/>
  <c r="AQ50" i="3"/>
  <c r="AQ39" i="3"/>
  <c r="V191" i="14" s="1"/>
  <c r="AQ46" i="3"/>
  <c r="AQ51" i="3"/>
  <c r="B65" i="14" l="1"/>
  <c r="D64" i="14"/>
  <c r="E64" i="14" s="1"/>
  <c r="U233" i="14"/>
  <c r="U239" i="14"/>
  <c r="U240" i="14"/>
  <c r="U241" i="14"/>
  <c r="X191" i="14"/>
  <c r="W193" i="14" s="1"/>
  <c r="C170" i="22"/>
  <c r="I170" i="22" s="1"/>
  <c r="C167" i="22"/>
  <c r="F167" i="22" s="1"/>
  <c r="G167" i="22" s="1"/>
  <c r="C176" i="22"/>
  <c r="I176" i="22" s="1"/>
  <c r="C168" i="22"/>
  <c r="I168" i="22" s="1"/>
  <c r="C175" i="22"/>
  <c r="I175" i="22" s="1"/>
  <c r="C174" i="22"/>
  <c r="I174" i="22" s="1"/>
  <c r="C172" i="22"/>
  <c r="D172" i="22" s="1"/>
  <c r="C165" i="22"/>
  <c r="F165" i="22" s="1"/>
  <c r="G165" i="22" s="1"/>
  <c r="C171" i="22"/>
  <c r="F171" i="22" s="1"/>
  <c r="G171" i="22" s="1"/>
  <c r="C173" i="22"/>
  <c r="F173" i="22" s="1"/>
  <c r="G173" i="22" s="1"/>
  <c r="C169" i="22"/>
  <c r="F169" i="22" s="1"/>
  <c r="G169" i="22" s="1"/>
  <c r="C166" i="22"/>
  <c r="I166" i="22" s="1"/>
  <c r="E151" i="14"/>
  <c r="G151" i="14" s="1"/>
  <c r="G165" i="14" s="1"/>
  <c r="BL147" i="14" s="1"/>
  <c r="E100" i="14"/>
  <c r="E112" i="14" s="1"/>
  <c r="E150" i="14"/>
  <c r="O14" i="14"/>
  <c r="O26" i="14" s="1"/>
  <c r="E148" i="14"/>
  <c r="O12" i="14"/>
  <c r="O24" i="14" s="1"/>
  <c r="E98" i="14"/>
  <c r="E110" i="14" s="1"/>
  <c r="E149" i="14"/>
  <c r="E99" i="14"/>
  <c r="E111" i="14" s="1"/>
  <c r="O13" i="14"/>
  <c r="O25" i="14" s="1"/>
  <c r="E146" i="14"/>
  <c r="E96" i="14"/>
  <c r="E108" i="14" s="1"/>
  <c r="O10" i="14"/>
  <c r="O22" i="14" s="1"/>
  <c r="O11" i="14"/>
  <c r="O23" i="14" s="1"/>
  <c r="E147" i="14"/>
  <c r="E97" i="14"/>
  <c r="E109" i="14" s="1"/>
  <c r="E94" i="14"/>
  <c r="E106" i="14" s="1"/>
  <c r="E144" i="14"/>
  <c r="O8" i="14"/>
  <c r="O20" i="14" s="1"/>
  <c r="O9" i="14"/>
  <c r="O21" i="14" s="1"/>
  <c r="E145" i="14"/>
  <c r="E95" i="14"/>
  <c r="E107" i="14" s="1"/>
  <c r="K295" i="14"/>
  <c r="K309" i="14" s="1"/>
  <c r="AF191" i="14"/>
  <c r="J295" i="14"/>
  <c r="J309" i="14" s="1"/>
  <c r="AD191" i="14"/>
  <c r="I295" i="14"/>
  <c r="I309" i="14" s="1"/>
  <c r="AB191" i="14"/>
  <c r="H295" i="14"/>
  <c r="H309" i="14" s="1"/>
  <c r="Z191" i="14"/>
  <c r="G295" i="14"/>
  <c r="G309" i="14" s="1"/>
  <c r="F295" i="14"/>
  <c r="F309" i="14" s="1"/>
  <c r="E295" i="14"/>
  <c r="E309" i="14" s="1"/>
  <c r="T191" i="14"/>
  <c r="D295" i="14"/>
  <c r="D309" i="14" s="1"/>
  <c r="R191" i="14"/>
  <c r="B66" i="14" l="1"/>
  <c r="D65" i="14"/>
  <c r="E65" i="14" s="1"/>
  <c r="V241" i="14"/>
  <c r="I167" i="22"/>
  <c r="D167" i="22"/>
  <c r="H167" i="22" s="1"/>
  <c r="F175" i="22"/>
  <c r="G175" i="22" s="1"/>
  <c r="F174" i="22"/>
  <c r="G174" i="22" s="1"/>
  <c r="I171" i="22"/>
  <c r="F168" i="22"/>
  <c r="G168" i="22" s="1"/>
  <c r="I173" i="22"/>
  <c r="D175" i="22"/>
  <c r="F170" i="22"/>
  <c r="G170" i="22" s="1"/>
  <c r="D173" i="22"/>
  <c r="H173" i="22" s="1"/>
  <c r="D171" i="22"/>
  <c r="H171" i="22" s="1"/>
  <c r="D170" i="22"/>
  <c r="D174" i="22"/>
  <c r="I165" i="22"/>
  <c r="D165" i="22"/>
  <c r="H165" i="22" s="1"/>
  <c r="F176" i="22"/>
  <c r="G176" i="22" s="1"/>
  <c r="I172" i="22"/>
  <c r="D176" i="22"/>
  <c r="F166" i="22"/>
  <c r="G166" i="22" s="1"/>
  <c r="F172" i="22"/>
  <c r="G172" i="22" s="1"/>
  <c r="H172" i="22" s="1"/>
  <c r="D166" i="22"/>
  <c r="D169" i="22"/>
  <c r="H169" i="22" s="1"/>
  <c r="I169" i="22"/>
  <c r="D168" i="22"/>
  <c r="I151" i="14"/>
  <c r="I165" i="14" s="1"/>
  <c r="BL163" i="14" s="1"/>
  <c r="H151" i="14"/>
  <c r="H165" i="14" s="1"/>
  <c r="BL155" i="14" s="1"/>
  <c r="J151" i="14"/>
  <c r="J165" i="14" s="1"/>
  <c r="BL171" i="14" s="1"/>
  <c r="F151" i="14"/>
  <c r="F165" i="14" s="1"/>
  <c r="BL139" i="14" s="1"/>
  <c r="E165" i="14"/>
  <c r="K151" i="14"/>
  <c r="K165" i="14" s="1"/>
  <c r="BL179" i="14" s="1"/>
  <c r="K304" i="14"/>
  <c r="K318" i="14" s="1"/>
  <c r="BL326" i="14" s="1"/>
  <c r="K300" i="14"/>
  <c r="K314" i="14" s="1"/>
  <c r="BL322" i="14" s="1"/>
  <c r="K302" i="14"/>
  <c r="K316" i="14" s="1"/>
  <c r="BL324" i="14" s="1"/>
  <c r="K297" i="14"/>
  <c r="K311" i="14" s="1"/>
  <c r="BL319" i="14" s="1"/>
  <c r="K298" i="14"/>
  <c r="K312" i="14" s="1"/>
  <c r="BL320" i="14" s="1"/>
  <c r="K303" i="14"/>
  <c r="K317" i="14" s="1"/>
  <c r="BL325" i="14" s="1"/>
  <c r="K301" i="14"/>
  <c r="K315" i="14" s="1"/>
  <c r="BL323" i="14" s="1"/>
  <c r="K299" i="14"/>
  <c r="K313" i="14" s="1"/>
  <c r="BL321" i="14" s="1"/>
  <c r="AE209" i="14"/>
  <c r="AE217" i="14"/>
  <c r="AE214" i="14"/>
  <c r="AE229" i="14"/>
  <c r="AE222" i="14"/>
  <c r="AE225" i="14"/>
  <c r="AE213" i="14"/>
  <c r="AE221" i="14"/>
  <c r="AE193" i="14"/>
  <c r="AE198" i="14"/>
  <c r="AE203" i="14"/>
  <c r="AE231" i="14"/>
  <c r="AE240" i="14"/>
  <c r="AE227" i="14"/>
  <c r="AE211" i="14"/>
  <c r="AE195" i="14"/>
  <c r="AE197" i="14"/>
  <c r="AE196" i="14"/>
  <c r="AE219" i="14"/>
  <c r="AE241" i="14"/>
  <c r="AE239" i="14"/>
  <c r="AE238" i="14"/>
  <c r="AE235" i="14"/>
  <c r="AE237" i="14"/>
  <c r="AE232" i="14"/>
  <c r="AE236" i="14"/>
  <c r="AE215" i="14"/>
  <c r="AE207" i="14"/>
  <c r="AE223" i="14"/>
  <c r="AE234" i="14"/>
  <c r="AE199" i="14"/>
  <c r="AE233" i="14"/>
  <c r="AE224" i="14"/>
  <c r="AE210" i="14"/>
  <c r="AE212" i="14"/>
  <c r="AE220" i="14"/>
  <c r="AE194" i="14"/>
  <c r="AE204" i="14"/>
  <c r="AE208" i="14"/>
  <c r="AE216" i="14"/>
  <c r="AE230" i="14"/>
  <c r="AE200" i="14"/>
  <c r="AE205" i="14"/>
  <c r="AE228" i="14"/>
  <c r="AE218" i="14"/>
  <c r="AE201" i="14"/>
  <c r="AE226" i="14"/>
  <c r="AE206" i="14"/>
  <c r="AE202" i="14"/>
  <c r="AC209" i="14"/>
  <c r="AC213" i="14"/>
  <c r="AC221" i="14"/>
  <c r="AC217" i="14"/>
  <c r="AC225" i="14"/>
  <c r="AC229" i="14"/>
  <c r="AC222" i="14"/>
  <c r="AC214" i="14"/>
  <c r="AC193" i="14"/>
  <c r="AC235" i="14"/>
  <c r="AC241" i="14"/>
  <c r="AC207" i="14"/>
  <c r="AC238" i="14"/>
  <c r="AC231" i="14"/>
  <c r="AC240" i="14"/>
  <c r="AC197" i="14"/>
  <c r="AC223" i="14"/>
  <c r="AC232" i="14"/>
  <c r="AC233" i="14"/>
  <c r="AC215" i="14"/>
  <c r="AC237" i="14"/>
  <c r="AC198" i="14"/>
  <c r="AC196" i="14"/>
  <c r="AC219" i="14"/>
  <c r="AC239" i="14"/>
  <c r="AC199" i="14"/>
  <c r="AC227" i="14"/>
  <c r="AC211" i="14"/>
  <c r="AC234" i="14"/>
  <c r="AC195" i="14"/>
  <c r="AC203" i="14"/>
  <c r="AC236" i="14"/>
  <c r="AC212" i="14"/>
  <c r="AC226" i="14"/>
  <c r="AC200" i="14"/>
  <c r="AC208" i="14"/>
  <c r="AC210" i="14"/>
  <c r="AC230" i="14"/>
  <c r="AC194" i="14"/>
  <c r="AC228" i="14"/>
  <c r="AC220" i="14"/>
  <c r="AC216" i="14"/>
  <c r="AC205" i="14"/>
  <c r="AC204" i="14"/>
  <c r="AC218" i="14"/>
  <c r="AC201" i="14"/>
  <c r="AC224" i="14"/>
  <c r="AC206" i="14"/>
  <c r="AC202" i="14"/>
  <c r="J298" i="14"/>
  <c r="J312" i="14" s="1"/>
  <c r="BL312" i="14" s="1"/>
  <c r="J299" i="14"/>
  <c r="J313" i="14" s="1"/>
  <c r="BL313" i="14" s="1"/>
  <c r="J303" i="14"/>
  <c r="J317" i="14" s="1"/>
  <c r="BL317" i="14" s="1"/>
  <c r="J302" i="14"/>
  <c r="J316" i="14" s="1"/>
  <c r="BL316" i="14" s="1"/>
  <c r="J300" i="14"/>
  <c r="J314" i="14" s="1"/>
  <c r="BL314" i="14" s="1"/>
  <c r="J297" i="14"/>
  <c r="J311" i="14" s="1"/>
  <c r="BL311" i="14" s="1"/>
  <c r="J304" i="14"/>
  <c r="J318" i="14" s="1"/>
  <c r="BL318" i="14" s="1"/>
  <c r="J301" i="14"/>
  <c r="J315" i="14" s="1"/>
  <c r="BL315" i="14" s="1"/>
  <c r="AA209" i="14"/>
  <c r="AA213" i="14"/>
  <c r="AA225" i="14"/>
  <c r="AA214" i="14"/>
  <c r="AA222" i="14"/>
  <c r="AA217" i="14"/>
  <c r="AA229" i="14"/>
  <c r="AA221" i="14"/>
  <c r="AA193" i="14"/>
  <c r="AA198" i="14"/>
  <c r="AA231" i="14"/>
  <c r="AA240" i="14"/>
  <c r="AA207" i="14"/>
  <c r="AA196" i="14"/>
  <c r="AA223" i="14"/>
  <c r="AA215" i="14"/>
  <c r="AA197" i="14"/>
  <c r="AA237" i="14"/>
  <c r="AA232" i="14"/>
  <c r="AA236" i="14"/>
  <c r="AA195" i="14"/>
  <c r="AA199" i="14"/>
  <c r="AA227" i="14"/>
  <c r="AA239" i="14"/>
  <c r="AA238" i="14"/>
  <c r="AA235" i="14"/>
  <c r="AA211" i="14"/>
  <c r="AA203" i="14"/>
  <c r="AA234" i="14"/>
  <c r="AA219" i="14"/>
  <c r="AA241" i="14"/>
  <c r="AA233" i="14"/>
  <c r="AA212" i="14"/>
  <c r="AA201" i="14"/>
  <c r="AA200" i="14"/>
  <c r="AA218" i="14"/>
  <c r="AA230" i="14"/>
  <c r="AA205" i="14"/>
  <c r="AA208" i="14"/>
  <c r="AA220" i="14"/>
  <c r="AA216" i="14"/>
  <c r="AA204" i="14"/>
  <c r="AA228" i="14"/>
  <c r="AA210" i="14"/>
  <c r="AA194" i="14"/>
  <c r="AA226" i="14"/>
  <c r="AA224" i="14"/>
  <c r="AA202" i="14"/>
  <c r="AA206" i="14"/>
  <c r="I299" i="14"/>
  <c r="I313" i="14" s="1"/>
  <c r="BL305" i="14" s="1"/>
  <c r="I301" i="14"/>
  <c r="I315" i="14" s="1"/>
  <c r="BL307" i="14" s="1"/>
  <c r="I304" i="14"/>
  <c r="I318" i="14" s="1"/>
  <c r="BL310" i="14" s="1"/>
  <c r="I303" i="14"/>
  <c r="I317" i="14" s="1"/>
  <c r="BL309" i="14" s="1"/>
  <c r="I298" i="14"/>
  <c r="I312" i="14" s="1"/>
  <c r="BL304" i="14" s="1"/>
  <c r="I302" i="14"/>
  <c r="I316" i="14" s="1"/>
  <c r="BL308" i="14" s="1"/>
  <c r="I300" i="14"/>
  <c r="I314" i="14" s="1"/>
  <c r="BL306" i="14" s="1"/>
  <c r="I297" i="14"/>
  <c r="I311" i="14" s="1"/>
  <c r="BL303" i="14" s="1"/>
  <c r="Y209" i="14"/>
  <c r="Y225" i="14"/>
  <c r="Y217" i="14"/>
  <c r="Y213" i="14"/>
  <c r="Y229" i="14"/>
  <c r="Y214" i="14"/>
  <c r="Y221" i="14"/>
  <c r="Y222" i="14"/>
  <c r="Y193" i="14"/>
  <c r="Y235" i="14"/>
  <c r="Y195" i="14"/>
  <c r="Y227" i="14"/>
  <c r="Y196" i="14"/>
  <c r="Y219" i="14"/>
  <c r="Y232" i="14"/>
  <c r="Y239" i="14"/>
  <c r="Y237" i="14"/>
  <c r="Y198" i="14"/>
  <c r="Y240" i="14"/>
  <c r="Y197" i="14"/>
  <c r="Y211" i="14"/>
  <c r="Y233" i="14"/>
  <c r="Y231" i="14"/>
  <c r="Y241" i="14"/>
  <c r="Y207" i="14"/>
  <c r="Y223" i="14"/>
  <c r="Y203" i="14"/>
  <c r="Y238" i="14"/>
  <c r="Y199" i="14"/>
  <c r="Y236" i="14"/>
  <c r="Y234" i="14"/>
  <c r="Y215" i="14"/>
  <c r="Y201" i="14"/>
  <c r="Y226" i="14"/>
  <c r="Y230" i="14"/>
  <c r="Y224" i="14"/>
  <c r="Y218" i="14"/>
  <c r="Y208" i="14"/>
  <c r="Y205" i="14"/>
  <c r="Y204" i="14"/>
  <c r="Y210" i="14"/>
  <c r="Y220" i="14"/>
  <c r="Y216" i="14"/>
  <c r="Y200" i="14"/>
  <c r="Y228" i="14"/>
  <c r="Y212" i="14"/>
  <c r="Y194" i="14"/>
  <c r="Y202" i="14"/>
  <c r="Y206" i="14"/>
  <c r="H304" i="14"/>
  <c r="H318" i="14" s="1"/>
  <c r="BL302" i="14" s="1"/>
  <c r="H299" i="14"/>
  <c r="H313" i="14" s="1"/>
  <c r="BL297" i="14" s="1"/>
  <c r="H297" i="14"/>
  <c r="H311" i="14" s="1"/>
  <c r="BL295" i="14" s="1"/>
  <c r="H301" i="14"/>
  <c r="H315" i="14" s="1"/>
  <c r="BL299" i="14" s="1"/>
  <c r="H300" i="14"/>
  <c r="H314" i="14" s="1"/>
  <c r="BL298" i="14" s="1"/>
  <c r="H303" i="14"/>
  <c r="H317" i="14" s="1"/>
  <c r="BL301" i="14" s="1"/>
  <c r="H298" i="14"/>
  <c r="H312" i="14" s="1"/>
  <c r="BL296" i="14" s="1"/>
  <c r="H302" i="14"/>
  <c r="H316" i="14" s="1"/>
  <c r="BL300" i="14" s="1"/>
  <c r="W209" i="14"/>
  <c r="W222" i="14"/>
  <c r="W225" i="14"/>
  <c r="W229" i="14"/>
  <c r="W221" i="14"/>
  <c r="W214" i="14"/>
  <c r="W213" i="14"/>
  <c r="W217" i="14"/>
  <c r="W232" i="14"/>
  <c r="W241" i="14"/>
  <c r="W197" i="14"/>
  <c r="W235" i="14"/>
  <c r="W203" i="14"/>
  <c r="W238" i="14"/>
  <c r="W211" i="14"/>
  <c r="W198" i="14"/>
  <c r="W236" i="14"/>
  <c r="W223" i="14"/>
  <c r="W237" i="14"/>
  <c r="W207" i="14"/>
  <c r="W239" i="14"/>
  <c r="W219" i="14"/>
  <c r="W231" i="14"/>
  <c r="W195" i="14"/>
  <c r="W240" i="14"/>
  <c r="W227" i="14"/>
  <c r="W215" i="14"/>
  <c r="W199" i="14"/>
  <c r="W196" i="14"/>
  <c r="W234" i="14"/>
  <c r="W233" i="14"/>
  <c r="W210" i="14"/>
  <c r="W201" i="14"/>
  <c r="W205" i="14"/>
  <c r="W230" i="14"/>
  <c r="W224" i="14"/>
  <c r="W218" i="14"/>
  <c r="W228" i="14"/>
  <c r="W216" i="14"/>
  <c r="W208" i="14"/>
  <c r="W200" i="14"/>
  <c r="W194" i="14"/>
  <c r="W204" i="14"/>
  <c r="W226" i="14"/>
  <c r="W212" i="14"/>
  <c r="W220" i="14"/>
  <c r="W206" i="14"/>
  <c r="W202" i="14"/>
  <c r="G303" i="14"/>
  <c r="G317" i="14" s="1"/>
  <c r="BL293" i="14" s="1"/>
  <c r="G304" i="14"/>
  <c r="G318" i="14" s="1"/>
  <c r="BL294" i="14" s="1"/>
  <c r="G301" i="14"/>
  <c r="G315" i="14" s="1"/>
  <c r="BL291" i="14" s="1"/>
  <c r="G298" i="14"/>
  <c r="G312" i="14" s="1"/>
  <c r="BL288" i="14" s="1"/>
  <c r="G299" i="14"/>
  <c r="G313" i="14" s="1"/>
  <c r="BL289" i="14" s="1"/>
  <c r="G297" i="14"/>
  <c r="G311" i="14" s="1"/>
  <c r="BL287" i="14" s="1"/>
  <c r="G302" i="14"/>
  <c r="G316" i="14" s="1"/>
  <c r="BL292" i="14" s="1"/>
  <c r="G300" i="14"/>
  <c r="G314" i="14" s="1"/>
  <c r="BL290" i="14" s="1"/>
  <c r="U209" i="14"/>
  <c r="U213" i="14"/>
  <c r="U222" i="14"/>
  <c r="U229" i="14"/>
  <c r="U217" i="14"/>
  <c r="U214" i="14"/>
  <c r="U225" i="14"/>
  <c r="U221" i="14"/>
  <c r="U235" i="14"/>
  <c r="U223" i="14"/>
  <c r="U211" i="14"/>
  <c r="U232" i="14"/>
  <c r="U203" i="14"/>
  <c r="U215" i="14"/>
  <c r="U196" i="14"/>
  <c r="U198" i="14"/>
  <c r="U227" i="14"/>
  <c r="U193" i="14"/>
  <c r="U238" i="14"/>
  <c r="U219" i="14"/>
  <c r="U207" i="14"/>
  <c r="U197" i="14"/>
  <c r="U195" i="14"/>
  <c r="U234" i="14"/>
  <c r="U236" i="14"/>
  <c r="U237" i="14"/>
  <c r="U231" i="14"/>
  <c r="U199" i="14"/>
  <c r="U212" i="14"/>
  <c r="U218" i="14"/>
  <c r="U224" i="14"/>
  <c r="U228" i="14"/>
  <c r="U201" i="14"/>
  <c r="U220" i="14"/>
  <c r="U226" i="14"/>
  <c r="U230" i="14"/>
  <c r="U210" i="14"/>
  <c r="U204" i="14"/>
  <c r="U205" i="14"/>
  <c r="U200" i="14"/>
  <c r="U208" i="14"/>
  <c r="U216" i="14"/>
  <c r="U194" i="14"/>
  <c r="U206" i="14"/>
  <c r="U202" i="14"/>
  <c r="F304" i="14"/>
  <c r="F318" i="14" s="1"/>
  <c r="BL286" i="14" s="1"/>
  <c r="F303" i="14"/>
  <c r="F317" i="14" s="1"/>
  <c r="BL285" i="14" s="1"/>
  <c r="F297" i="14"/>
  <c r="F311" i="14" s="1"/>
  <c r="BL279" i="14" s="1"/>
  <c r="F301" i="14"/>
  <c r="F315" i="14" s="1"/>
  <c r="BL283" i="14" s="1"/>
  <c r="F298" i="14"/>
  <c r="F312" i="14" s="1"/>
  <c r="BL280" i="14" s="1"/>
  <c r="F302" i="14"/>
  <c r="F316" i="14" s="1"/>
  <c r="BL284" i="14" s="1"/>
  <c r="F299" i="14"/>
  <c r="F313" i="14" s="1"/>
  <c r="BL281" i="14" s="1"/>
  <c r="F300" i="14"/>
  <c r="F314" i="14" s="1"/>
  <c r="BL282" i="14" s="1"/>
  <c r="S209" i="14"/>
  <c r="S229" i="14"/>
  <c r="S221" i="14"/>
  <c r="S222" i="14"/>
  <c r="S213" i="14"/>
  <c r="S225" i="14"/>
  <c r="S214" i="14"/>
  <c r="S217" i="14"/>
  <c r="S193" i="14"/>
  <c r="S234" i="14"/>
  <c r="S239" i="14"/>
  <c r="S233" i="14"/>
  <c r="S203" i="14"/>
  <c r="S197" i="14"/>
  <c r="S232" i="14"/>
  <c r="S240" i="14"/>
  <c r="S207" i="14"/>
  <c r="S198" i="14"/>
  <c r="S215" i="14"/>
  <c r="S241" i="14"/>
  <c r="S235" i="14"/>
  <c r="S238" i="14"/>
  <c r="S196" i="14"/>
  <c r="S223" i="14"/>
  <c r="S211" i="14"/>
  <c r="S237" i="14"/>
  <c r="S227" i="14"/>
  <c r="S231" i="14"/>
  <c r="S219" i="14"/>
  <c r="S195" i="14"/>
  <c r="S199" i="14"/>
  <c r="S236" i="14"/>
  <c r="S212" i="14"/>
  <c r="S226" i="14"/>
  <c r="S220" i="14"/>
  <c r="S224" i="14"/>
  <c r="S208" i="14"/>
  <c r="S218" i="14"/>
  <c r="S194" i="14"/>
  <c r="S205" i="14"/>
  <c r="S200" i="14"/>
  <c r="S201" i="14"/>
  <c r="S210" i="14"/>
  <c r="S230" i="14"/>
  <c r="S204" i="14"/>
  <c r="S228" i="14"/>
  <c r="S216" i="14"/>
  <c r="S202" i="14"/>
  <c r="S206" i="14"/>
  <c r="E304" i="14"/>
  <c r="E318" i="14" s="1"/>
  <c r="BL278" i="14" s="1"/>
  <c r="E300" i="14"/>
  <c r="E314" i="14" s="1"/>
  <c r="BL274" i="14" s="1"/>
  <c r="E298" i="14"/>
  <c r="E312" i="14" s="1"/>
  <c r="BL272" i="14" s="1"/>
  <c r="E301" i="14"/>
  <c r="E315" i="14" s="1"/>
  <c r="BL275" i="14" s="1"/>
  <c r="E302" i="14"/>
  <c r="E316" i="14" s="1"/>
  <c r="BL276" i="14" s="1"/>
  <c r="E303" i="14"/>
  <c r="E317" i="14" s="1"/>
  <c r="BL277" i="14" s="1"/>
  <c r="E297" i="14"/>
  <c r="E311" i="14" s="1"/>
  <c r="BL271" i="14" s="1"/>
  <c r="E299" i="14"/>
  <c r="E313" i="14" s="1"/>
  <c r="BL273" i="14" s="1"/>
  <c r="D297" i="14"/>
  <c r="D311" i="14" s="1"/>
  <c r="BL263" i="14" s="1"/>
  <c r="D298" i="14"/>
  <c r="D312" i="14" s="1"/>
  <c r="BL264" i="14" s="1"/>
  <c r="D302" i="14"/>
  <c r="D316" i="14" s="1"/>
  <c r="BL268" i="14" s="1"/>
  <c r="D300" i="14"/>
  <c r="D314" i="14" s="1"/>
  <c r="BL266" i="14" s="1"/>
  <c r="D304" i="14"/>
  <c r="D318" i="14" s="1"/>
  <c r="BL270" i="14" s="1"/>
  <c r="D301" i="14"/>
  <c r="D315" i="14" s="1"/>
  <c r="BL267" i="14" s="1"/>
  <c r="D299" i="14"/>
  <c r="D313" i="14" s="1"/>
  <c r="BL265" i="14" s="1"/>
  <c r="D303" i="14"/>
  <c r="D317" i="14" s="1"/>
  <c r="BL269" i="14" s="1"/>
  <c r="Q209" i="14"/>
  <c r="Q222" i="14"/>
  <c r="Q221" i="14"/>
  <c r="Q213" i="14"/>
  <c r="Q217" i="14"/>
  <c r="Q214" i="14"/>
  <c r="Q229" i="14"/>
  <c r="Q225" i="14"/>
  <c r="Q238" i="14"/>
  <c r="Q234" i="14"/>
  <c r="Q231" i="14"/>
  <c r="Q199" i="14"/>
  <c r="Q215" i="14"/>
  <c r="Q240" i="14"/>
  <c r="Q203" i="14"/>
  <c r="Q211" i="14"/>
  <c r="Q196" i="14"/>
  <c r="Q223" i="14"/>
  <c r="Q236" i="14"/>
  <c r="Q197" i="14"/>
  <c r="Q207" i="14"/>
  <c r="Q227" i="14"/>
  <c r="Q232" i="14"/>
  <c r="Q235" i="14"/>
  <c r="Q219" i="14"/>
  <c r="Q239" i="14"/>
  <c r="Q233" i="14"/>
  <c r="Q237" i="14"/>
  <c r="Q193" i="14"/>
  <c r="Q198" i="14"/>
  <c r="Q195" i="14"/>
  <c r="Q241" i="14"/>
  <c r="Q210" i="14"/>
  <c r="Q230" i="14"/>
  <c r="Q205" i="14"/>
  <c r="Q226" i="14"/>
  <c r="Q228" i="14"/>
  <c r="Q194" i="14"/>
  <c r="Q208" i="14"/>
  <c r="Q204" i="14"/>
  <c r="Q200" i="14"/>
  <c r="Q218" i="14"/>
  <c r="Q212" i="14"/>
  <c r="Q201" i="14"/>
  <c r="Q220" i="14"/>
  <c r="Q216" i="14"/>
  <c r="Q224" i="14"/>
  <c r="Q206" i="14"/>
  <c r="Q202" i="14"/>
  <c r="G89" i="14"/>
  <c r="K96" i="14"/>
  <c r="K108" i="14" s="1"/>
  <c r="BL109" i="14" s="1"/>
  <c r="E159" i="14"/>
  <c r="I145" i="14"/>
  <c r="I159" i="14" s="1"/>
  <c r="BL157" i="14" s="1"/>
  <c r="J145" i="14"/>
  <c r="J159" i="14" s="1"/>
  <c r="BL165" i="14" s="1"/>
  <c r="G145" i="14"/>
  <c r="G159" i="14" s="1"/>
  <c r="BL141" i="14" s="1"/>
  <c r="K145" i="14"/>
  <c r="K159" i="14" s="1"/>
  <c r="BL173" i="14" s="1"/>
  <c r="F145" i="14"/>
  <c r="F159" i="14" s="1"/>
  <c r="BL133" i="14" s="1"/>
  <c r="H145" i="14"/>
  <c r="H159" i="14" s="1"/>
  <c r="BL149" i="14" s="1"/>
  <c r="G150" i="14"/>
  <c r="G164" i="14" s="1"/>
  <c r="BL146" i="14" s="1"/>
  <c r="E164" i="14"/>
  <c r="F150" i="14"/>
  <c r="F164" i="14" s="1"/>
  <c r="BL138" i="14" s="1"/>
  <c r="H150" i="14"/>
  <c r="H164" i="14" s="1"/>
  <c r="BL154" i="14" s="1"/>
  <c r="K150" i="14"/>
  <c r="K164" i="14" s="1"/>
  <c r="BL178" i="14" s="1"/>
  <c r="I150" i="14"/>
  <c r="I164" i="14" s="1"/>
  <c r="BL162" i="14" s="1"/>
  <c r="J150" i="14"/>
  <c r="J164" i="14" s="1"/>
  <c r="BL170" i="14" s="1"/>
  <c r="J144" i="14"/>
  <c r="J158" i="14" s="1"/>
  <c r="BL164" i="14" s="1"/>
  <c r="F144" i="14"/>
  <c r="F158" i="14" s="1"/>
  <c r="BL132" i="14" s="1"/>
  <c r="I144" i="14"/>
  <c r="I158" i="14" s="1"/>
  <c r="BL156" i="14" s="1"/>
  <c r="E158" i="14"/>
  <c r="H144" i="14"/>
  <c r="H158" i="14" s="1"/>
  <c r="BL148" i="14" s="1"/>
  <c r="K144" i="14"/>
  <c r="K158" i="14" s="1"/>
  <c r="BL172" i="14" s="1"/>
  <c r="G144" i="14"/>
  <c r="G158" i="14" s="1"/>
  <c r="BL140" i="14" s="1"/>
  <c r="E162" i="14"/>
  <c r="J148" i="14"/>
  <c r="J162" i="14" s="1"/>
  <c r="BL168" i="14" s="1"/>
  <c r="K148" i="14"/>
  <c r="K162" i="14" s="1"/>
  <c r="BL176" i="14" s="1"/>
  <c r="G148" i="14"/>
  <c r="G162" i="14" s="1"/>
  <c r="BL144" i="14" s="1"/>
  <c r="H148" i="14"/>
  <c r="H162" i="14" s="1"/>
  <c r="BL152" i="14" s="1"/>
  <c r="F148" i="14"/>
  <c r="F162" i="14" s="1"/>
  <c r="BL136" i="14" s="1"/>
  <c r="I148" i="14"/>
  <c r="I162" i="14" s="1"/>
  <c r="BL160" i="14" s="1"/>
  <c r="I146" i="14"/>
  <c r="I160" i="14" s="1"/>
  <c r="BL158" i="14" s="1"/>
  <c r="K146" i="14"/>
  <c r="K160" i="14" s="1"/>
  <c r="BL174" i="14" s="1"/>
  <c r="J146" i="14"/>
  <c r="J160" i="14" s="1"/>
  <c r="BL166" i="14" s="1"/>
  <c r="G146" i="14"/>
  <c r="G160" i="14" s="1"/>
  <c r="BL142" i="14" s="1"/>
  <c r="F146" i="14"/>
  <c r="F160" i="14" s="1"/>
  <c r="BL134" i="14" s="1"/>
  <c r="H146" i="14"/>
  <c r="H160" i="14" s="1"/>
  <c r="BL150" i="14" s="1"/>
  <c r="E160" i="14"/>
  <c r="G147" i="14"/>
  <c r="G161" i="14" s="1"/>
  <c r="BL143" i="14" s="1"/>
  <c r="I147" i="14"/>
  <c r="I161" i="14" s="1"/>
  <c r="BL159" i="14" s="1"/>
  <c r="E161" i="14"/>
  <c r="J147" i="14"/>
  <c r="J161" i="14" s="1"/>
  <c r="BL167" i="14" s="1"/>
  <c r="F147" i="14"/>
  <c r="F161" i="14" s="1"/>
  <c r="BL135" i="14" s="1"/>
  <c r="K147" i="14"/>
  <c r="K161" i="14" s="1"/>
  <c r="BL175" i="14" s="1"/>
  <c r="H147" i="14"/>
  <c r="H161" i="14" s="1"/>
  <c r="BL151" i="14" s="1"/>
  <c r="I149" i="14"/>
  <c r="I163" i="14" s="1"/>
  <c r="BL161" i="14" s="1"/>
  <c r="G149" i="14"/>
  <c r="G163" i="14" s="1"/>
  <c r="BL145" i="14" s="1"/>
  <c r="K149" i="14"/>
  <c r="K163" i="14" s="1"/>
  <c r="BL177" i="14" s="1"/>
  <c r="H149" i="14"/>
  <c r="H163" i="14" s="1"/>
  <c r="BL153" i="14" s="1"/>
  <c r="E163" i="14"/>
  <c r="F149" i="14"/>
  <c r="F163" i="14" s="1"/>
  <c r="BL137" i="14" s="1"/>
  <c r="J149" i="14"/>
  <c r="J163" i="14" s="1"/>
  <c r="BL169" i="14" s="1"/>
  <c r="D66" i="14" l="1"/>
  <c r="E66" i="14" s="1"/>
  <c r="H37" i="14" s="1"/>
  <c r="H175" i="22"/>
  <c r="J175" i="22" s="1"/>
  <c r="J167" i="22"/>
  <c r="H174" i="22"/>
  <c r="J174" i="22" s="1"/>
  <c r="J173" i="22"/>
  <c r="H170" i="22"/>
  <c r="J170" i="22" s="1"/>
  <c r="J171" i="22"/>
  <c r="H168" i="22"/>
  <c r="J168" i="22" s="1"/>
  <c r="J165" i="22"/>
  <c r="H176" i="22"/>
  <c r="J176" i="22" s="1"/>
  <c r="J169" i="22"/>
  <c r="H166" i="22"/>
  <c r="J166" i="22" s="1"/>
  <c r="J172" i="22"/>
  <c r="X220" i="14"/>
  <c r="R223" i="14"/>
  <c r="CA251" i="14" s="1"/>
  <c r="V210" i="14"/>
  <c r="Z210" i="14"/>
  <c r="T204" i="14"/>
  <c r="T212" i="14"/>
  <c r="V226" i="14"/>
  <c r="X210" i="14"/>
  <c r="R210" i="14"/>
  <c r="AF215" i="14"/>
  <c r="CH218" i="14" s="1"/>
  <c r="V216" i="14"/>
  <c r="Z226" i="14"/>
  <c r="V215" i="14"/>
  <c r="CC218" i="14" s="1"/>
  <c r="AD230" i="14"/>
  <c r="AB199" i="14"/>
  <c r="CF195" i="14" s="1"/>
  <c r="AD222" i="14"/>
  <c r="AD217" i="14"/>
  <c r="AB194" i="14"/>
  <c r="CF190" i="14" s="1"/>
  <c r="AD200" i="14"/>
  <c r="AD227" i="14"/>
  <c r="AD233" i="14"/>
  <c r="CG205" i="14" s="1"/>
  <c r="AF220" i="14"/>
  <c r="AF206" i="14"/>
  <c r="AF216" i="14"/>
  <c r="AB205" i="14"/>
  <c r="AD224" i="14"/>
  <c r="AD194" i="14"/>
  <c r="CG190" i="14" s="1"/>
  <c r="AD203" i="14"/>
  <c r="AD196" i="14"/>
  <c r="CG192" i="14" s="1"/>
  <c r="AD240" i="14"/>
  <c r="CG212" i="14" s="1"/>
  <c r="AF233" i="14"/>
  <c r="CH205" i="14" s="1"/>
  <c r="AF237" i="14"/>
  <c r="CH209" i="14" s="1"/>
  <c r="AF195" i="14"/>
  <c r="CH191" i="14" s="1"/>
  <c r="AF221" i="14"/>
  <c r="AF226" i="14"/>
  <c r="AF199" i="14"/>
  <c r="CH195" i="14" s="1"/>
  <c r="AF235" i="14"/>
  <c r="CH207" i="14" s="1"/>
  <c r="AF211" i="14"/>
  <c r="AF213" i="14"/>
  <c r="AF228" i="14"/>
  <c r="AF231" i="14"/>
  <c r="AF210" i="14"/>
  <c r="AF218" i="14"/>
  <c r="AF194" i="14"/>
  <c r="CH190" i="14" s="1"/>
  <c r="AF239" i="14"/>
  <c r="CH211" i="14" s="1"/>
  <c r="X230" i="14"/>
  <c r="AF225" i="14"/>
  <c r="AF205" i="14"/>
  <c r="AF203" i="14"/>
  <c r="AF198" i="14"/>
  <c r="CH194" i="14" s="1"/>
  <c r="AF208" i="14"/>
  <c r="AF240" i="14"/>
  <c r="CH212" i="14" s="1"/>
  <c r="Z230" i="14"/>
  <c r="AB210" i="14"/>
  <c r="AB218" i="14"/>
  <c r="AB236" i="14"/>
  <c r="CF208" i="14" s="1"/>
  <c r="AB214" i="14"/>
  <c r="AD218" i="14"/>
  <c r="AD210" i="14"/>
  <c r="AD234" i="14"/>
  <c r="CG206" i="14" s="1"/>
  <c r="AD225" i="14"/>
  <c r="AF201" i="14"/>
  <c r="AF204" i="14"/>
  <c r="AF234" i="14"/>
  <c r="CH206" i="14" s="1"/>
  <c r="AF238" i="14"/>
  <c r="CH210" i="14" s="1"/>
  <c r="AF227" i="14"/>
  <c r="AF212" i="14"/>
  <c r="AF219" i="14"/>
  <c r="AF214" i="14"/>
  <c r="AF222" i="14"/>
  <c r="AF200" i="14"/>
  <c r="AF236" i="14"/>
  <c r="CH208" i="14" s="1"/>
  <c r="AF196" i="14"/>
  <c r="CH192" i="14" s="1"/>
  <c r="AF217" i="14"/>
  <c r="AF223" i="14"/>
  <c r="AF207" i="14"/>
  <c r="CH229" i="14" s="1"/>
  <c r="AF241" i="14"/>
  <c r="CH213" i="14" s="1"/>
  <c r="AF229" i="14"/>
  <c r="R239" i="14"/>
  <c r="CA211" i="14" s="1"/>
  <c r="T227" i="14"/>
  <c r="V237" i="14"/>
  <c r="CC209" i="14" s="1"/>
  <c r="X199" i="14"/>
  <c r="CD195" i="14" s="1"/>
  <c r="Z212" i="14"/>
  <c r="Z208" i="14"/>
  <c r="Z236" i="14"/>
  <c r="CE208" i="14" s="1"/>
  <c r="Z219" i="14"/>
  <c r="AB227" i="14"/>
  <c r="AB229" i="14"/>
  <c r="AD206" i="14"/>
  <c r="AD228" i="14"/>
  <c r="AD236" i="14"/>
  <c r="CG208" i="14" s="1"/>
  <c r="AD219" i="14"/>
  <c r="AD197" i="14"/>
  <c r="CG193" i="14" s="1"/>
  <c r="AD214" i="14"/>
  <c r="AF202" i="14"/>
  <c r="AF230" i="14"/>
  <c r="AF224" i="14"/>
  <c r="AF232" i="14"/>
  <c r="CH204" i="14" s="1"/>
  <c r="AF197" i="14"/>
  <c r="CH193" i="14" s="1"/>
  <c r="AF209" i="14"/>
  <c r="AB207" i="14"/>
  <c r="CF229" i="14" s="1"/>
  <c r="AB232" i="14"/>
  <c r="CF204" i="14" s="1"/>
  <c r="AB239" i="14"/>
  <c r="CF211" i="14" s="1"/>
  <c r="AD202" i="14"/>
  <c r="AD208" i="14"/>
  <c r="Z194" i="14"/>
  <c r="CE190" i="14" s="1"/>
  <c r="AB224" i="14"/>
  <c r="X194" i="14"/>
  <c r="CD190" i="14" s="1"/>
  <c r="X223" i="14"/>
  <c r="CD251" i="14" s="1"/>
  <c r="X241" i="14"/>
  <c r="CD213" i="14" s="1"/>
  <c r="Z200" i="14"/>
  <c r="Z224" i="14"/>
  <c r="Z238" i="14"/>
  <c r="CE210" i="14" s="1"/>
  <c r="Z197" i="14"/>
  <c r="CE193" i="14" s="1"/>
  <c r="Z227" i="14"/>
  <c r="AB230" i="14"/>
  <c r="AD201" i="14"/>
  <c r="AD195" i="14"/>
  <c r="CG191" i="14" s="1"/>
  <c r="AD198" i="14"/>
  <c r="CG194" i="14" s="1"/>
  <c r="AD231" i="14"/>
  <c r="AD229" i="14"/>
  <c r="AD238" i="14"/>
  <c r="CG210" i="14" s="1"/>
  <c r="AD207" i="14"/>
  <c r="CG229" i="14" s="1"/>
  <c r="AD205" i="14"/>
  <c r="AD241" i="14"/>
  <c r="CG213" i="14" s="1"/>
  <c r="AD221" i="14"/>
  <c r="AB200" i="14"/>
  <c r="AD204" i="14"/>
  <c r="AD211" i="14"/>
  <c r="Z202" i="14"/>
  <c r="AB206" i="14"/>
  <c r="AB238" i="14"/>
  <c r="CF210" i="14" s="1"/>
  <c r="AB197" i="14"/>
  <c r="CF193" i="14" s="1"/>
  <c r="AD216" i="14"/>
  <c r="AD226" i="14"/>
  <c r="AD199" i="14"/>
  <c r="CG195" i="14" s="1"/>
  <c r="AD232" i="14"/>
  <c r="CG204" i="14" s="1"/>
  <c r="AD235" i="14"/>
  <c r="CG207" i="14" s="1"/>
  <c r="AD213" i="14"/>
  <c r="AD237" i="14"/>
  <c r="CG209" i="14" s="1"/>
  <c r="AD215" i="14"/>
  <c r="CG218" i="14" s="1"/>
  <c r="V203" i="14"/>
  <c r="Z234" i="14"/>
  <c r="CE206" i="14" s="1"/>
  <c r="Z231" i="14"/>
  <c r="Z221" i="14"/>
  <c r="AB202" i="14"/>
  <c r="AB220" i="14"/>
  <c r="AB233" i="14"/>
  <c r="CF205" i="14" s="1"/>
  <c r="AB215" i="14"/>
  <c r="CF218" i="14" s="1"/>
  <c r="AD220" i="14"/>
  <c r="AD212" i="14"/>
  <c r="AD239" i="14"/>
  <c r="CG211" i="14" s="1"/>
  <c r="AD223" i="14"/>
  <c r="AD209" i="14"/>
  <c r="Z232" i="14"/>
  <c r="CE204" i="14" s="1"/>
  <c r="AB221" i="14"/>
  <c r="T210" i="14"/>
  <c r="V228" i="14"/>
  <c r="X226" i="14"/>
  <c r="X224" i="14"/>
  <c r="Z214" i="14"/>
  <c r="AB208" i="14"/>
  <c r="AB241" i="14"/>
  <c r="CF213" i="14" s="1"/>
  <c r="AB223" i="14"/>
  <c r="X237" i="14"/>
  <c r="CD209" i="14" s="1"/>
  <c r="Z218" i="14"/>
  <c r="Z196" i="14"/>
  <c r="CE192" i="14" s="1"/>
  <c r="AB226" i="14"/>
  <c r="AB219" i="14"/>
  <c r="AB196" i="14"/>
  <c r="CF192" i="14" s="1"/>
  <c r="AB217" i="14"/>
  <c r="X202" i="14"/>
  <c r="AB228" i="14"/>
  <c r="AB211" i="14"/>
  <c r="AB231" i="14"/>
  <c r="AB225" i="14"/>
  <c r="AB234" i="14"/>
  <c r="CF206" i="14" s="1"/>
  <c r="AB195" i="14"/>
  <c r="CF191" i="14" s="1"/>
  <c r="AB203" i="14"/>
  <c r="AB240" i="14"/>
  <c r="CF212" i="14" s="1"/>
  <c r="R220" i="14"/>
  <c r="T238" i="14"/>
  <c r="CB210" i="14" s="1"/>
  <c r="V194" i="14"/>
  <c r="CC190" i="14" s="1"/>
  <c r="V199" i="14"/>
  <c r="CC195" i="14" s="1"/>
  <c r="V225" i="14"/>
  <c r="X216" i="14"/>
  <c r="X233" i="14"/>
  <c r="CD205" i="14" s="1"/>
  <c r="X231" i="14"/>
  <c r="X211" i="14"/>
  <c r="AB204" i="14"/>
  <c r="AB201" i="14"/>
  <c r="AB235" i="14"/>
  <c r="CF207" i="14" s="1"/>
  <c r="AB237" i="14"/>
  <c r="CF209" i="14" s="1"/>
  <c r="AB198" i="14"/>
  <c r="CF194" i="14" s="1"/>
  <c r="AB213" i="14"/>
  <c r="AB222" i="14"/>
  <c r="T208" i="14"/>
  <c r="T213" i="14"/>
  <c r="V214" i="14"/>
  <c r="X228" i="14"/>
  <c r="X219" i="14"/>
  <c r="X213" i="14"/>
  <c r="Z204" i="14"/>
  <c r="Z215" i="14"/>
  <c r="CE218" i="14" s="1"/>
  <c r="Z241" i="14"/>
  <c r="CE213" i="14" s="1"/>
  <c r="Z239" i="14"/>
  <c r="CE211" i="14" s="1"/>
  <c r="Z222" i="14"/>
  <c r="AB216" i="14"/>
  <c r="AB212" i="14"/>
  <c r="AB209" i="14"/>
  <c r="Z205" i="14"/>
  <c r="V238" i="14"/>
  <c r="CC210" i="14" s="1"/>
  <c r="X235" i="14"/>
  <c r="CD207" i="14" s="1"/>
  <c r="X221" i="14"/>
  <c r="Z233" i="14"/>
  <c r="CE205" i="14" s="1"/>
  <c r="V205" i="14"/>
  <c r="V224" i="14"/>
  <c r="X204" i="14"/>
  <c r="X215" i="14"/>
  <c r="CD218" i="14" s="1"/>
  <c r="X197" i="14"/>
  <c r="CD193" i="14" s="1"/>
  <c r="Z228" i="14"/>
  <c r="Z199" i="14"/>
  <c r="CE195" i="14" s="1"/>
  <c r="Z211" i="14"/>
  <c r="Z229" i="14"/>
  <c r="Z213" i="14"/>
  <c r="Z216" i="14"/>
  <c r="Z203" i="14"/>
  <c r="Z240" i="14"/>
  <c r="CE212" i="14" s="1"/>
  <c r="Z195" i="14"/>
  <c r="CE191" i="14" s="1"/>
  <c r="Z217" i="14"/>
  <c r="T194" i="14"/>
  <c r="CB190" i="14" s="1"/>
  <c r="Z220" i="14"/>
  <c r="Z223" i="14"/>
  <c r="Z198" i="14"/>
  <c r="CE194" i="14" s="1"/>
  <c r="Z235" i="14"/>
  <c r="CE207" i="14" s="1"/>
  <c r="Z225" i="14"/>
  <c r="T228" i="14"/>
  <c r="CC213" i="14"/>
  <c r="X206" i="14"/>
  <c r="Z206" i="14"/>
  <c r="Z201" i="14"/>
  <c r="Z207" i="14"/>
  <c r="CE229" i="14" s="1"/>
  <c r="Z237" i="14"/>
  <c r="CE209" i="14" s="1"/>
  <c r="Z209" i="14"/>
  <c r="X217" i="14"/>
  <c r="X234" i="14"/>
  <c r="CD206" i="14" s="1"/>
  <c r="X238" i="14"/>
  <c r="CD210" i="14" s="1"/>
  <c r="R231" i="14"/>
  <c r="R221" i="14"/>
  <c r="T230" i="14"/>
  <c r="T222" i="14"/>
  <c r="V208" i="14"/>
  <c r="V201" i="14"/>
  <c r="V219" i="14"/>
  <c r="V217" i="14"/>
  <c r="X212" i="14"/>
  <c r="X218" i="14"/>
  <c r="X196" i="14"/>
  <c r="CD192" i="14" s="1"/>
  <c r="X239" i="14"/>
  <c r="CD211" i="14" s="1"/>
  <c r="X203" i="14"/>
  <c r="X214" i="14"/>
  <c r="X205" i="14"/>
  <c r="X227" i="14"/>
  <c r="X225" i="14"/>
  <c r="V200" i="14"/>
  <c r="X229" i="14"/>
  <c r="R203" i="14"/>
  <c r="T202" i="14"/>
  <c r="T205" i="14"/>
  <c r="T236" i="14"/>
  <c r="CB208" i="14" s="1"/>
  <c r="V212" i="14"/>
  <c r="X200" i="14"/>
  <c r="X201" i="14"/>
  <c r="X240" i="14"/>
  <c r="CD212" i="14" s="1"/>
  <c r="X236" i="14"/>
  <c r="CD208" i="14" s="1"/>
  <c r="X232" i="14"/>
  <c r="CD204" i="14" s="1"/>
  <c r="X222" i="14"/>
  <c r="X207" i="14"/>
  <c r="CD229" i="14" s="1"/>
  <c r="R216" i="14"/>
  <c r="R194" i="14"/>
  <c r="CA190" i="14" s="1"/>
  <c r="R240" i="14"/>
  <c r="CA212" i="14" s="1"/>
  <c r="T216" i="14"/>
  <c r="T199" i="14"/>
  <c r="CB195" i="14" s="1"/>
  <c r="T196" i="14"/>
  <c r="CB192" i="14" s="1"/>
  <c r="V206" i="14"/>
  <c r="V230" i="14"/>
  <c r="V233" i="14"/>
  <c r="CC205" i="14" s="1"/>
  <c r="V195" i="14"/>
  <c r="CC191" i="14" s="1"/>
  <c r="V221" i="14"/>
  <c r="X208" i="14"/>
  <c r="X195" i="14"/>
  <c r="CD191" i="14" s="1"/>
  <c r="X198" i="14"/>
  <c r="CD194" i="14" s="1"/>
  <c r="X209" i="14"/>
  <c r="V196" i="14"/>
  <c r="CC192" i="14" s="1"/>
  <c r="V197" i="14"/>
  <c r="CC193" i="14" s="1"/>
  <c r="R201" i="14"/>
  <c r="R237" i="14"/>
  <c r="CA209" i="14" s="1"/>
  <c r="R197" i="14"/>
  <c r="CA193" i="14" s="1"/>
  <c r="R199" i="14"/>
  <c r="CA195" i="14" s="1"/>
  <c r="R213" i="14"/>
  <c r="T219" i="14"/>
  <c r="T235" i="14"/>
  <c r="CB207" i="14" s="1"/>
  <c r="V220" i="14"/>
  <c r="V239" i="14"/>
  <c r="CC211" i="14" s="1"/>
  <c r="V207" i="14"/>
  <c r="CC229" i="14" s="1"/>
  <c r="R218" i="14"/>
  <c r="V232" i="14"/>
  <c r="CC204" i="14" s="1"/>
  <c r="T226" i="14"/>
  <c r="V236" i="14"/>
  <c r="CC208" i="14" s="1"/>
  <c r="V211" i="14"/>
  <c r="V222" i="14"/>
  <c r="V231" i="14"/>
  <c r="V229" i="14"/>
  <c r="R235" i="14"/>
  <c r="CA207" i="14" s="1"/>
  <c r="R211" i="14"/>
  <c r="V204" i="14"/>
  <c r="V218" i="14"/>
  <c r="V240" i="14"/>
  <c r="CC212" i="14" s="1"/>
  <c r="V227" i="14"/>
  <c r="V223" i="14"/>
  <c r="V213" i="14"/>
  <c r="R224" i="14"/>
  <c r="R208" i="14"/>
  <c r="R195" i="14"/>
  <c r="CA191" i="14" s="1"/>
  <c r="R232" i="14"/>
  <c r="CA204" i="14" s="1"/>
  <c r="R229" i="14"/>
  <c r="T223" i="14"/>
  <c r="CB240" i="14" s="1"/>
  <c r="T240" i="14"/>
  <c r="CB212" i="14" s="1"/>
  <c r="T217" i="14"/>
  <c r="V202" i="14"/>
  <c r="V234" i="14"/>
  <c r="CC206" i="14" s="1"/>
  <c r="V198" i="14"/>
  <c r="CC194" i="14" s="1"/>
  <c r="V235" i="14"/>
  <c r="CC207" i="14" s="1"/>
  <c r="V209" i="14"/>
  <c r="R198" i="14"/>
  <c r="CA194" i="14" s="1"/>
  <c r="T232" i="14"/>
  <c r="CB204" i="14" s="1"/>
  <c r="T214" i="14"/>
  <c r="T218" i="14"/>
  <c r="T195" i="14"/>
  <c r="CB191" i="14" s="1"/>
  <c r="T197" i="14"/>
  <c r="CB193" i="14" s="1"/>
  <c r="T225" i="14"/>
  <c r="T231" i="14"/>
  <c r="T233" i="14"/>
  <c r="CB205" i="14" s="1"/>
  <c r="T220" i="14"/>
  <c r="T215" i="14"/>
  <c r="CB218" i="14" s="1"/>
  <c r="P249" i="14" s="1"/>
  <c r="T239" i="14"/>
  <c r="CB211" i="14" s="1"/>
  <c r="T221" i="14"/>
  <c r="T203" i="14"/>
  <c r="T224" i="14"/>
  <c r="T201" i="14"/>
  <c r="T237" i="14"/>
  <c r="CB209" i="14" s="1"/>
  <c r="T198" i="14"/>
  <c r="CB194" i="14" s="1"/>
  <c r="T234" i="14"/>
  <c r="CB206" i="14" s="1"/>
  <c r="T229" i="14"/>
  <c r="T241" i="14"/>
  <c r="CB213" i="14" s="1"/>
  <c r="R206" i="14"/>
  <c r="R204" i="14"/>
  <c r="R241" i="14"/>
  <c r="CA213" i="14" s="1"/>
  <c r="R225" i="14"/>
  <c r="T206" i="14"/>
  <c r="T200" i="14"/>
  <c r="T211" i="14"/>
  <c r="T207" i="14"/>
  <c r="CB229" i="14" s="1"/>
  <c r="T209" i="14"/>
  <c r="R227" i="14"/>
  <c r="R214" i="14"/>
  <c r="R228" i="14"/>
  <c r="R207" i="14"/>
  <c r="CA229" i="14" s="1"/>
  <c r="R215" i="14"/>
  <c r="CA218" i="14" s="1"/>
  <c r="R217" i="14"/>
  <c r="R226" i="14"/>
  <c r="R212" i="14"/>
  <c r="R233" i="14"/>
  <c r="CA205" i="14" s="1"/>
  <c r="R230" i="14"/>
  <c r="R234" i="14"/>
  <c r="CA206" i="14" s="1"/>
  <c r="R222" i="14"/>
  <c r="R205" i="14"/>
  <c r="R236" i="14"/>
  <c r="CA208" i="14" s="1"/>
  <c r="R202" i="14"/>
  <c r="R200" i="14"/>
  <c r="R219" i="14"/>
  <c r="R196" i="14"/>
  <c r="CA192" i="14" s="1"/>
  <c r="R238" i="14"/>
  <c r="CA210" i="14" s="1"/>
  <c r="R209" i="14"/>
  <c r="F94" i="14"/>
  <c r="F106" i="14" s="1"/>
  <c r="BL72" i="14" s="1"/>
  <c r="J94" i="14"/>
  <c r="J106" i="14" s="1"/>
  <c r="BL100" i="14" s="1"/>
  <c r="F96" i="14"/>
  <c r="F108" i="14" s="1"/>
  <c r="BL74" i="14" s="1"/>
  <c r="H97" i="14"/>
  <c r="H109" i="14" s="1"/>
  <c r="BL89" i="14" s="1"/>
  <c r="J96" i="14"/>
  <c r="J108" i="14" s="1"/>
  <c r="BL102" i="14" s="1"/>
  <c r="H100" i="14"/>
  <c r="H112" i="14" s="1"/>
  <c r="BL92" i="14" s="1"/>
  <c r="I94" i="14"/>
  <c r="I106" i="14" s="1"/>
  <c r="BL93" i="14" s="1"/>
  <c r="G94" i="14"/>
  <c r="G106" i="14" s="1"/>
  <c r="BL79" i="14" s="1"/>
  <c r="H99" i="14"/>
  <c r="H111" i="14" s="1"/>
  <c r="BL91" i="14" s="1"/>
  <c r="F98" i="14"/>
  <c r="F110" i="14" s="1"/>
  <c r="BL76" i="14" s="1"/>
  <c r="K97" i="14"/>
  <c r="K109" i="14" s="1"/>
  <c r="BL110" i="14" s="1"/>
  <c r="K94" i="14"/>
  <c r="K106" i="14" s="1"/>
  <c r="BL107" i="14" s="1"/>
  <c r="J100" i="14"/>
  <c r="J112" i="14" s="1"/>
  <c r="BL106" i="14" s="1"/>
  <c r="H94" i="14"/>
  <c r="H106" i="14" s="1"/>
  <c r="BL86" i="14" s="1"/>
  <c r="G99" i="14"/>
  <c r="G111" i="14" s="1"/>
  <c r="BL84" i="14" s="1"/>
  <c r="G95" i="14"/>
  <c r="G107" i="14" s="1"/>
  <c r="BL80" i="14" s="1"/>
  <c r="H96" i="14"/>
  <c r="H108" i="14" s="1"/>
  <c r="BL88" i="14" s="1"/>
  <c r="L97" i="14"/>
  <c r="L109" i="14" s="1"/>
  <c r="BL117" i="14" s="1"/>
  <c r="L100" i="14"/>
  <c r="L112" i="14" s="1"/>
  <c r="BL120" i="14" s="1"/>
  <c r="L95" i="14"/>
  <c r="L107" i="14" s="1"/>
  <c r="BL115" i="14" s="1"/>
  <c r="L98" i="14"/>
  <c r="L110" i="14" s="1"/>
  <c r="BL118" i="14" s="1"/>
  <c r="L94" i="14"/>
  <c r="L106" i="14" s="1"/>
  <c r="BL114" i="14" s="1"/>
  <c r="L96" i="14"/>
  <c r="L108" i="14" s="1"/>
  <c r="BL116" i="14" s="1"/>
  <c r="L99" i="14"/>
  <c r="L111" i="14" s="1"/>
  <c r="BL119" i="14" s="1"/>
  <c r="G100" i="14"/>
  <c r="G112" i="14" s="1"/>
  <c r="BL85" i="14" s="1"/>
  <c r="I100" i="14"/>
  <c r="I112" i="14" s="1"/>
  <c r="BL99" i="14" s="1"/>
  <c r="F99" i="14"/>
  <c r="F111" i="14" s="1"/>
  <c r="BL77" i="14" s="1"/>
  <c r="H98" i="14"/>
  <c r="H110" i="14" s="1"/>
  <c r="BL90" i="14" s="1"/>
  <c r="F95" i="14"/>
  <c r="F107" i="14" s="1"/>
  <c r="BL73" i="14" s="1"/>
  <c r="G98" i="14"/>
  <c r="G110" i="14" s="1"/>
  <c r="BL83" i="14" s="1"/>
  <c r="F97" i="14"/>
  <c r="F109" i="14" s="1"/>
  <c r="BL75" i="14" s="1"/>
  <c r="F100" i="14"/>
  <c r="F112" i="14" s="1"/>
  <c r="BL78" i="14" s="1"/>
  <c r="I98" i="14"/>
  <c r="I110" i="14" s="1"/>
  <c r="BL97" i="14" s="1"/>
  <c r="K100" i="14"/>
  <c r="K112" i="14" s="1"/>
  <c r="BL113" i="14" s="1"/>
  <c r="I97" i="14"/>
  <c r="I99" i="14"/>
  <c r="I111" i="14" s="1"/>
  <c r="BL98" i="14" s="1"/>
  <c r="J98" i="14"/>
  <c r="J110" i="14" s="1"/>
  <c r="BL104" i="14" s="1"/>
  <c r="G96" i="14"/>
  <c r="G108" i="14" s="1"/>
  <c r="BL81" i="14" s="1"/>
  <c r="H95" i="14"/>
  <c r="H107" i="14" s="1"/>
  <c r="BL87" i="14" s="1"/>
  <c r="J95" i="14"/>
  <c r="J107" i="14" s="1"/>
  <c r="BL101" i="14" s="1"/>
  <c r="J97" i="14"/>
  <c r="J109" i="14" s="1"/>
  <c r="BL103" i="14" s="1"/>
  <c r="K99" i="14"/>
  <c r="K111" i="14" s="1"/>
  <c r="BL112" i="14" s="1"/>
  <c r="G97" i="14"/>
  <c r="G109" i="14" s="1"/>
  <c r="BL82" i="14" s="1"/>
  <c r="J99" i="14"/>
  <c r="J111" i="14" s="1"/>
  <c r="BL105" i="14" s="1"/>
  <c r="I95" i="14"/>
  <c r="I107" i="14" s="1"/>
  <c r="BL94" i="14" s="1"/>
  <c r="K95" i="14"/>
  <c r="K107" i="14" s="1"/>
  <c r="BL108" i="14" s="1"/>
  <c r="K98" i="14"/>
  <c r="K110" i="14" s="1"/>
  <c r="BL111" i="14" s="1"/>
  <c r="I96" i="14"/>
  <c r="I108" i="14" s="1"/>
  <c r="BL95" i="14" s="1"/>
  <c r="Q11" i="14" l="1"/>
  <c r="Q23" i="14" s="1"/>
  <c r="BL13" i="14" s="1"/>
  <c r="T12" i="14"/>
  <c r="T24" i="14" s="1"/>
  <c r="BL35" i="14" s="1"/>
  <c r="P14" i="14"/>
  <c r="P26" i="14" s="1"/>
  <c r="BL9" i="14" s="1"/>
  <c r="P8" i="14"/>
  <c r="P20" i="14" s="1"/>
  <c r="BL3" i="14" s="1"/>
  <c r="U8" i="14"/>
  <c r="U20" i="14" s="1"/>
  <c r="BL38" i="14" s="1"/>
  <c r="Q13" i="14"/>
  <c r="Q25" i="14" s="1"/>
  <c r="BL15" i="14" s="1"/>
  <c r="T9" i="14"/>
  <c r="T21" i="14" s="1"/>
  <c r="BL32" i="14" s="1"/>
  <c r="Q14" i="14"/>
  <c r="Q26" i="14" s="1"/>
  <c r="BL16" i="14" s="1"/>
  <c r="R12" i="14"/>
  <c r="R24" i="14" s="1"/>
  <c r="BL21" i="14" s="1"/>
  <c r="S14" i="14"/>
  <c r="S26" i="14" s="1"/>
  <c r="BL30" i="14" s="1"/>
  <c r="U11" i="14"/>
  <c r="U23" i="14" s="1"/>
  <c r="BL41" i="14" s="1"/>
  <c r="T14" i="14"/>
  <c r="T26" i="14" s="1"/>
  <c r="BL37" i="14" s="1"/>
  <c r="Q9" i="14"/>
  <c r="Q21" i="14" s="1"/>
  <c r="BL11" i="14" s="1"/>
  <c r="V13" i="14"/>
  <c r="V25" i="14" s="1"/>
  <c r="BL50" i="14" s="1"/>
  <c r="P11" i="14"/>
  <c r="P23" i="14" s="1"/>
  <c r="BL6" i="14" s="1"/>
  <c r="R13" i="14"/>
  <c r="R25" i="14" s="1"/>
  <c r="BL22" i="14" s="1"/>
  <c r="S13" i="14"/>
  <c r="S25" i="14" s="1"/>
  <c r="BL29" i="14" s="1"/>
  <c r="T10" i="14"/>
  <c r="T22" i="14" s="1"/>
  <c r="BL33" i="14" s="1"/>
  <c r="T8" i="14"/>
  <c r="T20" i="14" s="1"/>
  <c r="BL31" i="14" s="1"/>
  <c r="R9" i="14"/>
  <c r="R21" i="14" s="1"/>
  <c r="BL18" i="14" s="1"/>
  <c r="V14" i="14"/>
  <c r="V26" i="14" s="1"/>
  <c r="BL51" i="14" s="1"/>
  <c r="Q10" i="14"/>
  <c r="Q22" i="14" s="1"/>
  <c r="BL12" i="14" s="1"/>
  <c r="R11" i="14"/>
  <c r="R23" i="14" s="1"/>
  <c r="BL20" i="14" s="1"/>
  <c r="T13" i="14"/>
  <c r="T25" i="14" s="1"/>
  <c r="BL36" i="14" s="1"/>
  <c r="Q8" i="14"/>
  <c r="Q20" i="14" s="1"/>
  <c r="BL10" i="14" s="1"/>
  <c r="T11" i="14"/>
  <c r="T23" i="14" s="1"/>
  <c r="BL34" i="14" s="1"/>
  <c r="R14" i="14"/>
  <c r="R26" i="14" s="1"/>
  <c r="BL23" i="14" s="1"/>
  <c r="V9" i="14"/>
  <c r="V21" i="14" s="1"/>
  <c r="BL46" i="14" s="1"/>
  <c r="U9" i="14"/>
  <c r="U21" i="14" s="1"/>
  <c r="BL39" i="14" s="1"/>
  <c r="U13" i="14"/>
  <c r="U25" i="14" s="1"/>
  <c r="BL43" i="14" s="1"/>
  <c r="R10" i="14"/>
  <c r="R22" i="14" s="1"/>
  <c r="BL19" i="14" s="1"/>
  <c r="P12" i="14"/>
  <c r="P24" i="14" s="1"/>
  <c r="BL7" i="14" s="1"/>
  <c r="S9" i="14"/>
  <c r="S21" i="14" s="1"/>
  <c r="BL25" i="14" s="1"/>
  <c r="V11" i="14"/>
  <c r="V23" i="14" s="1"/>
  <c r="BL48" i="14" s="1"/>
  <c r="P9" i="14"/>
  <c r="P21" i="14" s="1"/>
  <c r="BL4" i="14" s="1"/>
  <c r="V8" i="14"/>
  <c r="V20" i="14" s="1"/>
  <c r="BL45" i="14" s="1"/>
  <c r="S11" i="14"/>
  <c r="S23" i="14" s="1"/>
  <c r="BL27" i="14" s="1"/>
  <c r="U12" i="14"/>
  <c r="U24" i="14" s="1"/>
  <c r="BL42" i="14" s="1"/>
  <c r="R8" i="14"/>
  <c r="R20" i="14" s="1"/>
  <c r="BL17" i="14" s="1"/>
  <c r="S10" i="14"/>
  <c r="S22" i="14" s="1"/>
  <c r="BL26" i="14" s="1"/>
  <c r="P13" i="14"/>
  <c r="P25" i="14" s="1"/>
  <c r="BL8" i="14" s="1"/>
  <c r="P10" i="14"/>
  <c r="P22" i="14" s="1"/>
  <c r="BL5" i="14" s="1"/>
  <c r="U10" i="14"/>
  <c r="U22" i="14" s="1"/>
  <c r="BL40" i="14" s="1"/>
  <c r="S8" i="14"/>
  <c r="S20" i="14" s="1"/>
  <c r="BL24" i="14" s="1"/>
  <c r="V12" i="14"/>
  <c r="V24" i="14" s="1"/>
  <c r="BL49" i="14" s="1"/>
  <c r="U14" i="14"/>
  <c r="U26" i="14" s="1"/>
  <c r="BL44" i="14" s="1"/>
  <c r="V10" i="14"/>
  <c r="V22" i="14" s="1"/>
  <c r="BL47" i="14" s="1"/>
  <c r="S12" i="14"/>
  <c r="S24" i="14" s="1"/>
  <c r="BL28" i="14" s="1"/>
  <c r="Q12" i="14"/>
  <c r="Q24" i="14" s="1"/>
  <c r="BL14" i="14" s="1"/>
  <c r="I109" i="14"/>
  <c r="BL96" i="14" s="1"/>
  <c r="CB226" i="14"/>
  <c r="BB44" i="21"/>
  <c r="BL39" i="21"/>
  <c r="BV45" i="21"/>
  <c r="BV26" i="21"/>
  <c r="N29" i="21"/>
  <c r="N39" i="21"/>
  <c r="N47" i="21"/>
  <c r="X46" i="21"/>
  <c r="X26" i="21"/>
  <c r="D25" i="21"/>
  <c r="E25" i="21" s="1"/>
  <c r="F25" i="21" s="1"/>
  <c r="G25" i="21" s="1"/>
  <c r="BB42" i="21"/>
  <c r="X30" i="21"/>
  <c r="BL46" i="21"/>
  <c r="BL30" i="21"/>
  <c r="BV43" i="21"/>
  <c r="BV41" i="21"/>
  <c r="BB43" i="21"/>
  <c r="BV44" i="21"/>
  <c r="D45" i="21"/>
  <c r="D41" i="21"/>
  <c r="N44" i="21"/>
  <c r="N40" i="21"/>
  <c r="D29" i="21"/>
  <c r="X28" i="21"/>
  <c r="X40" i="21"/>
  <c r="AH45" i="21"/>
  <c r="N25" i="21"/>
  <c r="O25" i="21" s="1"/>
  <c r="P25" i="21" s="1"/>
  <c r="Q25" i="21" s="1"/>
  <c r="AR40" i="21"/>
  <c r="X25" i="21"/>
  <c r="Y25" i="21" s="1"/>
  <c r="Z25" i="21" s="1"/>
  <c r="AA25" i="21" s="1"/>
  <c r="AR27" i="21"/>
  <c r="AR41" i="21"/>
  <c r="BL29" i="21"/>
  <c r="BB46" i="21"/>
  <c r="D46" i="21"/>
  <c r="BV40" i="21"/>
  <c r="BB30" i="21"/>
  <c r="D47" i="21"/>
  <c r="X44" i="21"/>
  <c r="D27" i="21"/>
  <c r="D48" i="21"/>
  <c r="X27" i="21"/>
  <c r="AH41" i="21"/>
  <c r="AR46" i="21"/>
  <c r="AH48" i="21"/>
  <c r="BL47" i="21"/>
  <c r="D39" i="21"/>
  <c r="AH42" i="21"/>
  <c r="BV48" i="21"/>
  <c r="BV46" i="21"/>
  <c r="N28" i="21"/>
  <c r="X29" i="21"/>
  <c r="D26" i="21"/>
  <c r="AH29" i="21"/>
  <c r="N27" i="21"/>
  <c r="AH39" i="21"/>
  <c r="AR47" i="21"/>
  <c r="AH28" i="21"/>
  <c r="X45" i="21"/>
  <c r="BB47" i="21"/>
  <c r="BB40" i="21"/>
  <c r="BL44" i="21"/>
  <c r="BB45" i="21"/>
  <c r="AH25" i="21"/>
  <c r="AI25" i="21" s="1"/>
  <c r="AJ25" i="21" s="1"/>
  <c r="AK25" i="21" s="1"/>
  <c r="BL41" i="21"/>
  <c r="BV47" i="21"/>
  <c r="BV25" i="21"/>
  <c r="BW25" i="21" s="1"/>
  <c r="BX25" i="21" s="1"/>
  <c r="BY25" i="21" s="1"/>
  <c r="BV30" i="21"/>
  <c r="N41" i="21"/>
  <c r="BB41" i="21"/>
  <c r="AR45" i="21"/>
  <c r="X47" i="21"/>
  <c r="AR30" i="21"/>
  <c r="BL26" i="21"/>
  <c r="BB39" i="21"/>
  <c r="D40" i="21"/>
  <c r="X42" i="21"/>
  <c r="AR26" i="21"/>
  <c r="BB28" i="21"/>
  <c r="BL48" i="21"/>
  <c r="BL28" i="21"/>
  <c r="BL27" i="21"/>
  <c r="BL40" i="21"/>
  <c r="N48" i="21"/>
  <c r="N26" i="21"/>
  <c r="X41" i="21"/>
  <c r="X39" i="21"/>
  <c r="D30" i="21"/>
  <c r="AH26" i="21"/>
  <c r="N30" i="21"/>
  <c r="AH43" i="21"/>
  <c r="AH46" i="21"/>
  <c r="AR44" i="21"/>
  <c r="AR42" i="21"/>
  <c r="AH40" i="21"/>
  <c r="BB48" i="21"/>
  <c r="AR39" i="21"/>
  <c r="BV28" i="21"/>
  <c r="BL43" i="21"/>
  <c r="BL25" i="21"/>
  <c r="BM25" i="21" s="1"/>
  <c r="BN25" i="21" s="1"/>
  <c r="BO25" i="21" s="1"/>
  <c r="D44" i="21"/>
  <c r="BV27" i="21"/>
  <c r="N42" i="21"/>
  <c r="N43" i="21"/>
  <c r="X48" i="21"/>
  <c r="N45" i="21"/>
  <c r="X43" i="21"/>
  <c r="AR48" i="21"/>
  <c r="AH44" i="21"/>
  <c r="AR43" i="21"/>
  <c r="BV42" i="21"/>
  <c r="D43" i="21"/>
  <c r="N46" i="21"/>
  <c r="D42" i="21"/>
  <c r="D28" i="21"/>
  <c r="AH47" i="21"/>
  <c r="AH27" i="21"/>
  <c r="AR29" i="21"/>
  <c r="BB29" i="21"/>
  <c r="BB26" i="21"/>
  <c r="BB27" i="21"/>
  <c r="BL42" i="21"/>
  <c r="BL45" i="21"/>
  <c r="AR28" i="21"/>
  <c r="AR25" i="21"/>
  <c r="AS25" i="21" s="1"/>
  <c r="AT25" i="21" s="1"/>
  <c r="AU25" i="21" s="1"/>
  <c r="BV39" i="21"/>
  <c r="AH30" i="21"/>
  <c r="BV29" i="21"/>
  <c r="BB25" i="21"/>
  <c r="BC25" i="21" s="1"/>
  <c r="BD25" i="21" s="1"/>
  <c r="BE25" i="21" s="1"/>
  <c r="CA240" i="14"/>
  <c r="CA252" i="14"/>
  <c r="CC219" i="14"/>
  <c r="CG241" i="14"/>
  <c r="CH201" i="14"/>
  <c r="CH202" i="14"/>
  <c r="CH257" i="14"/>
  <c r="CD252" i="14"/>
  <c r="CH246" i="14"/>
  <c r="CC202" i="14"/>
  <c r="CG196" i="14"/>
  <c r="CH203" i="14"/>
  <c r="CH258" i="14"/>
  <c r="CF231" i="14"/>
  <c r="CH226" i="14"/>
  <c r="CH245" i="14"/>
  <c r="CH244" i="14"/>
  <c r="CH223" i="14"/>
  <c r="CH222" i="14"/>
  <c r="CH259" i="14"/>
  <c r="CH248" i="14"/>
  <c r="CH199" i="14"/>
  <c r="CH198" i="14"/>
  <c r="CG254" i="14"/>
  <c r="CH231" i="14"/>
  <c r="CH225" i="14"/>
  <c r="CH196" i="14"/>
  <c r="CH235" i="14"/>
  <c r="CH237" i="14"/>
  <c r="CH236" i="14"/>
  <c r="CH200" i="14"/>
  <c r="CH247" i="14"/>
  <c r="CH240" i="14"/>
  <c r="CH251" i="14"/>
  <c r="CH252" i="14"/>
  <c r="CH253" i="14"/>
  <c r="CH241" i="14"/>
  <c r="CH243" i="14"/>
  <c r="CH242" i="14"/>
  <c r="CH254" i="14"/>
  <c r="CH255" i="14"/>
  <c r="CH234" i="14"/>
  <c r="CH197" i="14"/>
  <c r="CH233" i="14"/>
  <c r="CH232" i="14"/>
  <c r="CH256" i="14"/>
  <c r="CG202" i="14"/>
  <c r="CH224" i="14"/>
  <c r="CH219" i="14"/>
  <c r="CH221" i="14"/>
  <c r="CH220" i="14"/>
  <c r="CH230" i="14"/>
  <c r="CG246" i="14"/>
  <c r="CF244" i="14"/>
  <c r="CF202" i="14"/>
  <c r="CE242" i="14"/>
  <c r="CF236" i="14"/>
  <c r="CC220" i="14"/>
  <c r="CB199" i="14"/>
  <c r="CF224" i="14"/>
  <c r="CG226" i="14"/>
  <c r="CF196" i="14"/>
  <c r="CG235" i="14"/>
  <c r="CE198" i="14"/>
  <c r="CE202" i="14"/>
  <c r="CG224" i="14"/>
  <c r="CG231" i="14"/>
  <c r="CE199" i="14"/>
  <c r="CG257" i="14"/>
  <c r="CE220" i="14"/>
  <c r="CD240" i="14"/>
  <c r="R249" i="14" s="1"/>
  <c r="AB249" i="14" s="1"/>
  <c r="BL215" i="14" s="1"/>
  <c r="CF246" i="14"/>
  <c r="CF256" i="14"/>
  <c r="CG203" i="14"/>
  <c r="CA253" i="14"/>
  <c r="CC221" i="14"/>
  <c r="CF230" i="14"/>
  <c r="CD253" i="14"/>
  <c r="CE219" i="14"/>
  <c r="CG198" i="14"/>
  <c r="CG220" i="14"/>
  <c r="CE236" i="14"/>
  <c r="CE224" i="14"/>
  <c r="CF219" i="14"/>
  <c r="CG197" i="14"/>
  <c r="CG233" i="14"/>
  <c r="CG232" i="14"/>
  <c r="CG234" i="14"/>
  <c r="CG236" i="14"/>
  <c r="CG225" i="14"/>
  <c r="CG221" i="14"/>
  <c r="CE246" i="14"/>
  <c r="CG251" i="14"/>
  <c r="CG240" i="14"/>
  <c r="CG253" i="14"/>
  <c r="CG252" i="14"/>
  <c r="CG219" i="14"/>
  <c r="CG199" i="14"/>
  <c r="CG222" i="14"/>
  <c r="CG259" i="14"/>
  <c r="CG248" i="14"/>
  <c r="CG223" i="14"/>
  <c r="CG243" i="14"/>
  <c r="CG230" i="14"/>
  <c r="CD244" i="14"/>
  <c r="CG255" i="14"/>
  <c r="CD200" i="14"/>
  <c r="CF235" i="14"/>
  <c r="CF245" i="14"/>
  <c r="CG256" i="14"/>
  <c r="CG201" i="14"/>
  <c r="CG245" i="14"/>
  <c r="CG244" i="14"/>
  <c r="CG258" i="14"/>
  <c r="CG247" i="14"/>
  <c r="CG200" i="14"/>
  <c r="CG237" i="14"/>
  <c r="CG242" i="14"/>
  <c r="CF203" i="14"/>
  <c r="CF240" i="14"/>
  <c r="CF251" i="14"/>
  <c r="CF252" i="14"/>
  <c r="CF253" i="14"/>
  <c r="CC222" i="14"/>
  <c r="CE235" i="14"/>
  <c r="CF197" i="14"/>
  <c r="CF234" i="14"/>
  <c r="CF233" i="14"/>
  <c r="CF232" i="14"/>
  <c r="CE243" i="14"/>
  <c r="CE255" i="14"/>
  <c r="CE234" i="14"/>
  <c r="CE259" i="14"/>
  <c r="CE241" i="14"/>
  <c r="CF241" i="14"/>
  <c r="CF243" i="14"/>
  <c r="CF254" i="14"/>
  <c r="CF242" i="14"/>
  <c r="CF255" i="14"/>
  <c r="CF237" i="14"/>
  <c r="CF201" i="14"/>
  <c r="CF200" i="14"/>
  <c r="CF258" i="14"/>
  <c r="CF247" i="14"/>
  <c r="CF221" i="14"/>
  <c r="CE237" i="14"/>
  <c r="CB231" i="14"/>
  <c r="CE196" i="14"/>
  <c r="CF257" i="14"/>
  <c r="CF226" i="14"/>
  <c r="CF225" i="14"/>
  <c r="CF198" i="14"/>
  <c r="CB251" i="14"/>
  <c r="Z249" i="14" s="1"/>
  <c r="BL197" i="14" s="1"/>
  <c r="CE222" i="14"/>
  <c r="CF220" i="14"/>
  <c r="CC196" i="14"/>
  <c r="CD256" i="14"/>
  <c r="CF199" i="14"/>
  <c r="CF222" i="14"/>
  <c r="CF259" i="14"/>
  <c r="CF248" i="14"/>
  <c r="CF223" i="14"/>
  <c r="CB241" i="14"/>
  <c r="CE203" i="14"/>
  <c r="CE254" i="14"/>
  <c r="CC199" i="14"/>
  <c r="CC203" i="14"/>
  <c r="CD245" i="14"/>
  <c r="CE223" i="14"/>
  <c r="CD258" i="14"/>
  <c r="CD202" i="14"/>
  <c r="CE200" i="14"/>
  <c r="CE258" i="14"/>
  <c r="CE247" i="14"/>
  <c r="CE225" i="14"/>
  <c r="CE226" i="14"/>
  <c r="CE197" i="14"/>
  <c r="CC198" i="14"/>
  <c r="CD231" i="14"/>
  <c r="CE240" i="14"/>
  <c r="CE251" i="14"/>
  <c r="CE253" i="14"/>
  <c r="CE252" i="14"/>
  <c r="CE231" i="14"/>
  <c r="CE232" i="14"/>
  <c r="CE230" i="14"/>
  <c r="CE201" i="14"/>
  <c r="CE256" i="14"/>
  <c r="CE245" i="14"/>
  <c r="CE244" i="14"/>
  <c r="CE257" i="14"/>
  <c r="CE221" i="14"/>
  <c r="CE248" i="14"/>
  <c r="CE233" i="14"/>
  <c r="CD232" i="14"/>
  <c r="CD247" i="14"/>
  <c r="CD219" i="14"/>
  <c r="CD221" i="14"/>
  <c r="CD220" i="14"/>
  <c r="CD203" i="14"/>
  <c r="CC237" i="14"/>
  <c r="CD237" i="14"/>
  <c r="CD236" i="14"/>
  <c r="CD235" i="14"/>
  <c r="CD196" i="14"/>
  <c r="CD233" i="14"/>
  <c r="CD198" i="14"/>
  <c r="CD225" i="14"/>
  <c r="CD226" i="14"/>
  <c r="CD197" i="14"/>
  <c r="CA230" i="14"/>
  <c r="CB203" i="14"/>
  <c r="CD241" i="14"/>
  <c r="CD254" i="14"/>
  <c r="CD243" i="14"/>
  <c r="CD255" i="14"/>
  <c r="CD242" i="14"/>
  <c r="CD246" i="14"/>
  <c r="CD257" i="14"/>
  <c r="CD201" i="14"/>
  <c r="CB224" i="14"/>
  <c r="CD222" i="14"/>
  <c r="CD223" i="14"/>
  <c r="CD199" i="14"/>
  <c r="CD259" i="14"/>
  <c r="CD248" i="14"/>
  <c r="CD234" i="14"/>
  <c r="CC200" i="14"/>
  <c r="CD224" i="14"/>
  <c r="CD230" i="14"/>
  <c r="CC197" i="14"/>
  <c r="CC233" i="14"/>
  <c r="CC232" i="14"/>
  <c r="CC234" i="14"/>
  <c r="CC235" i="14"/>
  <c r="CB202" i="14"/>
  <c r="CC224" i="14"/>
  <c r="CC231" i="14"/>
  <c r="CC226" i="14"/>
  <c r="CC256" i="14"/>
  <c r="CC201" i="14"/>
  <c r="CC245" i="14"/>
  <c r="CC244" i="14"/>
  <c r="CC247" i="14"/>
  <c r="CC258" i="14"/>
  <c r="CC248" i="14"/>
  <c r="CC236" i="14"/>
  <c r="CC225" i="14"/>
  <c r="CC223" i="14"/>
  <c r="CC240" i="14"/>
  <c r="Q249" i="14" s="1"/>
  <c r="CC251" i="14"/>
  <c r="CC252" i="14"/>
  <c r="CC253" i="14"/>
  <c r="CA232" i="14"/>
  <c r="CC259" i="14"/>
  <c r="CC241" i="14"/>
  <c r="CC242" i="14"/>
  <c r="CC255" i="14"/>
  <c r="CC243" i="14"/>
  <c r="CC254" i="14"/>
  <c r="CA244" i="14"/>
  <c r="CA202" i="14"/>
  <c r="CC246" i="14"/>
  <c r="CC257" i="14"/>
  <c r="CC230" i="14"/>
  <c r="CB197" i="14"/>
  <c r="CB198" i="14"/>
  <c r="CA226" i="14"/>
  <c r="CB222" i="14"/>
  <c r="CB253" i="14"/>
  <c r="CB225" i="14"/>
  <c r="CB219" i="14"/>
  <c r="CB221" i="14"/>
  <c r="CB220" i="14"/>
  <c r="CB246" i="14"/>
  <c r="CB257" i="14"/>
  <c r="CB252" i="14"/>
  <c r="CB248" i="14"/>
  <c r="CA247" i="14"/>
  <c r="CA233" i="14"/>
  <c r="CB259" i="14"/>
  <c r="CB242" i="14"/>
  <c r="CB201" i="14"/>
  <c r="CB256" i="14"/>
  <c r="CB245" i="14"/>
  <c r="CB244" i="14"/>
  <c r="CB247" i="14"/>
  <c r="CB230" i="14"/>
  <c r="CA256" i="14"/>
  <c r="CB255" i="14"/>
  <c r="CB254" i="14"/>
  <c r="CB200" i="14"/>
  <c r="CB223" i="14"/>
  <c r="CB234" i="14"/>
  <c r="CB243" i="14"/>
  <c r="CB258" i="14"/>
  <c r="CB232" i="14"/>
  <c r="CA258" i="14"/>
  <c r="CB236" i="14"/>
  <c r="CB235" i="14"/>
  <c r="CB196" i="14"/>
  <c r="CB237" i="14"/>
  <c r="CB233" i="14"/>
  <c r="CA235" i="14"/>
  <c r="CA237" i="14"/>
  <c r="CA236" i="14"/>
  <c r="CA196" i="14"/>
  <c r="CA241" i="14"/>
  <c r="CA242" i="14"/>
  <c r="CA254" i="14"/>
  <c r="CA243" i="14"/>
  <c r="CA255" i="14"/>
  <c r="CA246" i="14"/>
  <c r="CA219" i="14"/>
  <c r="CA221" i="14"/>
  <c r="CA220" i="14"/>
  <c r="CA231" i="14"/>
  <c r="CA203" i="14"/>
  <c r="CA200" i="14"/>
  <c r="CA222" i="14"/>
  <c r="CA259" i="14"/>
  <c r="CA248" i="14"/>
  <c r="CA223" i="14"/>
  <c r="CA199" i="14"/>
  <c r="CA198" i="14"/>
  <c r="CA197" i="14"/>
  <c r="CA245" i="14"/>
  <c r="CA225" i="14"/>
  <c r="CA224" i="14"/>
  <c r="CA257" i="14"/>
  <c r="CA234" i="14"/>
  <c r="CA201" i="14"/>
  <c r="O250" i="14" l="1"/>
  <c r="S253" i="14"/>
  <c r="V256" i="14"/>
  <c r="AF256" i="14" s="1"/>
  <c r="BL258" i="14" s="1"/>
  <c r="Q251" i="14"/>
  <c r="Q250" i="14"/>
  <c r="T254" i="14"/>
  <c r="R252" i="14"/>
  <c r="AB252" i="14" s="1"/>
  <c r="BL218" i="14" s="1"/>
  <c r="P251" i="14"/>
  <c r="U255" i="14"/>
  <c r="P252" i="14"/>
  <c r="P250" i="14"/>
  <c r="O249" i="14"/>
  <c r="Y249" i="14" s="1"/>
  <c r="BL188" i="14" s="1"/>
  <c r="E26" i="21"/>
  <c r="F26" i="21" s="1"/>
  <c r="G26" i="21" s="1"/>
  <c r="AB25" i="21"/>
  <c r="AC25" i="21" s="1"/>
  <c r="Y26" i="21"/>
  <c r="Z26" i="21" s="1"/>
  <c r="AA26" i="21" s="1"/>
  <c r="R25" i="21"/>
  <c r="S25" i="21" s="1"/>
  <c r="BC26" i="21"/>
  <c r="BD26" i="21" s="1"/>
  <c r="BE26" i="21" s="1"/>
  <c r="BP25" i="21"/>
  <c r="BQ25" i="21" s="1"/>
  <c r="BM26" i="21"/>
  <c r="BN26" i="21" s="1"/>
  <c r="BO26" i="21" s="1"/>
  <c r="AI26" i="21"/>
  <c r="AJ26" i="21" s="1"/>
  <c r="AK26" i="21" s="1"/>
  <c r="D33" i="21"/>
  <c r="N31" i="21"/>
  <c r="AH33" i="21"/>
  <c r="X38" i="21"/>
  <c r="BL36" i="21"/>
  <c r="D36" i="21"/>
  <c r="BB32" i="21"/>
  <c r="BV34" i="21"/>
  <c r="BV37" i="21"/>
  <c r="O26" i="21"/>
  <c r="P26" i="21" s="1"/>
  <c r="Q26" i="21" s="1"/>
  <c r="D31" i="21"/>
  <c r="X35" i="21"/>
  <c r="X31" i="21"/>
  <c r="D32" i="21"/>
  <c r="D38" i="21"/>
  <c r="AH34" i="21"/>
  <c r="AH38" i="21"/>
  <c r="BB33" i="21"/>
  <c r="BL33" i="21"/>
  <c r="AR33" i="21"/>
  <c r="BF25" i="21"/>
  <c r="BG25" i="21" s="1"/>
  <c r="D37" i="21"/>
  <c r="BB37" i="21"/>
  <c r="BL37" i="21"/>
  <c r="BV35" i="21"/>
  <c r="BV33" i="21"/>
  <c r="D34" i="21"/>
  <c r="N35" i="21"/>
  <c r="X34" i="21"/>
  <c r="BZ25" i="21"/>
  <c r="CA25" i="21" s="1"/>
  <c r="N33" i="21"/>
  <c r="AH31" i="21"/>
  <c r="BL32" i="21"/>
  <c r="AH36" i="21"/>
  <c r="AR31" i="21"/>
  <c r="BL35" i="21"/>
  <c r="AR34" i="21"/>
  <c r="BV38" i="21"/>
  <c r="AR36" i="21"/>
  <c r="AH37" i="21"/>
  <c r="AH35" i="21"/>
  <c r="N34" i="21"/>
  <c r="BV32" i="21"/>
  <c r="BV31" i="21"/>
  <c r="BL31" i="21"/>
  <c r="AS26" i="21"/>
  <c r="AT26" i="21" s="1"/>
  <c r="AU26" i="21" s="1"/>
  <c r="BB38" i="21"/>
  <c r="BB34" i="21"/>
  <c r="BB31" i="21"/>
  <c r="N36" i="21"/>
  <c r="BW26" i="21"/>
  <c r="BX26" i="21" s="1"/>
  <c r="BY26" i="21" s="1"/>
  <c r="N38" i="21"/>
  <c r="AR35" i="21"/>
  <c r="AH32" i="21"/>
  <c r="X33" i="21"/>
  <c r="BL34" i="21"/>
  <c r="BL38" i="21"/>
  <c r="X37" i="21"/>
  <c r="X32" i="21"/>
  <c r="BB35" i="21"/>
  <c r="BB36" i="21"/>
  <c r="BV36" i="21"/>
  <c r="N32" i="21"/>
  <c r="N37" i="21"/>
  <c r="AR38" i="21"/>
  <c r="D35" i="21"/>
  <c r="X36" i="21"/>
  <c r="AR32" i="21"/>
  <c r="AR37" i="21"/>
  <c r="Y250" i="14"/>
  <c r="BL189" i="14" s="1"/>
  <c r="U250" i="14"/>
  <c r="AE250" i="14" s="1"/>
  <c r="BL243" i="14" s="1"/>
  <c r="U249" i="14"/>
  <c r="AE249" i="14" s="1"/>
  <c r="BL242" i="14" s="1"/>
  <c r="S257" i="14"/>
  <c r="AC257" i="14" s="1"/>
  <c r="BL232" i="14" s="1"/>
  <c r="Z251" i="14"/>
  <c r="BL199" i="14" s="1"/>
  <c r="O252" i="14"/>
  <c r="Y252" i="14" s="1"/>
  <c r="BL191" i="14" s="1"/>
  <c r="T251" i="14"/>
  <c r="AD251" i="14" s="1"/>
  <c r="BL235" i="14" s="1"/>
  <c r="R251" i="14"/>
  <c r="AB251" i="14" s="1"/>
  <c r="BL217" i="14" s="1"/>
  <c r="P257" i="14"/>
  <c r="Z257" i="14" s="1"/>
  <c r="BL205" i="14" s="1"/>
  <c r="V249" i="14"/>
  <c r="AF249" i="14" s="1"/>
  <c r="BL251" i="14" s="1"/>
  <c r="AA249" i="14"/>
  <c r="BL206" i="14" s="1"/>
  <c r="U251" i="14"/>
  <c r="AE251" i="14" s="1"/>
  <c r="BL244" i="14" s="1"/>
  <c r="AV25" i="21"/>
  <c r="AW25" i="21" s="1"/>
  <c r="H25" i="21"/>
  <c r="I25" i="21" s="1"/>
  <c r="AL25" i="21"/>
  <c r="AM25" i="21" s="1"/>
  <c r="Q257" i="14"/>
  <c r="AA257" i="14" s="1"/>
  <c r="BL214" i="14" s="1"/>
  <c r="S254" i="14"/>
  <c r="AC254" i="14" s="1"/>
  <c r="BL229" i="14" s="1"/>
  <c r="S249" i="14"/>
  <c r="AC249" i="14" s="1"/>
  <c r="BL224" i="14" s="1"/>
  <c r="S256" i="14"/>
  <c r="AC256" i="14" s="1"/>
  <c r="BL231" i="14" s="1"/>
  <c r="T256" i="14"/>
  <c r="AD256" i="14" s="1"/>
  <c r="BL240" i="14" s="1"/>
  <c r="T250" i="14"/>
  <c r="AD250" i="14" s="1"/>
  <c r="BL234" i="14" s="1"/>
  <c r="T249" i="14"/>
  <c r="AD249" i="14" s="1"/>
  <c r="BL233" i="14" s="1"/>
  <c r="Z250" i="14"/>
  <c r="BL198" i="14" s="1"/>
  <c r="U257" i="14"/>
  <c r="AE257" i="14" s="1"/>
  <c r="BL250" i="14" s="1"/>
  <c r="S251" i="14"/>
  <c r="AC251" i="14" s="1"/>
  <c r="BL226" i="14" s="1"/>
  <c r="O251" i="14"/>
  <c r="Y251" i="14" s="1"/>
  <c r="BL190" i="14" s="1"/>
  <c r="V257" i="14"/>
  <c r="AF257" i="14" s="1"/>
  <c r="BL259" i="14" s="1"/>
  <c r="V253" i="14"/>
  <c r="AF253" i="14" s="1"/>
  <c r="BL255" i="14" s="1"/>
  <c r="V255" i="14"/>
  <c r="AF255" i="14" s="1"/>
  <c r="BL257" i="14" s="1"/>
  <c r="V254" i="14"/>
  <c r="AF254" i="14" s="1"/>
  <c r="BL256" i="14" s="1"/>
  <c r="S252" i="14"/>
  <c r="AC252" i="14" s="1"/>
  <c r="BL227" i="14" s="1"/>
  <c r="V250" i="14"/>
  <c r="AF250" i="14" s="1"/>
  <c r="BL252" i="14" s="1"/>
  <c r="AE255" i="14"/>
  <c r="BL248" i="14" s="1"/>
  <c r="V252" i="14"/>
  <c r="AF252" i="14" s="1"/>
  <c r="BL254" i="14" s="1"/>
  <c r="V251" i="14"/>
  <c r="AF251" i="14" s="1"/>
  <c r="BL253" i="14" s="1"/>
  <c r="T253" i="14"/>
  <c r="AD253" i="14" s="1"/>
  <c r="BL237" i="14" s="1"/>
  <c r="R253" i="14"/>
  <c r="AB253" i="14" s="1"/>
  <c r="BL219" i="14" s="1"/>
  <c r="AD254" i="14"/>
  <c r="BL238" i="14" s="1"/>
  <c r="U252" i="14"/>
  <c r="AE252" i="14" s="1"/>
  <c r="BL245" i="14" s="1"/>
  <c r="S250" i="14"/>
  <c r="AC250" i="14" s="1"/>
  <c r="BL225" i="14" s="1"/>
  <c r="T255" i="14"/>
  <c r="AD255" i="14" s="1"/>
  <c r="BL239" i="14" s="1"/>
  <c r="U253" i="14"/>
  <c r="AE253" i="14" s="1"/>
  <c r="BL246" i="14" s="1"/>
  <c r="T252" i="14"/>
  <c r="AD252" i="14" s="1"/>
  <c r="BL236" i="14" s="1"/>
  <c r="U256" i="14"/>
  <c r="AE256" i="14" s="1"/>
  <c r="BL249" i="14" s="1"/>
  <c r="U254" i="14"/>
  <c r="AE254" i="14" s="1"/>
  <c r="BL247" i="14" s="1"/>
  <c r="R254" i="14"/>
  <c r="AB254" i="14" s="1"/>
  <c r="BL220" i="14" s="1"/>
  <c r="S255" i="14"/>
  <c r="AC255" i="14" s="1"/>
  <c r="BL230" i="14" s="1"/>
  <c r="AC253" i="14"/>
  <c r="BL228" i="14" s="1"/>
  <c r="T257" i="14"/>
  <c r="AD257" i="14" s="1"/>
  <c r="BL241" i="14" s="1"/>
  <c r="O253" i="14"/>
  <c r="Y253" i="14" s="1"/>
  <c r="BL192" i="14" s="1"/>
  <c r="P253" i="14"/>
  <c r="Z253" i="14" s="1"/>
  <c r="BL201" i="14" s="1"/>
  <c r="R250" i="14"/>
  <c r="AB250" i="14" s="1"/>
  <c r="BL216" i="14" s="1"/>
  <c r="R255" i="14"/>
  <c r="AB255" i="14" s="1"/>
  <c r="BL221" i="14" s="1"/>
  <c r="Q254" i="14"/>
  <c r="AA254" i="14" s="1"/>
  <c r="BL211" i="14" s="1"/>
  <c r="R256" i="14"/>
  <c r="AB256" i="14" s="1"/>
  <c r="BL222" i="14" s="1"/>
  <c r="P255" i="14"/>
  <c r="Z255" i="14" s="1"/>
  <c r="BL203" i="14" s="1"/>
  <c r="R257" i="14"/>
  <c r="AB257" i="14" s="1"/>
  <c r="BL223" i="14" s="1"/>
  <c r="AA250" i="14"/>
  <c r="BL207" i="14" s="1"/>
  <c r="P254" i="14"/>
  <c r="Z254" i="14" s="1"/>
  <c r="BL202" i="14" s="1"/>
  <c r="Q255" i="14"/>
  <c r="AA255" i="14" s="1"/>
  <c r="BL212" i="14" s="1"/>
  <c r="Q256" i="14"/>
  <c r="AA256" i="14" s="1"/>
  <c r="BL213" i="14" s="1"/>
  <c r="Q253" i="14"/>
  <c r="AA253" i="14" s="1"/>
  <c r="BL210" i="14" s="1"/>
  <c r="AA251" i="14"/>
  <c r="BL208" i="14" s="1"/>
  <c r="Q252" i="14"/>
  <c r="AA252" i="14" s="1"/>
  <c r="BL209" i="14" s="1"/>
  <c r="P256" i="14"/>
  <c r="Z256" i="14" s="1"/>
  <c r="BL204" i="14" s="1"/>
  <c r="O256" i="14"/>
  <c r="Y256" i="14" s="1"/>
  <c r="BL195" i="14" s="1"/>
  <c r="O254" i="14"/>
  <c r="Y254" i="14" s="1"/>
  <c r="BL193" i="14" s="1"/>
  <c r="Z252" i="14"/>
  <c r="BL200" i="14" s="1"/>
  <c r="O257" i="14"/>
  <c r="Y257" i="14" s="1"/>
  <c r="BL196" i="14" s="1"/>
  <c r="O255" i="14"/>
  <c r="Y255" i="14" s="1"/>
  <c r="BL194" i="14" s="1"/>
  <c r="E27" i="21" l="1"/>
  <c r="F27" i="21" s="1"/>
  <c r="G27" i="21" s="1"/>
  <c r="H27" i="21" s="1"/>
  <c r="BM4" i="22"/>
  <c r="BM65" i="22" s="1"/>
  <c r="BN65" i="22" s="1"/>
  <c r="BO65" i="22" s="1"/>
  <c r="AB26" i="21"/>
  <c r="AC26" i="21" s="1"/>
  <c r="Y27" i="21"/>
  <c r="Z27" i="21" s="1"/>
  <c r="AA27" i="21" s="1"/>
  <c r="AI27" i="21"/>
  <c r="AJ27" i="21" s="1"/>
  <c r="AK27" i="21" s="1"/>
  <c r="BC27" i="21"/>
  <c r="BD27" i="21" s="1"/>
  <c r="BE27" i="21" s="1"/>
  <c r="BP26" i="21"/>
  <c r="BQ26" i="21" s="1"/>
  <c r="BF26" i="21"/>
  <c r="BG26" i="21" s="1"/>
  <c r="AL26" i="21"/>
  <c r="AM26" i="21" s="1"/>
  <c r="BZ26" i="21"/>
  <c r="CA26" i="21" s="1"/>
  <c r="BM27" i="21"/>
  <c r="BN27" i="21" s="1"/>
  <c r="BO27" i="21" s="1"/>
  <c r="O27" i="21"/>
  <c r="P27" i="21" s="1"/>
  <c r="Q27" i="21" s="1"/>
  <c r="BW27" i="21"/>
  <c r="BX27" i="21" s="1"/>
  <c r="BY27" i="21" s="1"/>
  <c r="BU4" i="22"/>
  <c r="BU65" i="22" s="1"/>
  <c r="BV65" i="22" s="1"/>
  <c r="BW65" i="22" s="1"/>
  <c r="BE4" i="22"/>
  <c r="BF4" i="22" s="1"/>
  <c r="BG4" i="22" s="1"/>
  <c r="AS27" i="21"/>
  <c r="AT27" i="21" s="1"/>
  <c r="AU27" i="21" s="1"/>
  <c r="AV26" i="21"/>
  <c r="AW26" i="21" s="1"/>
  <c r="H26" i="21"/>
  <c r="I26" i="21" s="1"/>
  <c r="R26" i="21"/>
  <c r="S26" i="21" s="1"/>
  <c r="E28" i="21" l="1"/>
  <c r="F28" i="21" s="1"/>
  <c r="G28" i="21" s="1"/>
  <c r="H28" i="21" s="1"/>
  <c r="I28" i="21" s="1"/>
  <c r="BN4" i="22"/>
  <c r="BO4" i="22" s="1"/>
  <c r="Y28" i="21"/>
  <c r="Z28" i="21" s="1"/>
  <c r="AA28" i="21" s="1"/>
  <c r="BM5" i="22"/>
  <c r="BM66" i="22" s="1"/>
  <c r="BN66" i="22" s="1"/>
  <c r="BO66" i="22" s="1"/>
  <c r="AI28" i="21"/>
  <c r="AJ28" i="21" s="1"/>
  <c r="AK28" i="21" s="1"/>
  <c r="AL28" i="21" s="1"/>
  <c r="AB27" i="21"/>
  <c r="AC27" i="21" s="1"/>
  <c r="BE65" i="22"/>
  <c r="BF65" i="22" s="1"/>
  <c r="BG65" i="22" s="1"/>
  <c r="AS28" i="21"/>
  <c r="AT28" i="21" s="1"/>
  <c r="AU28" i="21" s="1"/>
  <c r="BM28" i="21"/>
  <c r="BN28" i="21" s="1"/>
  <c r="BO28" i="21" s="1"/>
  <c r="BF27" i="21"/>
  <c r="BG27" i="21" s="1"/>
  <c r="BC28" i="21"/>
  <c r="BD28" i="21" s="1"/>
  <c r="BE28" i="21" s="1"/>
  <c r="BW28" i="21"/>
  <c r="BX28" i="21" s="1"/>
  <c r="BY28" i="21" s="1"/>
  <c r="BP27" i="21"/>
  <c r="BQ27" i="21" s="1"/>
  <c r="BU5" i="22"/>
  <c r="BU66" i="22" s="1"/>
  <c r="BV66" i="22" s="1"/>
  <c r="BW66" i="22" s="1"/>
  <c r="BV4" i="22"/>
  <c r="BW4" i="22" s="1"/>
  <c r="O28" i="21"/>
  <c r="P28" i="21" s="1"/>
  <c r="Q28" i="21" s="1"/>
  <c r="BE5" i="22"/>
  <c r="BE66" i="22" s="1"/>
  <c r="I27" i="21"/>
  <c r="AL27" i="21"/>
  <c r="AM27" i="21" s="1"/>
  <c r="R27" i="21"/>
  <c r="S27" i="21" s="1"/>
  <c r="AV27" i="21"/>
  <c r="AW27" i="21" s="1"/>
  <c r="BZ27" i="21"/>
  <c r="CA27" i="21" s="1"/>
  <c r="AS29" i="21" l="1"/>
  <c r="AT29" i="21" s="1"/>
  <c r="AU29" i="21" s="1"/>
  <c r="E29" i="21"/>
  <c r="E30" i="21" s="1"/>
  <c r="AI29" i="21"/>
  <c r="AJ29" i="21" s="1"/>
  <c r="AK29" i="21" s="1"/>
  <c r="BF66" i="22"/>
  <c r="BG66" i="22" s="1"/>
  <c r="Y29" i="21"/>
  <c r="Z29" i="21" s="1"/>
  <c r="AA29" i="21" s="1"/>
  <c r="AB28" i="21"/>
  <c r="AC28" i="21" s="1"/>
  <c r="BN5" i="22"/>
  <c r="BO5" i="22" s="1"/>
  <c r="AV28" i="21"/>
  <c r="AW28" i="21" s="1"/>
  <c r="BM6" i="22"/>
  <c r="BM67" i="22" s="1"/>
  <c r="BN67" i="22" s="1"/>
  <c r="BO67" i="22" s="1"/>
  <c r="BE6" i="22"/>
  <c r="BE67" i="22" s="1"/>
  <c r="BF67" i="22" s="1"/>
  <c r="BG67" i="22" s="1"/>
  <c r="BM29" i="21"/>
  <c r="BN29" i="21" s="1"/>
  <c r="BO29" i="21" s="1"/>
  <c r="BW29" i="21"/>
  <c r="BX29" i="21" s="1"/>
  <c r="BY29" i="21" s="1"/>
  <c r="BC29" i="21"/>
  <c r="BD29" i="21" s="1"/>
  <c r="BE29" i="21" s="1"/>
  <c r="BF29" i="21" s="1"/>
  <c r="BP28" i="21"/>
  <c r="BQ28" i="21" s="1"/>
  <c r="BV5" i="22"/>
  <c r="BW5" i="22" s="1"/>
  <c r="BF28" i="21"/>
  <c r="BG28" i="21" s="1"/>
  <c r="BF5" i="22"/>
  <c r="BG5" i="22" s="1"/>
  <c r="O29" i="21"/>
  <c r="P29" i="21" s="1"/>
  <c r="Q29" i="21" s="1"/>
  <c r="BU6" i="22"/>
  <c r="BU67" i="22" s="1"/>
  <c r="AM28" i="21"/>
  <c r="R28" i="21"/>
  <c r="S28" i="21" s="1"/>
  <c r="BZ28" i="21"/>
  <c r="CA28" i="21" s="1"/>
  <c r="AI30" i="21" l="1"/>
  <c r="AJ30" i="21" s="1"/>
  <c r="AK30" i="21" s="1"/>
  <c r="AL30" i="21" s="1"/>
  <c r="AS30" i="21"/>
  <c r="AT30" i="21" s="1"/>
  <c r="AU30" i="21" s="1"/>
  <c r="AV29" i="21"/>
  <c r="AW29" i="21" s="1"/>
  <c r="AL29" i="21"/>
  <c r="AM29" i="21" s="1"/>
  <c r="F29" i="21"/>
  <c r="G29" i="21" s="1"/>
  <c r="H29" i="21" s="1"/>
  <c r="I29" i="21" s="1"/>
  <c r="Y30" i="21"/>
  <c r="Z30" i="21" s="1"/>
  <c r="AA30" i="21" s="1"/>
  <c r="BF6" i="22"/>
  <c r="BG6" i="22" s="1"/>
  <c r="BN6" i="22"/>
  <c r="BO6" i="22" s="1"/>
  <c r="BP29" i="21"/>
  <c r="BQ29" i="21" s="1"/>
  <c r="BM8" i="22" s="1"/>
  <c r="BM69" i="22" s="1"/>
  <c r="BM7" i="22"/>
  <c r="BM68" i="22" s="1"/>
  <c r="BN68" i="22" s="1"/>
  <c r="BO68" i="22" s="1"/>
  <c r="BW30" i="21"/>
  <c r="BX30" i="21" s="1"/>
  <c r="BY30" i="21" s="1"/>
  <c r="BZ29" i="21"/>
  <c r="CA29" i="21" s="1"/>
  <c r="BE7" i="22"/>
  <c r="BE68" i="22" s="1"/>
  <c r="BF68" i="22" s="1"/>
  <c r="BG68" i="22" s="1"/>
  <c r="BM30" i="21"/>
  <c r="BN30" i="21" s="1"/>
  <c r="BO30" i="21" s="1"/>
  <c r="BC30" i="21"/>
  <c r="BD30" i="21" s="1"/>
  <c r="BE30" i="21" s="1"/>
  <c r="R29" i="21"/>
  <c r="S29" i="21" s="1"/>
  <c r="BG29" i="21"/>
  <c r="O30" i="21"/>
  <c r="P30" i="21" s="1"/>
  <c r="Q30" i="21" s="1"/>
  <c r="BV6" i="22"/>
  <c r="BW6" i="22" s="1"/>
  <c r="BU7" i="22"/>
  <c r="BV67" i="22"/>
  <c r="BW67" i="22" s="1"/>
  <c r="AB29" i="21"/>
  <c r="AC29" i="21" s="1"/>
  <c r="E31" i="21"/>
  <c r="F30" i="21"/>
  <c r="G30" i="21" s="1"/>
  <c r="H30" i="21" s="1"/>
  <c r="AI31" i="21" l="1"/>
  <c r="AJ31" i="21" s="1"/>
  <c r="AK31" i="21" s="1"/>
  <c r="Y31" i="21"/>
  <c r="Z31" i="21" s="1"/>
  <c r="AA31" i="21" s="1"/>
  <c r="AB31" i="21" s="1"/>
  <c r="AS31" i="21"/>
  <c r="AT31" i="21" s="1"/>
  <c r="AU31" i="21" s="1"/>
  <c r="AM30" i="21"/>
  <c r="I30" i="21"/>
  <c r="AB30" i="21"/>
  <c r="AC30" i="21" s="1"/>
  <c r="BN7" i="22"/>
  <c r="BO7" i="22" s="1"/>
  <c r="BW31" i="21"/>
  <c r="BX31" i="21" s="1"/>
  <c r="BY31" i="21" s="1"/>
  <c r="BF7" i="22"/>
  <c r="BG7" i="22" s="1"/>
  <c r="BF30" i="21"/>
  <c r="BG30" i="21" s="1"/>
  <c r="BE9" i="22" s="1"/>
  <c r="BC31" i="21"/>
  <c r="BD31" i="21" s="1"/>
  <c r="BE31" i="21" s="1"/>
  <c r="BP30" i="21"/>
  <c r="BQ30" i="21" s="1"/>
  <c r="BM9" i="22" s="1"/>
  <c r="O31" i="21"/>
  <c r="P31" i="21" s="1"/>
  <c r="Q31" i="21" s="1"/>
  <c r="BM31" i="21"/>
  <c r="BN31" i="21" s="1"/>
  <c r="BO31" i="21" s="1"/>
  <c r="BE8" i="22"/>
  <c r="BF8" i="22" s="1"/>
  <c r="BG8" i="22" s="1"/>
  <c r="R30" i="21"/>
  <c r="S30" i="21" s="1"/>
  <c r="BV7" i="22"/>
  <c r="BW7" i="22" s="1"/>
  <c r="BU68" i="22"/>
  <c r="BV68" i="22" s="1"/>
  <c r="BW68" i="22" s="1"/>
  <c r="BN69" i="22"/>
  <c r="BO69" i="22" s="1"/>
  <c r="BU8" i="22"/>
  <c r="BU69" i="22" s="1"/>
  <c r="BN8" i="22"/>
  <c r="BO8" i="22" s="1"/>
  <c r="E32" i="21"/>
  <c r="F31" i="21"/>
  <c r="G31" i="21" s="1"/>
  <c r="H31" i="21" s="1"/>
  <c r="I31" i="21" s="1"/>
  <c r="AV30" i="21"/>
  <c r="AW30" i="21" s="1"/>
  <c r="BZ30" i="21"/>
  <c r="CA30" i="21" s="1"/>
  <c r="Y32" i="21" l="1"/>
  <c r="Z32" i="21" s="1"/>
  <c r="AA32" i="21" s="1"/>
  <c r="AL31" i="21"/>
  <c r="AM31" i="21" s="1"/>
  <c r="AI32" i="21"/>
  <c r="AJ32" i="21" s="1"/>
  <c r="AK32" i="21" s="1"/>
  <c r="AC31" i="21"/>
  <c r="AV31" i="21"/>
  <c r="AW31" i="21" s="1"/>
  <c r="AS32" i="21"/>
  <c r="AT32" i="21" s="1"/>
  <c r="AU32" i="21" s="1"/>
  <c r="AV32" i="21" s="1"/>
  <c r="O32" i="21"/>
  <c r="P32" i="21" s="1"/>
  <c r="Q32" i="21" s="1"/>
  <c r="R32" i="21" s="1"/>
  <c r="BP31" i="21"/>
  <c r="BQ31" i="21" s="1"/>
  <c r="BM10" i="22" s="1"/>
  <c r="BM71" i="22" s="1"/>
  <c r="BC32" i="21"/>
  <c r="BD32" i="21" s="1"/>
  <c r="BE32" i="21" s="1"/>
  <c r="BZ31" i="21"/>
  <c r="CA31" i="21" s="1"/>
  <c r="BW32" i="21"/>
  <c r="BX32" i="21" s="1"/>
  <c r="BY32" i="21" s="1"/>
  <c r="R31" i="21"/>
  <c r="S31" i="21" s="1"/>
  <c r="BE69" i="22"/>
  <c r="BF69" i="22" s="1"/>
  <c r="BG69" i="22" s="1"/>
  <c r="BM32" i="21"/>
  <c r="BN32" i="21" s="1"/>
  <c r="BO32" i="21" s="1"/>
  <c r="BF31" i="21"/>
  <c r="BG31" i="21" s="1"/>
  <c r="BE10" i="22" s="1"/>
  <c r="BF9" i="22"/>
  <c r="BG9" i="22" s="1"/>
  <c r="BE70" i="22"/>
  <c r="BN9" i="22"/>
  <c r="BO9" i="22" s="1"/>
  <c r="BM70" i="22"/>
  <c r="BN70" i="22" s="1"/>
  <c r="BO70" i="22" s="1"/>
  <c r="BV69" i="22"/>
  <c r="BW69" i="22" s="1"/>
  <c r="BV8" i="22"/>
  <c r="BW8" i="22" s="1"/>
  <c r="BU9" i="22"/>
  <c r="BU70" i="22" s="1"/>
  <c r="E33" i="21"/>
  <c r="F32" i="21"/>
  <c r="G32" i="21" s="1"/>
  <c r="H32" i="21" s="1"/>
  <c r="I32" i="21" s="1"/>
  <c r="AI33" i="21" l="1"/>
  <c r="AJ33" i="21" s="1"/>
  <c r="AK33" i="21" s="1"/>
  <c r="AL32" i="21"/>
  <c r="AM32" i="21" s="1"/>
  <c r="AB32" i="21"/>
  <c r="AC32" i="21" s="1"/>
  <c r="Y33" i="21"/>
  <c r="Z33" i="21" s="1"/>
  <c r="AA33" i="21" s="1"/>
  <c r="AB33" i="21" s="1"/>
  <c r="BM33" i="21"/>
  <c r="BN33" i="21" s="1"/>
  <c r="BO33" i="21" s="1"/>
  <c r="AS33" i="21"/>
  <c r="AT33" i="21" s="1"/>
  <c r="AU33" i="21" s="1"/>
  <c r="AW32" i="21"/>
  <c r="O33" i="21"/>
  <c r="P33" i="21" s="1"/>
  <c r="Q33" i="21" s="1"/>
  <c r="BC33" i="21"/>
  <c r="BD33" i="21" s="1"/>
  <c r="BE33" i="21" s="1"/>
  <c r="S32" i="21"/>
  <c r="BF32" i="21"/>
  <c r="BG32" i="21" s="1"/>
  <c r="BE11" i="22" s="1"/>
  <c r="BW33" i="21"/>
  <c r="BX33" i="21" s="1"/>
  <c r="BY33" i="21" s="1"/>
  <c r="BZ32" i="21"/>
  <c r="CA32" i="21" s="1"/>
  <c r="BU11" i="22" s="1"/>
  <c r="BU72" i="22" s="1"/>
  <c r="BP32" i="21"/>
  <c r="BQ32" i="21" s="1"/>
  <c r="BM11" i="22" s="1"/>
  <c r="BM72" i="22" s="1"/>
  <c r="BN71" i="22"/>
  <c r="BO71" i="22" s="1"/>
  <c r="BF70" i="22"/>
  <c r="BG70" i="22" s="1"/>
  <c r="BF10" i="22"/>
  <c r="BG10" i="22" s="1"/>
  <c r="BE71" i="22"/>
  <c r="BF71" i="22" s="1"/>
  <c r="BG71" i="22" s="1"/>
  <c r="BU10" i="22"/>
  <c r="BV9" i="22"/>
  <c r="BW9" i="22" s="1"/>
  <c r="BV70" i="22"/>
  <c r="BW70" i="22" s="1"/>
  <c r="BN10" i="22"/>
  <c r="BO10" i="22" s="1"/>
  <c r="E34" i="21"/>
  <c r="F33" i="21"/>
  <c r="G33" i="21" s="1"/>
  <c r="AI34" i="21" l="1"/>
  <c r="AJ34" i="21" s="1"/>
  <c r="AK34" i="21" s="1"/>
  <c r="AS34" i="21"/>
  <c r="AT34" i="21" s="1"/>
  <c r="AU34" i="21" s="1"/>
  <c r="Y34" i="21"/>
  <c r="Z34" i="21" s="1"/>
  <c r="AA34" i="21" s="1"/>
  <c r="AC33" i="21"/>
  <c r="BM34" i="21"/>
  <c r="BN34" i="21" s="1"/>
  <c r="BO34" i="21" s="1"/>
  <c r="BC34" i="21"/>
  <c r="BD34" i="21" s="1"/>
  <c r="BE34" i="21" s="1"/>
  <c r="O34" i="21"/>
  <c r="P34" i="21" s="1"/>
  <c r="Q34" i="21" s="1"/>
  <c r="BF33" i="21"/>
  <c r="BG33" i="21" s="1"/>
  <c r="BE12" i="22" s="1"/>
  <c r="BW34" i="21"/>
  <c r="BX34" i="21" s="1"/>
  <c r="BY34" i="21" s="1"/>
  <c r="BV10" i="22"/>
  <c r="BW10" i="22" s="1"/>
  <c r="BU71" i="22"/>
  <c r="BV72" i="22" s="1"/>
  <c r="BW72" i="22" s="1"/>
  <c r="BF11" i="22"/>
  <c r="BG11" i="22" s="1"/>
  <c r="BE72" i="22"/>
  <c r="BF72" i="22" s="1"/>
  <c r="BG72" i="22" s="1"/>
  <c r="BV11" i="22"/>
  <c r="BW11" i="22" s="1"/>
  <c r="BN11" i="22"/>
  <c r="BO11" i="22" s="1"/>
  <c r="BN72" i="22"/>
  <c r="BO72" i="22" s="1"/>
  <c r="BZ33" i="21"/>
  <c r="CA33" i="21" s="1"/>
  <c r="H33" i="21"/>
  <c r="I33" i="21" s="1"/>
  <c r="AV33" i="21"/>
  <c r="AW33" i="21" s="1"/>
  <c r="E35" i="21"/>
  <c r="F34" i="21"/>
  <c r="G34" i="21" s="1"/>
  <c r="H34" i="21" s="1"/>
  <c r="BP33" i="21"/>
  <c r="BQ33" i="21" s="1"/>
  <c r="R33" i="21"/>
  <c r="S33" i="21" s="1"/>
  <c r="AL33" i="21"/>
  <c r="AM33" i="21" s="1"/>
  <c r="AL34" i="21" l="1"/>
  <c r="AM34" i="21" s="1"/>
  <c r="AI35" i="21"/>
  <c r="AJ35" i="21" s="1"/>
  <c r="AK35" i="21" s="1"/>
  <c r="O35" i="21"/>
  <c r="P35" i="21" s="1"/>
  <c r="Q35" i="21" s="1"/>
  <c r="AS35" i="21"/>
  <c r="AT35" i="21" s="1"/>
  <c r="AU35" i="21" s="1"/>
  <c r="AV35" i="21" s="1"/>
  <c r="AV34" i="21"/>
  <c r="AW34" i="21" s="1"/>
  <c r="Y35" i="21"/>
  <c r="Z35" i="21" s="1"/>
  <c r="AA35" i="21" s="1"/>
  <c r="BM35" i="21"/>
  <c r="BN35" i="21" s="1"/>
  <c r="BO35" i="21" s="1"/>
  <c r="BP34" i="21"/>
  <c r="BQ34" i="21" s="1"/>
  <c r="BC35" i="21"/>
  <c r="BD35" i="21" s="1"/>
  <c r="BE35" i="21" s="1"/>
  <c r="BZ34" i="21"/>
  <c r="CA34" i="21" s="1"/>
  <c r="BW35" i="21"/>
  <c r="BX35" i="21" s="1"/>
  <c r="BY35" i="21" s="1"/>
  <c r="BZ35" i="21" s="1"/>
  <c r="I34" i="21"/>
  <c r="BF12" i="22"/>
  <c r="BG12" i="22" s="1"/>
  <c r="BE73" i="22"/>
  <c r="BF73" i="22" s="1"/>
  <c r="BG73" i="22" s="1"/>
  <c r="BV71" i="22"/>
  <c r="BW71" i="22" s="1"/>
  <c r="BM12" i="22"/>
  <c r="BM73" i="22" s="1"/>
  <c r="BU12" i="22"/>
  <c r="BU73" i="22" s="1"/>
  <c r="R34" i="21"/>
  <c r="S34" i="21" s="1"/>
  <c r="BF34" i="21"/>
  <c r="BG34" i="21" s="1"/>
  <c r="AB34" i="21"/>
  <c r="AC34" i="21" s="1"/>
  <c r="E36" i="21"/>
  <c r="F35" i="21"/>
  <c r="G35" i="21" s="1"/>
  <c r="H35" i="21" s="1"/>
  <c r="I35" i="21" s="1"/>
  <c r="AI36" i="21" l="1"/>
  <c r="AJ36" i="21" s="1"/>
  <c r="AK36" i="21" s="1"/>
  <c r="AL35" i="21"/>
  <c r="AM35" i="21" s="1"/>
  <c r="O36" i="21"/>
  <c r="P36" i="21" s="1"/>
  <c r="Q36" i="21" s="1"/>
  <c r="R35" i="21"/>
  <c r="S35" i="21" s="1"/>
  <c r="AW35" i="21"/>
  <c r="AS36" i="21"/>
  <c r="AT36" i="21" s="1"/>
  <c r="AU36" i="21" s="1"/>
  <c r="AB35" i="21"/>
  <c r="AC35" i="21" s="1"/>
  <c r="Y36" i="21"/>
  <c r="Z36" i="21" s="1"/>
  <c r="AA36" i="21" s="1"/>
  <c r="BP35" i="21"/>
  <c r="BQ35" i="21" s="1"/>
  <c r="BM14" i="22" s="1"/>
  <c r="BM75" i="22" s="1"/>
  <c r="BM36" i="21"/>
  <c r="BN36" i="21" s="1"/>
  <c r="BO36" i="21" s="1"/>
  <c r="BP36" i="21" s="1"/>
  <c r="BW36" i="21"/>
  <c r="BX36" i="21" s="1"/>
  <c r="BY36" i="21" s="1"/>
  <c r="BF35" i="21"/>
  <c r="BG35" i="21" s="1"/>
  <c r="BC36" i="21"/>
  <c r="BD36" i="21" s="1"/>
  <c r="BE36" i="21" s="1"/>
  <c r="CA35" i="21"/>
  <c r="BU14" i="22" s="1"/>
  <c r="BU75" i="22" s="1"/>
  <c r="BE13" i="22"/>
  <c r="BN12" i="22"/>
  <c r="BO12" i="22" s="1"/>
  <c r="BV12" i="22"/>
  <c r="BW12" i="22" s="1"/>
  <c r="BN73" i="22"/>
  <c r="BO73" i="22" s="1"/>
  <c r="BU13" i="22"/>
  <c r="BU74" i="22" s="1"/>
  <c r="BV74" i="22" s="1"/>
  <c r="BW74" i="22" s="1"/>
  <c r="BM13" i="22"/>
  <c r="BV73" i="22"/>
  <c r="BW73" i="22" s="1"/>
  <c r="F36" i="21"/>
  <c r="G36" i="21" s="1"/>
  <c r="H36" i="21" s="1"/>
  <c r="I36" i="21" s="1"/>
  <c r="E37" i="21"/>
  <c r="AI37" i="21" l="1"/>
  <c r="AJ37" i="21" s="1"/>
  <c r="AK37" i="21" s="1"/>
  <c r="AS37" i="21"/>
  <c r="AT37" i="21" s="1"/>
  <c r="AU37" i="21" s="1"/>
  <c r="R36" i="21"/>
  <c r="S36" i="21" s="1"/>
  <c r="O37" i="21"/>
  <c r="P37" i="21" s="1"/>
  <c r="Q37" i="21" s="1"/>
  <c r="AB36" i="21"/>
  <c r="AC36" i="21" s="1"/>
  <c r="Y37" i="21"/>
  <c r="Z37" i="21" s="1"/>
  <c r="AA37" i="21" s="1"/>
  <c r="BM37" i="21"/>
  <c r="BN37" i="21" s="1"/>
  <c r="BO37" i="21" s="1"/>
  <c r="BQ36" i="21"/>
  <c r="BM15" i="22" s="1"/>
  <c r="BW37" i="21"/>
  <c r="BX37" i="21" s="1"/>
  <c r="BY37" i="21" s="1"/>
  <c r="BC37" i="21"/>
  <c r="BD37" i="21" s="1"/>
  <c r="BE37" i="21" s="1"/>
  <c r="BF36" i="21"/>
  <c r="BG36" i="21" s="1"/>
  <c r="BE15" i="22" s="1"/>
  <c r="BE76" i="22" s="1"/>
  <c r="BN13" i="22"/>
  <c r="BO13" i="22" s="1"/>
  <c r="BM74" i="22"/>
  <c r="BF13" i="22"/>
  <c r="BG13" i="22" s="1"/>
  <c r="BE74" i="22"/>
  <c r="BF74" i="22" s="1"/>
  <c r="BG74" i="22" s="1"/>
  <c r="BV75" i="22"/>
  <c r="BW75" i="22" s="1"/>
  <c r="BN14" i="22"/>
  <c r="BO14" i="22" s="1"/>
  <c r="BE14" i="22"/>
  <c r="BV13" i="22"/>
  <c r="BW13" i="22" s="1"/>
  <c r="BV14" i="22"/>
  <c r="BW14" i="22" s="1"/>
  <c r="AL36" i="21"/>
  <c r="AM36" i="21" s="1"/>
  <c r="AV36" i="21"/>
  <c r="AW36" i="21" s="1"/>
  <c r="BZ36" i="21"/>
  <c r="CA36" i="21" s="1"/>
  <c r="E38" i="21"/>
  <c r="F37" i="21"/>
  <c r="G37" i="21" s="1"/>
  <c r="H37" i="21" s="1"/>
  <c r="I37" i="21" s="1"/>
  <c r="AL37" i="21" l="1"/>
  <c r="AM37" i="21" s="1"/>
  <c r="AS38" i="21"/>
  <c r="AT38" i="21" s="1"/>
  <c r="AU38" i="21" s="1"/>
  <c r="AI38" i="21"/>
  <c r="AJ38" i="21" s="1"/>
  <c r="AK38" i="21" s="1"/>
  <c r="BM38" i="21"/>
  <c r="BN38" i="21" s="1"/>
  <c r="BO38" i="21" s="1"/>
  <c r="AV37" i="21"/>
  <c r="AW37" i="21" s="1"/>
  <c r="O38" i="21"/>
  <c r="P38" i="21" s="1"/>
  <c r="Q38" i="21" s="1"/>
  <c r="Y38" i="21"/>
  <c r="Z38" i="21" s="1"/>
  <c r="AA38" i="21" s="1"/>
  <c r="BP37" i="21"/>
  <c r="BQ37" i="21" s="1"/>
  <c r="BM16" i="22" s="1"/>
  <c r="AB37" i="21"/>
  <c r="AC37" i="21" s="1"/>
  <c r="BZ37" i="21"/>
  <c r="CA37" i="21" s="1"/>
  <c r="BW38" i="21"/>
  <c r="BX38" i="21" s="1"/>
  <c r="BY38" i="21" s="1"/>
  <c r="BC38" i="21"/>
  <c r="BD38" i="21" s="1"/>
  <c r="BE38" i="21" s="1"/>
  <c r="BF37" i="21"/>
  <c r="BG37" i="21" s="1"/>
  <c r="BE16" i="22" s="1"/>
  <c r="BF14" i="22"/>
  <c r="BG14" i="22" s="1"/>
  <c r="BE75" i="22"/>
  <c r="BF76" i="22" s="1"/>
  <c r="BG76" i="22" s="1"/>
  <c r="BN15" i="22"/>
  <c r="BO15" i="22" s="1"/>
  <c r="BM76" i="22"/>
  <c r="BN76" i="22" s="1"/>
  <c r="BO76" i="22" s="1"/>
  <c r="BN74" i="22"/>
  <c r="BO74" i="22" s="1"/>
  <c r="BN75" i="22"/>
  <c r="BO75" i="22" s="1"/>
  <c r="BF15" i="22"/>
  <c r="BG15" i="22" s="1"/>
  <c r="BU15" i="22"/>
  <c r="BU76" i="22" s="1"/>
  <c r="R37" i="21"/>
  <c r="S37" i="21" s="1"/>
  <c r="E39" i="21"/>
  <c r="F38" i="21"/>
  <c r="G38" i="21" s="1"/>
  <c r="H38" i="21" s="1"/>
  <c r="I38" i="21" s="1"/>
  <c r="AI39" i="21" l="1"/>
  <c r="AJ39" i="21" s="1"/>
  <c r="AK39" i="21" s="1"/>
  <c r="AS39" i="21"/>
  <c r="AT39" i="21" s="1"/>
  <c r="AU39" i="21" s="1"/>
  <c r="AV38" i="21"/>
  <c r="AW38" i="21" s="1"/>
  <c r="BP38" i="21"/>
  <c r="BQ38" i="21" s="1"/>
  <c r="BM17" i="22" s="1"/>
  <c r="BM78" i="22" s="1"/>
  <c r="BM39" i="21"/>
  <c r="BN39" i="21" s="1"/>
  <c r="BO39" i="21" s="1"/>
  <c r="O39" i="21"/>
  <c r="P39" i="21" s="1"/>
  <c r="Q39" i="21" s="1"/>
  <c r="Y39" i="21"/>
  <c r="Z39" i="21" s="1"/>
  <c r="AA39" i="21" s="1"/>
  <c r="BW39" i="21"/>
  <c r="BX39" i="21" s="1"/>
  <c r="BY39" i="21" s="1"/>
  <c r="BZ38" i="21"/>
  <c r="CA38" i="21" s="1"/>
  <c r="BU17" i="22" s="1"/>
  <c r="BU78" i="22" s="1"/>
  <c r="BF38" i="21"/>
  <c r="BG38" i="21" s="1"/>
  <c r="BE17" i="22" s="1"/>
  <c r="BC39" i="21"/>
  <c r="BD39" i="21" s="1"/>
  <c r="BE39" i="21" s="1"/>
  <c r="BF39" i="21" s="1"/>
  <c r="BF75" i="22"/>
  <c r="BG75" i="22" s="1"/>
  <c r="BF16" i="22"/>
  <c r="BG16" i="22" s="1"/>
  <c r="BE77" i="22"/>
  <c r="BF77" i="22" s="1"/>
  <c r="BG77" i="22" s="1"/>
  <c r="BN16" i="22"/>
  <c r="BO16" i="22" s="1"/>
  <c r="BM77" i="22"/>
  <c r="BN77" i="22" s="1"/>
  <c r="BO77" i="22" s="1"/>
  <c r="BV15" i="22"/>
  <c r="BW15" i="22" s="1"/>
  <c r="BU16" i="22"/>
  <c r="BU77" i="22" s="1"/>
  <c r="BV76" i="22"/>
  <c r="BW76" i="22" s="1"/>
  <c r="AL38" i="21"/>
  <c r="AM38" i="21" s="1"/>
  <c r="F39" i="21"/>
  <c r="G39" i="21" s="1"/>
  <c r="H39" i="21" s="1"/>
  <c r="I39" i="21" s="1"/>
  <c r="E40" i="21"/>
  <c r="AB38" i="21"/>
  <c r="AC38" i="21" s="1"/>
  <c r="R38" i="21"/>
  <c r="S38" i="21" s="1"/>
  <c r="AL39" i="21" l="1"/>
  <c r="AM39" i="21" s="1"/>
  <c r="AI40" i="21"/>
  <c r="AJ40" i="21" s="1"/>
  <c r="AK40" i="21" s="1"/>
  <c r="AS40" i="21"/>
  <c r="AT40" i="21" s="1"/>
  <c r="AU40" i="21" s="1"/>
  <c r="AV39" i="21"/>
  <c r="AW39" i="21" s="1"/>
  <c r="BP39" i="21"/>
  <c r="BQ39" i="21" s="1"/>
  <c r="BM18" i="22" s="1"/>
  <c r="BM79" i="22" s="1"/>
  <c r="BM40" i="21"/>
  <c r="BN40" i="21" s="1"/>
  <c r="BO40" i="21" s="1"/>
  <c r="Y40" i="21"/>
  <c r="Z40" i="21" s="1"/>
  <c r="AA40" i="21" s="1"/>
  <c r="R39" i="21"/>
  <c r="S39" i="21" s="1"/>
  <c r="O40" i="21"/>
  <c r="P40" i="21" s="1"/>
  <c r="Q40" i="21" s="1"/>
  <c r="BW40" i="21"/>
  <c r="BX40" i="21" s="1"/>
  <c r="BY40" i="21" s="1"/>
  <c r="BZ39" i="21"/>
  <c r="CA39" i="21" s="1"/>
  <c r="BU18" i="22" s="1"/>
  <c r="BU79" i="22" s="1"/>
  <c r="AB39" i="21"/>
  <c r="AC39" i="21" s="1"/>
  <c r="BC40" i="21"/>
  <c r="BD40" i="21" s="1"/>
  <c r="BE40" i="21" s="1"/>
  <c r="BG39" i="21"/>
  <c r="BE18" i="22" s="1"/>
  <c r="BF17" i="22"/>
  <c r="BG17" i="22" s="1"/>
  <c r="BE78" i="22"/>
  <c r="BF78" i="22" s="1"/>
  <c r="BG78" i="22" s="1"/>
  <c r="BN17" i="22"/>
  <c r="BO17" i="22" s="1"/>
  <c r="BV16" i="22"/>
  <c r="BW16" i="22" s="1"/>
  <c r="BV77" i="22"/>
  <c r="BW77" i="22" s="1"/>
  <c r="BV78" i="22"/>
  <c r="BW78" i="22" s="1"/>
  <c r="BV17" i="22"/>
  <c r="BW17" i="22" s="1"/>
  <c r="BN78" i="22"/>
  <c r="BO78" i="22" s="1"/>
  <c r="F40" i="21"/>
  <c r="G40" i="21" s="1"/>
  <c r="H40" i="21" s="1"/>
  <c r="I40" i="21" s="1"/>
  <c r="E41" i="21"/>
  <c r="AI41" i="21" l="1"/>
  <c r="AJ41" i="21" s="1"/>
  <c r="AK41" i="21" s="1"/>
  <c r="AL40" i="21"/>
  <c r="AM40" i="21" s="1"/>
  <c r="AS41" i="21"/>
  <c r="AT41" i="21" s="1"/>
  <c r="AU41" i="21" s="1"/>
  <c r="AV40" i="21"/>
  <c r="AW40" i="21" s="1"/>
  <c r="Y41" i="21"/>
  <c r="Z41" i="21" s="1"/>
  <c r="AA41" i="21" s="1"/>
  <c r="AB40" i="21"/>
  <c r="AC40" i="21" s="1"/>
  <c r="BM41" i="21"/>
  <c r="BN41" i="21" s="1"/>
  <c r="BO41" i="21" s="1"/>
  <c r="BP40" i="21"/>
  <c r="BQ40" i="21" s="1"/>
  <c r="BM19" i="22" s="1"/>
  <c r="R40" i="21"/>
  <c r="S40" i="21" s="1"/>
  <c r="O41" i="21"/>
  <c r="P41" i="21" s="1"/>
  <c r="Q41" i="21" s="1"/>
  <c r="BZ40" i="21"/>
  <c r="CA40" i="21" s="1"/>
  <c r="BU19" i="22" s="1"/>
  <c r="BW41" i="21"/>
  <c r="BX41" i="21" s="1"/>
  <c r="BY41" i="21" s="1"/>
  <c r="BF40" i="21"/>
  <c r="BG40" i="21" s="1"/>
  <c r="BE19" i="22" s="1"/>
  <c r="BC41" i="21"/>
  <c r="BD41" i="21" s="1"/>
  <c r="BE41" i="21" s="1"/>
  <c r="BF18" i="22"/>
  <c r="BG18" i="22" s="1"/>
  <c r="BE79" i="22"/>
  <c r="BF79" i="22" s="1"/>
  <c r="BG79" i="22" s="1"/>
  <c r="BN79" i="22"/>
  <c r="BO79" i="22" s="1"/>
  <c r="BV18" i="22"/>
  <c r="BW18" i="22" s="1"/>
  <c r="BV79" i="22"/>
  <c r="BW79" i="22" s="1"/>
  <c r="BN18" i="22"/>
  <c r="BO18" i="22" s="1"/>
  <c r="E42" i="21"/>
  <c r="F41" i="21"/>
  <c r="G41" i="21" s="1"/>
  <c r="H41" i="21" s="1"/>
  <c r="I41" i="21" s="1"/>
  <c r="AL41" i="21" l="1"/>
  <c r="AM41" i="21" s="1"/>
  <c r="AI42" i="21"/>
  <c r="AJ42" i="21" s="1"/>
  <c r="AK42" i="21" s="1"/>
  <c r="AS42" i="21"/>
  <c r="AT42" i="21" s="1"/>
  <c r="AU42" i="21" s="1"/>
  <c r="BM42" i="21"/>
  <c r="BN42" i="21" s="1"/>
  <c r="BO42" i="21" s="1"/>
  <c r="AB41" i="21"/>
  <c r="AC41" i="21" s="1"/>
  <c r="Y42" i="21"/>
  <c r="Z42" i="21" s="1"/>
  <c r="AA42" i="21" s="1"/>
  <c r="BP41" i="21"/>
  <c r="BQ41" i="21" s="1"/>
  <c r="BM20" i="22" s="1"/>
  <c r="BM81" i="22" s="1"/>
  <c r="R41" i="21"/>
  <c r="S41" i="21" s="1"/>
  <c r="O42" i="21"/>
  <c r="P42" i="21" s="1"/>
  <c r="Q42" i="21" s="1"/>
  <c r="R42" i="21" s="1"/>
  <c r="BW42" i="21"/>
  <c r="BX42" i="21" s="1"/>
  <c r="BY42" i="21" s="1"/>
  <c r="BF41" i="21"/>
  <c r="BG41" i="21" s="1"/>
  <c r="BE20" i="22" s="1"/>
  <c r="BE81" i="22" s="1"/>
  <c r="BC42" i="21"/>
  <c r="BD42" i="21" s="1"/>
  <c r="BE42" i="21" s="1"/>
  <c r="BF19" i="22"/>
  <c r="BG19" i="22" s="1"/>
  <c r="BE80" i="22"/>
  <c r="BF80" i="22" s="1"/>
  <c r="BG80" i="22" s="1"/>
  <c r="BN19" i="22"/>
  <c r="BO19" i="22" s="1"/>
  <c r="BM80" i="22"/>
  <c r="BN80" i="22" s="1"/>
  <c r="BO80" i="22" s="1"/>
  <c r="BV19" i="22"/>
  <c r="BW19" i="22" s="1"/>
  <c r="BU80" i="22"/>
  <c r="BV80" i="22" s="1"/>
  <c r="BW80" i="22" s="1"/>
  <c r="BZ41" i="21"/>
  <c r="CA41" i="21" s="1"/>
  <c r="E43" i="21"/>
  <c r="F42" i="21"/>
  <c r="G42" i="21" s="1"/>
  <c r="H42" i="21" s="1"/>
  <c r="I42" i="21" s="1"/>
  <c r="AV41" i="21"/>
  <c r="AW41" i="21" s="1"/>
  <c r="AL42" i="21"/>
  <c r="AI43" i="21"/>
  <c r="AJ43" i="21" s="1"/>
  <c r="AK43" i="21" s="1"/>
  <c r="AM42" i="21" l="1"/>
  <c r="AV42" i="21"/>
  <c r="AW42" i="21" s="1"/>
  <c r="AS43" i="21"/>
  <c r="AT43" i="21" s="1"/>
  <c r="AU43" i="21" s="1"/>
  <c r="BM43" i="21"/>
  <c r="BN43" i="21" s="1"/>
  <c r="BO43" i="21" s="1"/>
  <c r="AB42" i="21"/>
  <c r="AC42" i="21" s="1"/>
  <c r="Y43" i="21"/>
  <c r="Z43" i="21" s="1"/>
  <c r="AA43" i="21" s="1"/>
  <c r="O43" i="21"/>
  <c r="P43" i="21" s="1"/>
  <c r="Q43" i="21" s="1"/>
  <c r="S42" i="21"/>
  <c r="BW43" i="21"/>
  <c r="BX43" i="21" s="1"/>
  <c r="BY43" i="21" s="1"/>
  <c r="BZ42" i="21"/>
  <c r="CA42" i="21" s="1"/>
  <c r="BF42" i="21"/>
  <c r="BG42" i="21" s="1"/>
  <c r="BE21" i="22" s="1"/>
  <c r="BC43" i="21"/>
  <c r="BD43" i="21" s="1"/>
  <c r="BE43" i="21" s="1"/>
  <c r="BF43" i="21" s="1"/>
  <c r="BF20" i="22"/>
  <c r="BG20" i="22" s="1"/>
  <c r="BN20" i="22"/>
  <c r="BO20" i="22" s="1"/>
  <c r="BU20" i="22"/>
  <c r="BU81" i="22" s="1"/>
  <c r="BF81" i="22"/>
  <c r="BG81" i="22" s="1"/>
  <c r="BN81" i="22"/>
  <c r="BO81" i="22" s="1"/>
  <c r="E44" i="21"/>
  <c r="F43" i="21"/>
  <c r="G43" i="21" s="1"/>
  <c r="BP42" i="21"/>
  <c r="BQ42" i="21" s="1"/>
  <c r="AL43" i="21"/>
  <c r="AM43" i="21" s="1"/>
  <c r="AI44" i="21"/>
  <c r="AJ44" i="21" s="1"/>
  <c r="AK44" i="21" s="1"/>
  <c r="BM44" i="21" l="1"/>
  <c r="BN44" i="21" s="1"/>
  <c r="BO44" i="21" s="1"/>
  <c r="BP43" i="21"/>
  <c r="BQ43" i="21" s="1"/>
  <c r="AS44" i="21"/>
  <c r="AT44" i="21" s="1"/>
  <c r="AU44" i="21" s="1"/>
  <c r="AV43" i="21"/>
  <c r="AW43" i="21" s="1"/>
  <c r="BW44" i="21"/>
  <c r="BX44" i="21" s="1"/>
  <c r="BY44" i="21" s="1"/>
  <c r="Y44" i="21"/>
  <c r="Z44" i="21" s="1"/>
  <c r="AA44" i="21" s="1"/>
  <c r="AB43" i="21"/>
  <c r="AC43" i="21" s="1"/>
  <c r="BZ43" i="21"/>
  <c r="CA43" i="21" s="1"/>
  <c r="BU22" i="22" s="1"/>
  <c r="BU83" i="22" s="1"/>
  <c r="O44" i="21"/>
  <c r="P44" i="21" s="1"/>
  <c r="Q44" i="21" s="1"/>
  <c r="R43" i="21"/>
  <c r="S43" i="21" s="1"/>
  <c r="BC44" i="21"/>
  <c r="BD44" i="21" s="1"/>
  <c r="BE44" i="21" s="1"/>
  <c r="BG43" i="21"/>
  <c r="BE22" i="22" s="1"/>
  <c r="BF21" i="22"/>
  <c r="BG21" i="22" s="1"/>
  <c r="BE82" i="22"/>
  <c r="BF82" i="22" s="1"/>
  <c r="BG82" i="22" s="1"/>
  <c r="BM21" i="22"/>
  <c r="BM82" i="22" s="1"/>
  <c r="BU21" i="22"/>
  <c r="BV20" i="22"/>
  <c r="BW20" i="22" s="1"/>
  <c r="BV81" i="22"/>
  <c r="BW81" i="22" s="1"/>
  <c r="AI45" i="21"/>
  <c r="AJ45" i="21" s="1"/>
  <c r="AK45" i="21" s="1"/>
  <c r="AL44" i="21"/>
  <c r="AM44" i="21" s="1"/>
  <c r="F44" i="21"/>
  <c r="G44" i="21" s="1"/>
  <c r="H44" i="21" s="1"/>
  <c r="E45" i="21"/>
  <c r="H43" i="21"/>
  <c r="I43" i="21" s="1"/>
  <c r="BM45" i="21" l="1"/>
  <c r="BN45" i="21" s="1"/>
  <c r="BO45" i="21" s="1"/>
  <c r="BP44" i="21"/>
  <c r="BQ44" i="21" s="1"/>
  <c r="BM23" i="22" s="1"/>
  <c r="BM84" i="22" s="1"/>
  <c r="AV44" i="21"/>
  <c r="AW44" i="21" s="1"/>
  <c r="AS45" i="21"/>
  <c r="AT45" i="21" s="1"/>
  <c r="AU45" i="21" s="1"/>
  <c r="BW45" i="21"/>
  <c r="BX45" i="21" s="1"/>
  <c r="BY45" i="21" s="1"/>
  <c r="BZ45" i="21" s="1"/>
  <c r="Y45" i="21"/>
  <c r="Z45" i="21" s="1"/>
  <c r="AA45" i="21" s="1"/>
  <c r="AB45" i="21" s="1"/>
  <c r="O45" i="21"/>
  <c r="P45" i="21" s="1"/>
  <c r="Q45" i="21" s="1"/>
  <c r="R44" i="21"/>
  <c r="S44" i="21" s="1"/>
  <c r="AB44" i="21"/>
  <c r="AC44" i="21" s="1"/>
  <c r="BC45" i="21"/>
  <c r="BD45" i="21" s="1"/>
  <c r="BE45" i="21" s="1"/>
  <c r="BF44" i="21"/>
  <c r="BG44" i="21" s="1"/>
  <c r="BE23" i="22" s="1"/>
  <c r="BF22" i="22"/>
  <c r="BG22" i="22" s="1"/>
  <c r="BE83" i="22"/>
  <c r="BF83" i="22" s="1"/>
  <c r="BG83" i="22" s="1"/>
  <c r="BV21" i="22"/>
  <c r="BW21" i="22" s="1"/>
  <c r="BU82" i="22"/>
  <c r="BV82" i="22" s="1"/>
  <c r="BW82" i="22" s="1"/>
  <c r="BV22" i="22"/>
  <c r="BW22" i="22" s="1"/>
  <c r="BM22" i="22"/>
  <c r="BN21" i="22"/>
  <c r="BO21" i="22" s="1"/>
  <c r="BN82" i="22"/>
  <c r="BO82" i="22" s="1"/>
  <c r="I44" i="21"/>
  <c r="BZ44" i="21"/>
  <c r="CA44" i="21" s="1"/>
  <c r="E46" i="21"/>
  <c r="F45" i="21"/>
  <c r="G45" i="21" s="1"/>
  <c r="H45" i="21" s="1"/>
  <c r="I45" i="21" s="1"/>
  <c r="AI46" i="21"/>
  <c r="AJ46" i="21" s="1"/>
  <c r="AK46" i="21" s="1"/>
  <c r="AL45" i="21"/>
  <c r="AM45" i="21" s="1"/>
  <c r="BM46" i="21" l="1"/>
  <c r="BN46" i="21" s="1"/>
  <c r="BO46" i="21" s="1"/>
  <c r="BP45" i="21"/>
  <c r="BQ45" i="21" s="1"/>
  <c r="BM24" i="22" s="1"/>
  <c r="AV45" i="21"/>
  <c r="AW45" i="21" s="1"/>
  <c r="AS46" i="21"/>
  <c r="AT46" i="21" s="1"/>
  <c r="AU46" i="21" s="1"/>
  <c r="BW46" i="21"/>
  <c r="BX46" i="21" s="1"/>
  <c r="BY46" i="21" s="1"/>
  <c r="Y46" i="21"/>
  <c r="Z46" i="21" s="1"/>
  <c r="AA46" i="21" s="1"/>
  <c r="O46" i="21"/>
  <c r="P46" i="21" s="1"/>
  <c r="Q46" i="21" s="1"/>
  <c r="R45" i="21"/>
  <c r="S45" i="21" s="1"/>
  <c r="AC45" i="21"/>
  <c r="BC46" i="21"/>
  <c r="BD46" i="21" s="1"/>
  <c r="BE46" i="21" s="1"/>
  <c r="BF46" i="21" s="1"/>
  <c r="BF45" i="21"/>
  <c r="BG45" i="21" s="1"/>
  <c r="BE24" i="22" s="1"/>
  <c r="BV83" i="22"/>
  <c r="BW83" i="22" s="1"/>
  <c r="BF23" i="22"/>
  <c r="BG23" i="22" s="1"/>
  <c r="BE84" i="22"/>
  <c r="BF84" i="22" s="1"/>
  <c r="BG84" i="22" s="1"/>
  <c r="BN22" i="22"/>
  <c r="BO22" i="22" s="1"/>
  <c r="BM83" i="22"/>
  <c r="BN84" i="22" s="1"/>
  <c r="BO84" i="22" s="1"/>
  <c r="BU23" i="22"/>
  <c r="BU84" i="22" s="1"/>
  <c r="BN23" i="22"/>
  <c r="BO23" i="22" s="1"/>
  <c r="CA45" i="21"/>
  <c r="AI47" i="21"/>
  <c r="AJ47" i="21" s="1"/>
  <c r="AK47" i="21" s="1"/>
  <c r="AL46" i="21"/>
  <c r="AM46" i="21" s="1"/>
  <c r="E47" i="21"/>
  <c r="F46" i="21"/>
  <c r="G46" i="21" s="1"/>
  <c r="H46" i="21" s="1"/>
  <c r="I46" i="21" s="1"/>
  <c r="AS47" i="21" l="1"/>
  <c r="AT47" i="21" s="1"/>
  <c r="AU47" i="21" s="1"/>
  <c r="BP46" i="21"/>
  <c r="BQ46" i="21" s="1"/>
  <c r="BM25" i="22" s="1"/>
  <c r="BM86" i="22" s="1"/>
  <c r="BM47" i="21"/>
  <c r="BN47" i="21" s="1"/>
  <c r="BO47" i="21" s="1"/>
  <c r="O47" i="21"/>
  <c r="P47" i="21" s="1"/>
  <c r="Q47" i="21" s="1"/>
  <c r="AB46" i="21"/>
  <c r="AC46" i="21" s="1"/>
  <c r="Y47" i="21"/>
  <c r="Z47" i="21" s="1"/>
  <c r="AA47" i="21" s="1"/>
  <c r="BW47" i="21"/>
  <c r="BX47" i="21" s="1"/>
  <c r="BY47" i="21" s="1"/>
  <c r="BZ47" i="21" s="1"/>
  <c r="BZ46" i="21"/>
  <c r="CA46" i="21" s="1"/>
  <c r="BU25" i="22" s="1"/>
  <c r="BU86" i="22" s="1"/>
  <c r="BC47" i="21"/>
  <c r="BD47" i="21" s="1"/>
  <c r="BE47" i="21" s="1"/>
  <c r="BG46" i="21"/>
  <c r="BE25" i="22" s="1"/>
  <c r="BN83" i="22"/>
  <c r="BO83" i="22" s="1"/>
  <c r="BF24" i="22"/>
  <c r="BG24" i="22" s="1"/>
  <c r="BE85" i="22"/>
  <c r="BF85" i="22" s="1"/>
  <c r="BG85" i="22" s="1"/>
  <c r="BN24" i="22"/>
  <c r="BO24" i="22" s="1"/>
  <c r="BM85" i="22"/>
  <c r="BN85" i="22" s="1"/>
  <c r="BO85" i="22" s="1"/>
  <c r="BV84" i="22"/>
  <c r="BW84" i="22" s="1"/>
  <c r="BU24" i="22"/>
  <c r="BV23" i="22"/>
  <c r="BW23" i="22" s="1"/>
  <c r="AV46" i="21"/>
  <c r="AW46" i="21" s="1"/>
  <c r="R46" i="21"/>
  <c r="S46" i="21" s="1"/>
  <c r="E48" i="21"/>
  <c r="F47" i="21"/>
  <c r="G47" i="21" s="1"/>
  <c r="H47" i="21" s="1"/>
  <c r="I47" i="21" s="1"/>
  <c r="AI48" i="21"/>
  <c r="AJ48" i="21" s="1"/>
  <c r="AK48" i="21" s="1"/>
  <c r="AL47" i="21"/>
  <c r="AM47" i="21" s="1"/>
  <c r="AS48" i="21" l="1"/>
  <c r="AT48" i="21" s="1"/>
  <c r="AU48" i="21" s="1"/>
  <c r="AV47" i="21"/>
  <c r="AW47" i="21" s="1"/>
  <c r="BM48" i="21"/>
  <c r="BN48" i="21" s="1"/>
  <c r="BO48" i="21" s="1"/>
  <c r="BP47" i="21"/>
  <c r="BQ47" i="21" s="1"/>
  <c r="BM26" i="22" s="1"/>
  <c r="BM87" i="22" s="1"/>
  <c r="Y48" i="21"/>
  <c r="Z48" i="21" s="1"/>
  <c r="AA48" i="21" s="1"/>
  <c r="AB48" i="21" s="1"/>
  <c r="O48" i="21"/>
  <c r="P48" i="21" s="1"/>
  <c r="Q48" i="21" s="1"/>
  <c r="R47" i="21"/>
  <c r="S47" i="21" s="1"/>
  <c r="CA47" i="21"/>
  <c r="BU26" i="22" s="1"/>
  <c r="BU87" i="22" s="1"/>
  <c r="BC48" i="21"/>
  <c r="BD48" i="21" s="1"/>
  <c r="BE48" i="21" s="1"/>
  <c r="BW48" i="21"/>
  <c r="BX48" i="21" s="1"/>
  <c r="BY48" i="21" s="1"/>
  <c r="BF47" i="21"/>
  <c r="BG47" i="21" s="1"/>
  <c r="BE26" i="22" s="1"/>
  <c r="BN86" i="22"/>
  <c r="BO86" i="22" s="1"/>
  <c r="BV24" i="22"/>
  <c r="BW24" i="22" s="1"/>
  <c r="BU85" i="22"/>
  <c r="BV85" i="22" s="1"/>
  <c r="BW85" i="22" s="1"/>
  <c r="BF25" i="22"/>
  <c r="BG25" i="22" s="1"/>
  <c r="BE86" i="22"/>
  <c r="BF86" i="22" s="1"/>
  <c r="BG86" i="22" s="1"/>
  <c r="BN25" i="22"/>
  <c r="BO25" i="22" s="1"/>
  <c r="BV25" i="22"/>
  <c r="BW25" i="22" s="1"/>
  <c r="AB47" i="21"/>
  <c r="AC47" i="21" s="1"/>
  <c r="F48" i="21"/>
  <c r="G48" i="21" s="1"/>
  <c r="H48" i="21" s="1"/>
  <c r="BP48" i="21" l="1"/>
  <c r="BV86" i="22"/>
  <c r="BW86" i="22" s="1"/>
  <c r="BF26" i="22"/>
  <c r="BG26" i="22" s="1"/>
  <c r="BE87" i="22"/>
  <c r="BF87" i="22" s="1"/>
  <c r="BG87" i="22" s="1"/>
  <c r="BV87" i="22"/>
  <c r="BW87" i="22" s="1"/>
  <c r="BN87" i="22"/>
  <c r="BO87" i="22" s="1"/>
  <c r="BN26" i="22"/>
  <c r="BO26" i="22" s="1"/>
  <c r="BV26" i="22"/>
  <c r="BW26" i="22" s="1"/>
  <c r="R48" i="21"/>
  <c r="AC48" i="21"/>
  <c r="BZ48" i="21"/>
  <c r="CA48" i="21" s="1"/>
  <c r="I48" i="21"/>
  <c r="BQ48" i="21"/>
  <c r="BF48" i="21"/>
  <c r="AL48" i="21"/>
  <c r="AV48" i="21"/>
  <c r="BM27" i="22" l="1"/>
  <c r="BM88" i="22" s="1"/>
  <c r="BU27" i="22"/>
  <c r="BU88" i="22" s="1"/>
  <c r="S48" i="21"/>
  <c r="BG48" i="21"/>
  <c r="AM48" i="21"/>
  <c r="AW48" i="21"/>
  <c r="BV27" i="22" l="1"/>
  <c r="BW27" i="22" s="1"/>
  <c r="BV32" i="22"/>
  <c r="BW32" i="22" s="1"/>
  <c r="BV28" i="22"/>
  <c r="BW28" i="22" s="1"/>
  <c r="BV31" i="22"/>
  <c r="BW31" i="22" s="1"/>
  <c r="BV29" i="22"/>
  <c r="BW29" i="22" s="1"/>
  <c r="BV30" i="22"/>
  <c r="BW30" i="22" s="1"/>
  <c r="BV33" i="22"/>
  <c r="BW33" i="22" s="1"/>
  <c r="BE27" i="22"/>
  <c r="BV90" i="22"/>
  <c r="BW90" i="22" s="1"/>
  <c r="BV88" i="22"/>
  <c r="BW88" i="22" s="1"/>
  <c r="BV89" i="22"/>
  <c r="BW89" i="22" s="1"/>
  <c r="BV94" i="22"/>
  <c r="BW94" i="22" s="1"/>
  <c r="BV93" i="22"/>
  <c r="BW93" i="22" s="1"/>
  <c r="BV92" i="22"/>
  <c r="BW92" i="22" s="1"/>
  <c r="BV91" i="22"/>
  <c r="BW91" i="22" s="1"/>
  <c r="BN29" i="22"/>
  <c r="BO29" i="22" s="1"/>
  <c r="BN30" i="22"/>
  <c r="BO30" i="22" s="1"/>
  <c r="BN28" i="22"/>
  <c r="BO28" i="22" s="1"/>
  <c r="BN33" i="22"/>
  <c r="BO33" i="22" s="1"/>
  <c r="BN31" i="22"/>
  <c r="BO31" i="22" s="1"/>
  <c r="BN32" i="22"/>
  <c r="BO32" i="22" s="1"/>
  <c r="BN27" i="22"/>
  <c r="BO27" i="22" s="1"/>
  <c r="BN92" i="22"/>
  <c r="BO92" i="22" s="1"/>
  <c r="BN88" i="22"/>
  <c r="BO88" i="22" s="1"/>
  <c r="BN89" i="22"/>
  <c r="BO89" i="22" s="1"/>
  <c r="BN94" i="22"/>
  <c r="BO94" i="22" s="1"/>
  <c r="BN93" i="22"/>
  <c r="BO93" i="22" s="1"/>
  <c r="BN90" i="22"/>
  <c r="BO90" i="22" s="1"/>
  <c r="BN91" i="22"/>
  <c r="BO91" i="22" s="1"/>
  <c r="BF32" i="22" l="1"/>
  <c r="BG32" i="22" s="1"/>
  <c r="BE88" i="22"/>
  <c r="BF90" i="22" s="1"/>
  <c r="BG90" i="22" s="1"/>
  <c r="BF31" i="22"/>
  <c r="BG31" i="22" s="1"/>
  <c r="BF33" i="22"/>
  <c r="BG33" i="22" s="1"/>
  <c r="BF27" i="22"/>
  <c r="BG27" i="22" s="1"/>
  <c r="BF29" i="22"/>
  <c r="BG29" i="22" s="1"/>
  <c r="BF28" i="22"/>
  <c r="BG28" i="22" s="1"/>
  <c r="BF30" i="22"/>
  <c r="BG30" i="22" s="1"/>
  <c r="Y122" i="22"/>
  <c r="Y123" i="22" s="1"/>
  <c r="AJ60" i="22"/>
  <c r="AJ61" i="22" s="1"/>
  <c r="AI122" i="22"/>
  <c r="AI123" i="22" s="1"/>
  <c r="AT60" i="22"/>
  <c r="AT61" i="22" s="1"/>
  <c r="BF88" i="22" l="1"/>
  <c r="BG88" i="22" s="1"/>
  <c r="BF91" i="22"/>
  <c r="BG91" i="22" s="1"/>
  <c r="BF93" i="22"/>
  <c r="BG93" i="22" s="1"/>
  <c r="BF92" i="22"/>
  <c r="BG92" i="22" s="1"/>
  <c r="BF94" i="22"/>
  <c r="BG94" i="22" s="1"/>
  <c r="BF89" i="22"/>
  <c r="BG89" i="22" s="1"/>
  <c r="Z60" i="22"/>
  <c r="Z61" i="22" s="1"/>
  <c r="P122" i="22" l="1"/>
  <c r="P123" i="22" s="1"/>
  <c r="BB221" i="14"/>
  <c r="AU10" i="1" l="1"/>
  <c r="AQ72" i="1" s="1"/>
  <c r="AP76" i="1" l="1"/>
  <c r="AZ18" i="1" l="1"/>
  <c r="BA18" i="1"/>
  <c r="BB18" i="1" s="1"/>
  <c r="BF18" i="1"/>
  <c r="BG15" i="1" l="1"/>
  <c r="BG14" i="1"/>
  <c r="BG16" i="1"/>
  <c r="BG17" i="1"/>
  <c r="BG18" i="1"/>
  <c r="BC16" i="1" l="1"/>
  <c r="BC17" i="1"/>
  <c r="BC14" i="1"/>
  <c r="BC15" i="1"/>
  <c r="BC18" i="1"/>
  <c r="AZ2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User_PC13</author>
  </authors>
  <commentList>
    <comment ref="G6" authorId="0" shapeId="0" xr:uid="{6E9E165A-AAA2-49DE-9426-5F1E967AF105}">
      <text>
        <r>
          <rPr>
            <b/>
            <sz val="9"/>
            <color indexed="81"/>
            <rFont val="Tahoma"/>
            <family val="2"/>
          </rPr>
          <t>User_PC13:</t>
        </r>
        <r>
          <rPr>
            <sz val="9"/>
            <color indexed="81"/>
            <rFont val="Tahoma"/>
            <family val="2"/>
          </rPr>
          <t xml:space="preserve">
Valor en función del tamaño de la muestra.
</t>
        </r>
      </text>
    </comment>
    <comment ref="G7" authorId="0" shapeId="0" xr:uid="{E65CDD11-C323-4E99-B8A0-1D3F52755960}">
      <text>
        <r>
          <rPr>
            <b/>
            <sz val="9"/>
            <color indexed="81"/>
            <rFont val="Tahoma"/>
            <family val="2"/>
          </rPr>
          <t>User_PC13:</t>
        </r>
        <r>
          <rPr>
            <sz val="9"/>
            <color indexed="81"/>
            <rFont val="Tahoma"/>
            <family val="2"/>
          </rPr>
          <t xml:space="preserve">
Umbral de dato dudoso alto en unidades logarítmicas.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PC_17</author>
  </authors>
  <commentList>
    <comment ref="C5" authorId="0" shapeId="0" xr:uid="{9D1135C4-9041-4B92-8DDD-2C9846BED88B}">
      <text>
        <r>
          <rPr>
            <b/>
            <sz val="9"/>
            <color indexed="81"/>
            <rFont val="Tahoma"/>
            <family val="2"/>
          </rPr>
          <t>PC_17:</t>
        </r>
        <r>
          <rPr>
            <sz val="9"/>
            <color indexed="81"/>
            <rFont val="Tahoma"/>
            <family val="2"/>
          </rPr>
          <t xml:space="preserve">
Probabilidad de no excedencia.</t>
        </r>
      </text>
    </comment>
    <comment ref="K5" authorId="0" shapeId="0" xr:uid="{B3D63D0D-2894-4264-9250-6439BE06D6E0}">
      <text>
        <r>
          <rPr>
            <b/>
            <sz val="9"/>
            <color indexed="81"/>
            <rFont val="Tahoma"/>
            <family val="2"/>
          </rPr>
          <t>PC_17:</t>
        </r>
        <r>
          <rPr>
            <sz val="9"/>
            <color indexed="81"/>
            <rFont val="Tahoma"/>
            <family val="2"/>
          </rPr>
          <t xml:space="preserve">
Probabilidad de 
no excedencia</t>
        </r>
      </text>
    </comment>
    <comment ref="Y5" authorId="0" shapeId="0" xr:uid="{6B0801AD-B4D3-4E52-9FAD-6537071A085B}">
      <text>
        <r>
          <rPr>
            <b/>
            <sz val="9"/>
            <color indexed="81"/>
            <rFont val="Tahoma"/>
            <family val="2"/>
          </rPr>
          <t>PC_17:</t>
        </r>
        <r>
          <rPr>
            <sz val="9"/>
            <color indexed="81"/>
            <rFont val="Tahoma"/>
            <family val="2"/>
          </rPr>
          <t xml:space="preserve">
Probabilidad de
excedencia.</t>
        </r>
      </text>
    </comment>
    <comment ref="AG5" authorId="0" shapeId="0" xr:uid="{8E396BC7-6279-4F69-A56D-A4FAC5924288}">
      <text>
        <r>
          <rPr>
            <b/>
            <sz val="9"/>
            <color indexed="81"/>
            <rFont val="Tahoma"/>
            <family val="2"/>
          </rPr>
          <t>PC_17:</t>
        </r>
        <r>
          <rPr>
            <sz val="9"/>
            <color indexed="81"/>
            <rFont val="Tahoma"/>
            <family val="2"/>
          </rPr>
          <t xml:space="preserve">
Probabildiad de
excedencia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UserPC-37</author>
    <author>Aquiles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 xml:space="preserve">Tr=n+1/m
</t>
        </r>
      </text>
    </comment>
    <comment ref="V338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Duración de la Lluvia</t>
        </r>
      </text>
    </comment>
    <comment ref="V344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Parámetro de Duración</t>
        </r>
      </text>
    </comment>
    <comment ref="U348" authorId="1" shapeId="0" xr:uid="{00000000-0006-0000-0500-000004000000}">
      <text>
        <r>
          <rPr>
            <sz val="9"/>
            <color indexed="81"/>
            <rFont val="Tahoma"/>
            <family val="2"/>
          </rPr>
          <t>Este dato solo es necesario si se trabaja con las subzonas: 5a_2 y 6_1.</t>
        </r>
      </text>
    </comment>
    <comment ref="U349" authorId="1" shapeId="0" xr:uid="{00000000-0006-0000-0500-000005000000}">
      <text>
        <r>
          <rPr>
            <sz val="9"/>
            <color indexed="81"/>
            <rFont val="Tahoma"/>
            <family val="2"/>
          </rPr>
          <t xml:space="preserve">Este dato solo es necesario si se trabaja con las subzonas: 9_2, 9_3 y 10_1.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Aquiles</author>
  </authors>
  <commentList>
    <comment ref="C19" authorId="0" shapeId="0" xr:uid="{00000000-0006-0000-0600-000001000000}">
      <text>
        <r>
          <rPr>
            <sz val="9"/>
            <color indexed="81"/>
            <rFont val="Tahoma"/>
            <family val="2"/>
          </rPr>
          <t>La escorrentia empieza cuando la precipitación total caida hasta ese momento supera la abstraccion inicial (apenas se haya llenado la abstraccion inicial).</t>
        </r>
      </text>
    </comment>
    <comment ref="M19" authorId="0" shapeId="0" xr:uid="{00000000-0006-0000-0600-000002000000}">
      <text>
        <r>
          <rPr>
            <sz val="9"/>
            <color indexed="81"/>
            <rFont val="Tahoma"/>
            <family val="2"/>
          </rPr>
          <t>La escorrentia empieza cuando la precipitación total caida hasta ese momento supera la abstraccion inicial (apenas se haya llenado la abstraccion inicial).</t>
        </r>
      </text>
    </comment>
    <comment ref="W19" authorId="0" shapeId="0" xr:uid="{00000000-0006-0000-0600-000003000000}">
      <text>
        <r>
          <rPr>
            <sz val="9"/>
            <color indexed="81"/>
            <rFont val="Tahoma"/>
            <family val="2"/>
          </rPr>
          <t>La escorrentia empieza cuando la precipitación total caida hasta ese momento supera la abstraccion inicial (apenas se haya llenado la abstraccion inicial).</t>
        </r>
      </text>
    </comment>
    <comment ref="AG19" authorId="0" shapeId="0" xr:uid="{00000000-0006-0000-0600-000004000000}">
      <text>
        <r>
          <rPr>
            <sz val="9"/>
            <color indexed="81"/>
            <rFont val="Tahoma"/>
            <family val="2"/>
          </rPr>
          <t>La escorrentia empieza cuando la precipitación total caida hasta ese momento supera la abstraccion inicial (apenas se haya llenado la abstraccion inicial).</t>
        </r>
      </text>
    </comment>
    <comment ref="AQ19" authorId="0" shapeId="0" xr:uid="{00000000-0006-0000-0600-000005000000}">
      <text>
        <r>
          <rPr>
            <sz val="9"/>
            <color indexed="81"/>
            <rFont val="Tahoma"/>
            <family val="2"/>
          </rPr>
          <t>La escorrentia empieza cuando la precipitación total caida hasta ese momento supera la abstraccion inicial (apenas se haya llenado la abstraccion inicial).</t>
        </r>
      </text>
    </comment>
    <comment ref="BA19" authorId="0" shapeId="0" xr:uid="{00000000-0006-0000-0600-000006000000}">
      <text>
        <r>
          <rPr>
            <sz val="9"/>
            <color indexed="81"/>
            <rFont val="Tahoma"/>
            <family val="2"/>
          </rPr>
          <t>La escorrentia empieza cuando la precipitación total caida hasta ese momento supera la abstraccion inicial (apenas se haya llenado la abstraccion inicial).</t>
        </r>
      </text>
    </comment>
    <comment ref="BK19" authorId="0" shapeId="0" xr:uid="{00000000-0006-0000-0600-000007000000}">
      <text>
        <r>
          <rPr>
            <sz val="9"/>
            <color indexed="81"/>
            <rFont val="Tahoma"/>
            <family val="2"/>
          </rPr>
          <t>La escorrentia empieza cuando la precipitación total caida hasta ese momento supera la abstraccion inicial (apenas se haya llenado la abstraccion inicial).</t>
        </r>
      </text>
    </comment>
    <comment ref="BU19" authorId="0" shapeId="0" xr:uid="{00000000-0006-0000-0600-000008000000}">
      <text>
        <r>
          <rPr>
            <sz val="9"/>
            <color indexed="81"/>
            <rFont val="Tahoma"/>
            <family val="2"/>
          </rPr>
          <t>La escorrentia empieza cuando la precipitación total caida hasta ese momento supera la abstraccion inicial (apenas se haya llenado la abstraccion inicial).</t>
        </r>
      </text>
    </comment>
    <comment ref="F23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La abstraccion inicial absorve toda la lluvia hasta Ia.</t>
        </r>
      </text>
    </comment>
    <comment ref="G23" authorId="0" shapeId="0" xr:uid="{00000000-0006-0000-0600-00000A000000}">
      <text>
        <r>
          <rPr>
            <sz val="8"/>
            <color indexed="81"/>
            <rFont val="Tahoma"/>
            <family val="2"/>
          </rPr>
          <t>La Precipitación que no genera escorrentia queda como retencion superficial y/o infiltracion. Posteriormente, esta agua acabará evapotranspirandose o llegando a la escorrentia subterránea.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La abstraccion inicial absorve toda la lluvia hasta Ia.</t>
        </r>
      </text>
    </comment>
    <comment ref="Q23" authorId="0" shapeId="0" xr:uid="{00000000-0006-0000-0600-00000C000000}">
      <text>
        <r>
          <rPr>
            <sz val="8"/>
            <color indexed="81"/>
            <rFont val="Tahoma"/>
            <family val="2"/>
          </rPr>
          <t>La Precipitación que no genera escorrentia queda como retencion superficial y/o infiltracion. Posteriormente, esta agua acabará evapotranspirandose o llegando a la escorrentia subterránea.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3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La abstraccion inicial absorve toda la lluvia hasta Ia.</t>
        </r>
      </text>
    </comment>
    <comment ref="AA23" authorId="0" shapeId="0" xr:uid="{00000000-0006-0000-0600-00000E000000}">
      <text>
        <r>
          <rPr>
            <sz val="8"/>
            <color indexed="81"/>
            <rFont val="Tahoma"/>
            <family val="2"/>
          </rPr>
          <t>La Precipitación que no genera escorrentia queda como retencion superficial y/o infiltracion. Posteriormente, esta agua acabará evapotranspirandose o llegando a la escorrentia subterránea.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3" authorId="0" shapeId="0" xr:uid="{00000000-0006-0000-0600-00000F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La abstraccion inicial absorve toda la lluvia hasta Ia.</t>
        </r>
      </text>
    </comment>
    <comment ref="AK23" authorId="0" shapeId="0" xr:uid="{00000000-0006-0000-0600-000010000000}">
      <text>
        <r>
          <rPr>
            <sz val="8"/>
            <color indexed="81"/>
            <rFont val="Tahoma"/>
            <family val="2"/>
          </rPr>
          <t>La Precipitación que no genera escorrentia queda como retencion superficial y/o infiltracion. Posteriormente, esta agua acabará evapotranspirandose o llegando a la escorrentia subterránea.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3" authorId="0" shapeId="0" xr:uid="{00000000-0006-0000-0600-000011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La abstraccion inicial absorve toda la lluvia hasta Ia.</t>
        </r>
      </text>
    </comment>
    <comment ref="AU23" authorId="0" shapeId="0" xr:uid="{00000000-0006-0000-0600-000012000000}">
      <text>
        <r>
          <rPr>
            <sz val="8"/>
            <color indexed="81"/>
            <rFont val="Tahoma"/>
            <family val="2"/>
          </rPr>
          <t>La Precipitación que no genera escorrentia queda como retencion superficial y/o infiltracion. Posteriormente, esta agua acabará evapotranspirandose o llegando a la escorrentia subterránea.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23" authorId="0" shapeId="0" xr:uid="{00000000-0006-0000-0600-000013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La abstraccion inicial absorve toda la lluvia hasta Ia.</t>
        </r>
      </text>
    </comment>
    <comment ref="BE23" authorId="0" shapeId="0" xr:uid="{00000000-0006-0000-0600-000014000000}">
      <text>
        <r>
          <rPr>
            <sz val="8"/>
            <color indexed="81"/>
            <rFont val="Tahoma"/>
            <family val="2"/>
          </rPr>
          <t>La Precipitación que no genera escorrentia queda como retencion superficial y/o infiltracion. Posteriormente, esta agua acabará evapotranspirandose o llegando a la escorrentia subterránea.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23" authorId="0" shapeId="0" xr:uid="{00000000-0006-0000-0600-000015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La abstraccion inicial absorve toda la lluvia hasta Ia.</t>
        </r>
      </text>
    </comment>
    <comment ref="BO23" authorId="0" shapeId="0" xr:uid="{00000000-0006-0000-0600-000016000000}">
      <text>
        <r>
          <rPr>
            <sz val="8"/>
            <color indexed="81"/>
            <rFont val="Tahoma"/>
            <family val="2"/>
          </rPr>
          <t>La Precipitación que no genera escorrentia queda como retencion superficial y/o infiltracion. Posteriormente, esta agua acabará evapotranspirandose o llegando a la escorrentia subterránea.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23" authorId="0" shapeId="0" xr:uid="{00000000-0006-0000-0600-000017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La abstraccion inicial absorve toda la lluvia hasta Ia.</t>
        </r>
      </text>
    </comment>
    <comment ref="BY23" authorId="0" shapeId="0" xr:uid="{00000000-0006-0000-0600-000018000000}">
      <text>
        <r>
          <rPr>
            <sz val="8"/>
            <color indexed="81"/>
            <rFont val="Tahoma"/>
            <family val="2"/>
          </rPr>
          <t>La Precipitación que no genera escorrentia queda como retencion superficial y/o infiltracion. Posteriormente, esta agua acabará evapotranspirandose o llegando a la escorrentia subterránea.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Aquiles</author>
  </authors>
  <commentList>
    <comment ref="C9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Para cuencas entre 30 y 30 000 km2.</t>
        </r>
      </text>
    </comment>
    <comment ref="E1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Kuroiwa dice que este factor varia entre 0.4 y 8</t>
        </r>
      </text>
    </comment>
    <comment ref="C70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Para cuencas menores a 30 km2 (MTC).</t>
        </r>
      </text>
    </comment>
    <comment ref="C133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Para cuencas menores a 770 km2.</t>
        </r>
      </text>
    </comment>
    <comment ref="C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Método aplicable para tc entre 0.25 - 24 horas.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AQUILES</author>
  </authors>
  <commentList>
    <comment ref="D7" authorId="0" shapeId="0" xr:uid="{00000000-0006-0000-1D00-000001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Arena profunda, suelos profundos depositados por el viento, limos agregados. Es el más permeable y típicamente está compuesto por gravas y arenas gruesas o arenas medianas principalmente.
Buena Infiltracion </t>
        </r>
        <r>
          <rPr>
            <sz val="9"/>
            <color indexed="81"/>
            <rFont val="Calibri"/>
            <family val="2"/>
          </rPr>
          <t>→</t>
        </r>
        <r>
          <rPr>
            <sz val="10.35"/>
            <color indexed="81"/>
            <rFont val="Tahoma"/>
            <family val="2"/>
          </rPr>
          <t xml:space="preserve"> 0.3-0.45 pulg/hora</t>
        </r>
      </text>
    </comment>
    <comment ref="G7" authorId="0" shapeId="0" xr:uid="{00000000-0006-0000-1D00-000002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Suelos poco profundos depositados por el viento, marga arenosa. Está compuesto por arenas finas, arenas limosos o limos arenosos.
Regular Infiltracion </t>
        </r>
        <r>
          <rPr>
            <sz val="9"/>
            <color indexed="81"/>
            <rFont val="Calibri"/>
            <family val="2"/>
          </rPr>
          <t>→</t>
        </r>
        <r>
          <rPr>
            <sz val="10.35"/>
            <color indexed="81"/>
            <rFont val="Tahoma"/>
            <family val="2"/>
          </rPr>
          <t xml:space="preserve"> 0.15-0.3 pulg/hora</t>
        </r>
      </text>
    </comment>
    <comment ref="J7" authorId="0" shapeId="0" xr:uid="{00000000-0006-0000-1D00-000003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Margas arcillosas, margas arenosas poco profundas, suelos con bajo contenido órganico y suelos con altos contenido de arcilla. Está compuesto por arcillas.
Poca Infiltracion </t>
        </r>
        <r>
          <rPr>
            <sz val="9"/>
            <color indexed="81"/>
            <rFont val="Calibri"/>
            <family val="2"/>
          </rPr>
          <t>→</t>
        </r>
        <r>
          <rPr>
            <sz val="10.35"/>
            <color indexed="81"/>
            <rFont val="Tahoma"/>
            <family val="2"/>
          </rPr>
          <t xml:space="preserve"> 0.05 - 0.15 pulg/hora</t>
        </r>
      </text>
    </comment>
    <comment ref="M7" authorId="0" shapeId="0" xr:uid="{00000000-0006-0000-1D00-000004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Suelos que se expanden significativamente cuando se mojan, arcillas altamente plasticas y ciertos suelos salinos. Está compuesta por arcillas expansivas de permeabilidad muy baja. 
Muy Poca Infiltracion </t>
        </r>
        <r>
          <rPr>
            <sz val="9"/>
            <color indexed="81"/>
            <rFont val="Calibri"/>
            <family val="2"/>
          </rPr>
          <t>→</t>
        </r>
        <r>
          <rPr>
            <sz val="10.35"/>
            <color indexed="81"/>
            <rFont val="Tahoma"/>
            <family val="2"/>
          </rPr>
          <t xml:space="preserve"> 0.0 - 0.05 pulg/hora</t>
        </r>
      </text>
    </comment>
    <comment ref="B13" authorId="0" shapeId="0" xr:uid="{00000000-0006-0000-1D00-000005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Cesped, parques, campos de golf, cementerios, etc.</t>
        </r>
      </text>
    </comment>
    <comment ref="C13" authorId="0" shapeId="0" xr:uid="{00000000-0006-0000-1D00-000006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óptimas condiciones: cubierta de pasto &gt;=75%.
Condiciones aceptables: cubierta de pasto entre 50 a 75%.</t>
        </r>
      </text>
    </comment>
    <comment ref="G66" authorId="0" shapeId="0" xr:uid="{00000000-0006-0000-1D00-000007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Arena profunda, suelos profundos depositados por el viento, limos agregados. Es el más permeable y típicamente está compuesto por gravas y arenas gruesas o arenas medianas principalmente.
Buena Infiltracion → 0.3-0.45 pulg/hora</t>
        </r>
      </text>
    </comment>
    <comment ref="I66" authorId="0" shapeId="0" xr:uid="{00000000-0006-0000-1D00-000008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Suelos poco profundos depositados por el viento, marga arenosa. Está compuesto por arenas finas, arenas limosos o limos arenosos.
Regular Infiltracion → 0.15-0.3 pulg/hora</t>
        </r>
      </text>
    </comment>
    <comment ref="K66" authorId="0" shapeId="0" xr:uid="{00000000-0006-0000-1D00-000009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Margas arcillosas, margas arenosas poco profundas, suelos con bajo contenido órganico y suelos con altos contenido de arcilla. Está compuesto por arcillas.
Poca Infiltracion → 0.05 - 0.15 pulg/hora</t>
        </r>
      </text>
    </comment>
    <comment ref="M66" authorId="0" shapeId="0" xr:uid="{00000000-0006-0000-1D00-00000A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Suelos que se expanden significativamente cuando se mojan, arcillas altamente plasticas y ciertos suelos salinos. Está compuesta por arcillas expansivas de permeabilidad muy baja. 
Muy Poca Infiltracion → 0.0 - 0.05 pulg/hora</t>
        </r>
      </text>
    </comment>
    <comment ref="B68" authorId="0" shapeId="0" xr:uid="{00000000-0006-0000-1D00-00000B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Tierra labrantia, pero que no esta sembrada durante un tiempo para que descanse.</t>
        </r>
      </text>
    </comment>
    <comment ref="D125" authorId="0" shapeId="0" xr:uid="{00000000-0006-0000-1D00-00000C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Malo si es menos del 30% de cobertura.
Bueno si es mas del 70% de cobertura.
El resto es condicion media.</t>
        </r>
      </text>
    </comment>
    <comment ref="G125" authorId="0" shapeId="0" xr:uid="{00000000-0006-0000-1D00-00000D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Arena profunda, suelos profundos depositados por el viento, limos agregados. Es el más permeable y típicamente está compuesto por gravas y arenas gruesas o arenas medianas principalmente.
Buena Infiltracion → 0.3-0.45 pulg/hora</t>
        </r>
      </text>
    </comment>
    <comment ref="I125" authorId="0" shapeId="0" xr:uid="{00000000-0006-0000-1D00-00000E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Suelos poco profundos depositados por el viento, marga arenosa. Está compuesto por arenas finas, arenas limosos o limos arenosos.
Regular Infiltracion → 0.15-0.3 pulg/hora</t>
        </r>
      </text>
    </comment>
    <comment ref="K125" authorId="0" shapeId="0" xr:uid="{00000000-0006-0000-1D00-00000F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Margas arcillosas, margas arenosas poco profundas, suelos con bajo contenido órganico y suelos con altos contenido de arcilla. Está compuesto por arcillas.
Poca Infiltracion → 0.05 - 0.15 pulg/hora</t>
        </r>
      </text>
    </comment>
    <comment ref="M125" authorId="0" shapeId="0" xr:uid="{00000000-0006-0000-1D00-000010000000}">
      <text>
        <r>
          <rPr>
            <b/>
            <sz val="9"/>
            <color indexed="81"/>
            <rFont val="Tahoma"/>
            <family val="2"/>
          </rPr>
          <t>AQUILES:</t>
        </r>
        <r>
          <rPr>
            <sz val="9"/>
            <color indexed="81"/>
            <rFont val="Tahoma"/>
            <family val="2"/>
          </rPr>
          <t xml:space="preserve">
Suelos que se expanden significativamente cuando se mojan, arcillas altamente plasticas y ciertos suelos salinos. Está compuesta por arcillas expansivas de permeabilidad muy baja. 
Muy Poca Infiltracion → 0.0 - 0.05 pulg/hora</t>
        </r>
      </text>
    </comment>
  </commentList>
</comments>
</file>

<file path=xl/sharedStrings.xml><?xml version="1.0" encoding="utf-8"?>
<sst xmlns="http://schemas.openxmlformats.org/spreadsheetml/2006/main" count="2390" uniqueCount="914">
  <si>
    <t xml:space="preserve">Año </t>
  </si>
  <si>
    <t>m</t>
  </si>
  <si>
    <t>Z</t>
  </si>
  <si>
    <t>mm</t>
  </si>
  <si>
    <t>P (Q)</t>
  </si>
  <si>
    <t>Media</t>
  </si>
  <si>
    <t>F (Z)</t>
  </si>
  <si>
    <t>|F(Z)- P(Q)|</t>
  </si>
  <si>
    <t>Dc =</t>
  </si>
  <si>
    <t>Dt =</t>
  </si>
  <si>
    <t>→</t>
  </si>
  <si>
    <t>α =</t>
  </si>
  <si>
    <t>µy =</t>
  </si>
  <si>
    <t>σy =</t>
  </si>
  <si>
    <t>β =</t>
  </si>
  <si>
    <t>F (K)</t>
  </si>
  <si>
    <t>|F(K)- P(Q)|</t>
  </si>
  <si>
    <t>Ag =</t>
  </si>
  <si>
    <t>GDL =</t>
  </si>
  <si>
    <t>Dc</t>
  </si>
  <si>
    <t>Dt</t>
  </si>
  <si>
    <t>Orden Ajuste</t>
  </si>
  <si>
    <t>Normal</t>
  </si>
  <si>
    <t>Pearson III</t>
  </si>
  <si>
    <t>Log Pearson III</t>
  </si>
  <si>
    <t>Prueba: Smirnov-Kolgomorov</t>
  </si>
  <si>
    <t>¿ Se ajusta ?</t>
  </si>
  <si>
    <t>K</t>
  </si>
  <si>
    <t>N =</t>
  </si>
  <si>
    <t>X =</t>
  </si>
  <si>
    <t>S =</t>
  </si>
  <si>
    <t>PRUEBA DE BONDAD DE AJUSTE: SMIRNOV - KOLGOMOROV</t>
  </si>
  <si>
    <t>DISTRIBUCIÓN NORMAL :</t>
  </si>
  <si>
    <r>
      <t>N°</t>
    </r>
    <r>
      <rPr>
        <b/>
        <sz val="12.1"/>
        <color theme="1"/>
        <rFont val="Arial"/>
        <family val="2"/>
      </rPr>
      <t xml:space="preserve"> de Datos</t>
    </r>
  </si>
  <si>
    <t>Desviación Estándar</t>
  </si>
  <si>
    <t>Estadistico de Smirnov-Kolgomorov (mayor valor de |F(Z)- P(Q)|)</t>
  </si>
  <si>
    <t>Del Análisis obtenemos que:</t>
  </si>
  <si>
    <r>
      <t xml:space="preserve">De Tabla para el Nro de Datos y </t>
    </r>
    <r>
      <rPr>
        <sz val="11"/>
        <color theme="1"/>
        <rFont val="Calibri"/>
        <family val="2"/>
      </rPr>
      <t>α</t>
    </r>
    <r>
      <rPr>
        <sz val="11"/>
        <color theme="1"/>
        <rFont val="Arial"/>
        <family val="2"/>
      </rPr>
      <t xml:space="preserve"> considerados:</t>
    </r>
  </si>
  <si>
    <t>Significancia</t>
  </si>
  <si>
    <t>%   Nivel de</t>
  </si>
  <si>
    <t xml:space="preserve">Estadistico de Smirnov-Kolgomorov </t>
  </si>
  <si>
    <t>Estadistico de Smirnov-Kolgomorov</t>
  </si>
  <si>
    <t>Funcion Probabilística</t>
  </si>
  <si>
    <t>Ahora, habiendose realizado los cálculos respectivos de la Prueba de Bondad de</t>
  </si>
  <si>
    <t xml:space="preserve">Ajuste de Smirnov-Kolgomorov, se pasa a analizar en base a un criterio de orden </t>
  </si>
  <si>
    <t>Pmax24h (mm)</t>
  </si>
  <si>
    <t>SEGÚN DISTRIBUCIÓN NORMAL :</t>
  </si>
  <si>
    <t>P</t>
  </si>
  <si>
    <t>Yt</t>
  </si>
  <si>
    <t>SEGÚN DISTRIBUCIÓN LOG NORMAL :</t>
  </si>
  <si>
    <t>SEGÚN DISTRIBUCIÓN GUMBEL :</t>
  </si>
  <si>
    <t>SEGÚN DISTRIBUCIÓN PEARSON III :</t>
  </si>
  <si>
    <t>SEGÚN DISTRIBUCIÓN LOG PEARSON III :</t>
  </si>
  <si>
    <t>Período de Retorno                (Tr años)</t>
  </si>
  <si>
    <t>RESUMEN DE PRECIPITACIONES MÁXIMAS:</t>
  </si>
  <si>
    <t>Tr años</t>
  </si>
  <si>
    <t>N</t>
  </si>
  <si>
    <r>
      <t>α</t>
    </r>
    <r>
      <rPr>
        <sz val="9"/>
        <rFont val="Times New Roman"/>
        <family val="1"/>
      </rPr>
      <t>: NIVEL DE SIGNIFICACION (%)</t>
    </r>
  </si>
  <si>
    <r>
      <rPr>
        <sz val="8"/>
        <rFont val="Times New Roman"/>
        <family val="1"/>
      </rPr>
      <t>N</t>
    </r>
  </si>
  <si>
    <t>Estación:</t>
  </si>
  <si>
    <t>CONCLUSIÓN:</t>
  </si>
  <si>
    <t>El HidroEsta utiliza estos factores</t>
  </si>
  <si>
    <t>Yo utilizo estos valores</t>
  </si>
  <si>
    <t>Rocha tambien utiliza estos factores</t>
  </si>
  <si>
    <r>
      <t>X</t>
    </r>
    <r>
      <rPr>
        <b/>
        <sz val="9"/>
        <color theme="1"/>
        <rFont val="Arial"/>
        <family val="2"/>
      </rPr>
      <t>0</t>
    </r>
    <r>
      <rPr>
        <b/>
        <sz val="11"/>
        <color theme="1"/>
        <rFont val="Arial"/>
        <family val="2"/>
      </rPr>
      <t xml:space="preserve"> =</t>
    </r>
  </si>
  <si>
    <t>δ =</t>
  </si>
  <si>
    <r>
      <rPr>
        <b/>
        <sz val="11"/>
        <color theme="1"/>
        <rFont val="Calibri"/>
        <family val="2"/>
      </rPr>
      <t>β</t>
    </r>
    <r>
      <rPr>
        <b/>
        <sz val="11"/>
        <color theme="1"/>
        <rFont val="Arial"/>
        <family val="2"/>
      </rPr>
      <t xml:space="preserve"> =</t>
    </r>
  </si>
  <si>
    <t>min X</t>
  </si>
  <si>
    <t xml:space="preserve">DISTRIBUCIÓN GUMBEL o EXTREMA TIPO I o DOBLE EXPONENCIAL </t>
  </si>
  <si>
    <t>DISTRIBUCIÓN PEARSON III o GAMMA DE 3 PARÁMETROS</t>
  </si>
  <si>
    <t>DISTRIBUCIÓN PEARSON III :</t>
  </si>
  <si>
    <t>min X =</t>
  </si>
  <si>
    <t xml:space="preserve">los parámetros tienen que cumplir estas </t>
  </si>
  <si>
    <t>condiciones para ser correctos</t>
  </si>
  <si>
    <t>DATOS DE PRECIPITACIÓN:</t>
  </si>
  <si>
    <t>Estos valores recomienda Zubiaur</t>
  </si>
  <si>
    <t xml:space="preserve">Si bien se puede estimar las precipitaciones máximas futuras para diferentes funciones de probabilidades, solo </t>
  </si>
  <si>
    <t xml:space="preserve">ESTIMACIÓN DE PRECIPITACIONES MÁXIMAS </t>
  </si>
  <si>
    <t>DETERMINACIÓN DE CURVAS INTENSIDAD-DURACIÓN-FRECUENCIA (CURVAS IDF)</t>
  </si>
  <si>
    <t>Tr :</t>
  </si>
  <si>
    <t>Duración (minutos)</t>
  </si>
  <si>
    <t>Precipitaciones Máximas (mm)</t>
  </si>
  <si>
    <r>
      <t xml:space="preserve">  </t>
    </r>
    <r>
      <rPr>
        <b/>
        <sz val="10"/>
        <color theme="1"/>
        <rFont val="Arial"/>
        <family val="2"/>
      </rPr>
      <t>MÉTODO</t>
    </r>
    <r>
      <rPr>
        <b/>
        <sz val="11"/>
        <color theme="1"/>
        <rFont val="Arial"/>
        <family val="2"/>
      </rPr>
      <t xml:space="preserve"> :</t>
    </r>
  </si>
  <si>
    <t>La ecuación es la siguiente:</t>
  </si>
  <si>
    <t>Donde:</t>
  </si>
  <si>
    <t>Período de Retorno (años)</t>
  </si>
  <si>
    <t>t :</t>
  </si>
  <si>
    <t>Duración de la Lluvia (minutos).</t>
  </si>
  <si>
    <r>
      <t>P</t>
    </r>
    <r>
      <rPr>
        <vertAlign val="subscript"/>
        <sz val="11"/>
        <color theme="1"/>
        <rFont val="Arial"/>
        <family val="2"/>
      </rPr>
      <t>Tr</t>
    </r>
    <r>
      <rPr>
        <vertAlign val="superscript"/>
        <sz val="11"/>
        <color theme="1"/>
        <rFont val="Arial"/>
        <family val="2"/>
      </rPr>
      <t xml:space="preserve">t </t>
    </r>
    <r>
      <rPr>
        <sz val="11"/>
        <color theme="1"/>
        <rFont val="Arial"/>
        <family val="2"/>
      </rPr>
      <t>:</t>
    </r>
  </si>
  <si>
    <t>Precipitación total caida en t minutos con período de retorno de Tr años (mm).</t>
  </si>
  <si>
    <r>
      <t>P</t>
    </r>
    <r>
      <rPr>
        <vertAlign val="subscript"/>
        <sz val="11"/>
        <color theme="1"/>
        <rFont val="Arial"/>
        <family val="2"/>
      </rPr>
      <t>10</t>
    </r>
    <r>
      <rPr>
        <vertAlign val="superscript"/>
        <sz val="11"/>
        <color theme="1"/>
        <rFont val="Arial"/>
        <family val="2"/>
      </rPr>
      <t xml:space="preserve">60 </t>
    </r>
    <r>
      <rPr>
        <sz val="11"/>
        <color theme="1"/>
        <rFont val="Arial"/>
        <family val="2"/>
      </rPr>
      <t>:</t>
    </r>
  </si>
  <si>
    <t>Precipitación total caida en t=60 minutos con período de retorno de Tr=10 años (mm).</t>
  </si>
  <si>
    <t>Entonces:</t>
  </si>
  <si>
    <t>I :</t>
  </si>
  <si>
    <t>Intensidad máxima (mm/h)</t>
  </si>
  <si>
    <t>a, b :</t>
  </si>
  <si>
    <t>Parámetros del modelo, 0.4602 y 0.876 respectivamente.</t>
  </si>
  <si>
    <r>
      <t>P</t>
    </r>
    <r>
      <rPr>
        <vertAlign val="subscript"/>
        <sz val="11"/>
        <color theme="1"/>
        <rFont val="Arial"/>
        <family val="2"/>
      </rPr>
      <t>10</t>
    </r>
    <r>
      <rPr>
        <vertAlign val="superscript"/>
        <sz val="11"/>
        <color theme="1"/>
        <rFont val="Arial"/>
        <family val="2"/>
      </rPr>
      <t xml:space="preserve">60 </t>
    </r>
    <r>
      <rPr>
        <sz val="11"/>
        <color theme="1"/>
        <rFont val="Arial"/>
        <family val="2"/>
      </rPr>
      <t>=</t>
    </r>
  </si>
  <si>
    <r>
      <t>El valor de P</t>
    </r>
    <r>
      <rPr>
        <vertAlign val="subscript"/>
        <sz val="11"/>
        <color theme="1"/>
        <rFont val="Arial"/>
        <family val="2"/>
      </rPr>
      <t>10</t>
    </r>
    <r>
      <rPr>
        <vertAlign val="superscript"/>
        <sz val="11"/>
        <color theme="1"/>
        <rFont val="Arial"/>
        <family val="2"/>
      </rPr>
      <t xml:space="preserve">60 </t>
    </r>
    <r>
      <rPr>
        <sz val="11"/>
        <color theme="1"/>
        <rFont val="Arial"/>
        <family val="2"/>
      </rPr>
      <t>puede ser estimado a partir del modelo de Yance Tueros, que estima la intensidad máxima horaria</t>
    </r>
  </si>
  <si>
    <t>a partir de la precipitación máxima en 24 horas:</t>
  </si>
  <si>
    <t>Constante</t>
  </si>
  <si>
    <t>Err. Estándar de est. Y</t>
  </si>
  <si>
    <t>R cuadrado</t>
  </si>
  <si>
    <t>Núm. de observaciones</t>
  </si>
  <si>
    <t>Grado de libertad</t>
  </si>
  <si>
    <t>Coeficiente(s) X</t>
  </si>
  <si>
    <t>Error estándar de coef.</t>
  </si>
  <si>
    <t>Resultados del análisis de regresión :</t>
  </si>
  <si>
    <t>Log (I) = Log (K) + m Log (T) - n Log (t)</t>
  </si>
  <si>
    <t xml:space="preserve">       Y = a0 + a1 X1 + a2 X2</t>
  </si>
  <si>
    <t>Log K =</t>
  </si>
  <si>
    <t>K =</t>
  </si>
  <si>
    <t>m =</t>
  </si>
  <si>
    <t>n =</t>
  </si>
  <si>
    <t xml:space="preserve">I : </t>
  </si>
  <si>
    <t>Intensidad Máxima (mm/hr)</t>
  </si>
  <si>
    <t>Y</t>
  </si>
  <si>
    <t>X1</t>
  </si>
  <si>
    <t>X2</t>
  </si>
  <si>
    <t>log I</t>
  </si>
  <si>
    <t>LogT</t>
  </si>
  <si>
    <t>Logt</t>
  </si>
  <si>
    <t>para poder determinar K, m y n.</t>
  </si>
  <si>
    <t>Resumen</t>
  </si>
  <si>
    <t>Estadísticas de la regresión</t>
  </si>
  <si>
    <t>Coeficiente de correlación múltiple</t>
  </si>
  <si>
    <t>Coeficiente de determinación R^2</t>
  </si>
  <si>
    <t>R^2  ajustado</t>
  </si>
  <si>
    <t>Error típico</t>
  </si>
  <si>
    <t>Observaciones</t>
  </si>
  <si>
    <t>ANÁLISIS DE VARIANZA</t>
  </si>
  <si>
    <t>Regresión</t>
  </si>
  <si>
    <t>Residuos</t>
  </si>
  <si>
    <t>Total</t>
  </si>
  <si>
    <t>Intercepción</t>
  </si>
  <si>
    <t>Grados de libertad</t>
  </si>
  <si>
    <t>Suma de cuadrados</t>
  </si>
  <si>
    <t>Promedio de los cuadrados</t>
  </si>
  <si>
    <t>F</t>
  </si>
  <si>
    <t>Valor crítico de F</t>
  </si>
  <si>
    <t>Coeficientes</t>
  </si>
  <si>
    <t>Estadístico t</t>
  </si>
  <si>
    <t>Probabilidad</t>
  </si>
  <si>
    <t>Inferior 95%</t>
  </si>
  <si>
    <t>Superior 95%</t>
  </si>
  <si>
    <t>Inferior 95.0%</t>
  </si>
  <si>
    <t>Superior 95.0%</t>
  </si>
  <si>
    <t>Variable X 1</t>
  </si>
  <si>
    <t>Variable X 2</t>
  </si>
  <si>
    <t>Intensidades Máximas (mm/hr)</t>
  </si>
  <si>
    <t>Duracion (min)</t>
  </si>
  <si>
    <t>Tr (años)</t>
  </si>
  <si>
    <r>
      <t>P</t>
    </r>
    <r>
      <rPr>
        <vertAlign val="subscript"/>
        <sz val="11"/>
        <color theme="1"/>
        <rFont val="Arial"/>
        <family val="2"/>
      </rPr>
      <t>max24h</t>
    </r>
    <r>
      <rPr>
        <sz val="11"/>
        <color theme="1"/>
        <rFont val="Arial"/>
        <family val="2"/>
      </rPr>
      <t xml:space="preserve"> :</t>
    </r>
  </si>
  <si>
    <t>Pt :</t>
  </si>
  <si>
    <t>Precipitación total caida en t minutos (mm).</t>
  </si>
  <si>
    <t>DICK Y PESCHKE (Guevara 1991)</t>
  </si>
  <si>
    <t>A continuación se pasa al análisis estadístico para distintas funciones de probabilidad:</t>
  </si>
  <si>
    <t xml:space="preserve"> ECUACIÓN DE FREDERICK BELL (1969) - MODELO YANCE TUEROS </t>
  </si>
  <si>
    <t xml:space="preserve"> ECUACIÓN DE FREDERICK BELL (1969)</t>
  </si>
  <si>
    <t>Tr (años)  Weibull</t>
  </si>
  <si>
    <r>
      <t>P</t>
    </r>
    <r>
      <rPr>
        <b/>
        <vertAlign val="subscript"/>
        <sz val="11"/>
        <color theme="0"/>
        <rFont val="Arial"/>
        <family val="2"/>
      </rPr>
      <t>10</t>
    </r>
    <r>
      <rPr>
        <b/>
        <vertAlign val="superscript"/>
        <sz val="11"/>
        <color theme="0"/>
        <rFont val="Arial"/>
        <family val="2"/>
      </rPr>
      <t>60</t>
    </r>
    <r>
      <rPr>
        <b/>
        <sz val="11"/>
        <color theme="0"/>
        <rFont val="Arial"/>
        <family val="2"/>
      </rPr>
      <t xml:space="preserve"> (mm)</t>
    </r>
  </si>
  <si>
    <r>
      <t>P</t>
    </r>
    <r>
      <rPr>
        <vertAlign val="subscript"/>
        <sz val="11"/>
        <color theme="1"/>
        <rFont val="Arial"/>
        <family val="2"/>
      </rPr>
      <t>Tr</t>
    </r>
    <r>
      <rPr>
        <vertAlign val="superscript"/>
        <sz val="11"/>
        <color theme="1"/>
        <rFont val="Arial"/>
        <family val="2"/>
      </rPr>
      <t>t</t>
    </r>
    <r>
      <rPr>
        <sz val="11"/>
        <color theme="1"/>
        <rFont val="Arial"/>
        <family val="2"/>
      </rPr>
      <t xml:space="preserve"> :</t>
    </r>
  </si>
  <si>
    <r>
      <t>P</t>
    </r>
    <r>
      <rPr>
        <vertAlign val="subscript"/>
        <sz val="11"/>
        <color theme="1"/>
        <rFont val="Arial"/>
        <family val="2"/>
      </rPr>
      <t>10</t>
    </r>
    <r>
      <rPr>
        <vertAlign val="superscript"/>
        <sz val="11"/>
        <color theme="1"/>
        <rFont val="Arial"/>
        <family val="2"/>
      </rPr>
      <t>60</t>
    </r>
    <r>
      <rPr>
        <sz val="11"/>
        <color theme="1"/>
        <rFont val="Arial"/>
        <family val="2"/>
      </rPr>
      <t xml:space="preserve"> :</t>
    </r>
  </si>
  <si>
    <t xml:space="preserve">     La ecuación es la siguiente:</t>
  </si>
  <si>
    <t xml:space="preserve">     Donde:</t>
  </si>
  <si>
    <t xml:space="preserve">     Válido para :</t>
  </si>
  <si>
    <r>
      <t xml:space="preserve">     El valor de P</t>
    </r>
    <r>
      <rPr>
        <vertAlign val="subscript"/>
        <sz val="11"/>
        <color theme="1"/>
        <rFont val="Arial"/>
        <family val="2"/>
      </rPr>
      <t>10</t>
    </r>
    <r>
      <rPr>
        <vertAlign val="superscript"/>
        <sz val="11"/>
        <color theme="1"/>
        <rFont val="Arial"/>
        <family val="2"/>
      </rPr>
      <t xml:space="preserve">60 </t>
    </r>
    <r>
      <rPr>
        <sz val="11"/>
        <color theme="1"/>
        <rFont val="Arial"/>
        <family val="2"/>
      </rPr>
      <t xml:space="preserve">puede ser estimado como el promedio de todos aquellos valores obtenidos </t>
    </r>
  </si>
  <si>
    <t xml:space="preserve">     de reemplazar la Pmax24h anual, con el Tr correspondiente según el criterio de Weibull, y</t>
  </si>
  <si>
    <t xml:space="preserve">     para una duracion de 24 horas (1440 minutos).</t>
  </si>
  <si>
    <t xml:space="preserve">     Entonces :</t>
  </si>
  <si>
    <r>
      <t>P</t>
    </r>
    <r>
      <rPr>
        <b/>
        <vertAlign val="subscript"/>
        <sz val="11"/>
        <color theme="1"/>
        <rFont val="Arial"/>
        <family val="2"/>
      </rPr>
      <t>10</t>
    </r>
    <r>
      <rPr>
        <b/>
        <vertAlign val="superscript"/>
        <sz val="11"/>
        <color theme="1"/>
        <rFont val="Arial"/>
        <family val="2"/>
      </rPr>
      <t>60</t>
    </r>
    <r>
      <rPr>
        <b/>
        <sz val="11"/>
        <color theme="1"/>
        <rFont val="Arial"/>
        <family val="2"/>
      </rPr>
      <t xml:space="preserve"> =</t>
    </r>
  </si>
  <si>
    <t>Precipitación total caida en t=60 minutos con período de retorno Tr=10 años (mm).</t>
  </si>
  <si>
    <t xml:space="preserve">     Criterio de Weibull :</t>
  </si>
  <si>
    <t>n :</t>
  </si>
  <si>
    <t># de datos</t>
  </si>
  <si>
    <t>m :</t>
  </si>
  <si>
    <t>lugar que ocupa el dato</t>
  </si>
  <si>
    <t>ordenado decrecientemente</t>
  </si>
  <si>
    <t>Con el cuadro mostrado anteriormente se puede graficar las curvas IDF, pero como es común se busca una ecuación que pueda</t>
  </si>
  <si>
    <t>describir estadísticamente a las tres variables involucradas (I, Tr y t), utilizando una regresion lineal múltiple para determinar K, m y n.</t>
  </si>
  <si>
    <t>A continuación se muestra las Curvas IDF de la estación en estudio :</t>
  </si>
  <si>
    <t>Con la ecuación obtenida se puede obtener distintas Intensidades Máximas :</t>
  </si>
  <si>
    <t>Con el cuadro mostrado anteriormente se puede graficar las curvas IDF, pero como es común se busca una ecuación que</t>
  </si>
  <si>
    <t>pueda describir estadísticamente a las tres variables involucradas (I, Tr y t), utilizando una regresion lineal múltiple para</t>
  </si>
  <si>
    <t>Precipitación máxima de 24h para cierto período de retorno (mm).</t>
  </si>
  <si>
    <t>NATURAL RESOURCES CONSERVATION SERVICE (NRCS - ex SCS)</t>
  </si>
  <si>
    <t>Tipo I y IA :</t>
  </si>
  <si>
    <t>Tipo III :</t>
  </si>
  <si>
    <t>Tipo II :</t>
  </si>
  <si>
    <t>corresponde al resto del país.</t>
  </si>
  <si>
    <t>clima marítimo del Pacífico con inviernos húmedos y veranos</t>
  </si>
  <si>
    <t>secos.</t>
  </si>
  <si>
    <t>corresponde al Golfo de México y las áreas costeras del Atlántico,</t>
  </si>
  <si>
    <t>donde las tormentas tropicales producen lluvias de 24 horas</t>
  </si>
  <si>
    <t>muy grandes.</t>
  </si>
  <si>
    <t>Tiempo (hr)</t>
  </si>
  <si>
    <t xml:space="preserve">% P_acum </t>
  </si>
  <si>
    <t>% P_increm</t>
  </si>
  <si>
    <t>Tipo I</t>
  </si>
  <si>
    <t>Tipo IA</t>
  </si>
  <si>
    <t>Tipo II</t>
  </si>
  <si>
    <t>Tipo III</t>
  </si>
  <si>
    <t>Distribución adimensional de la tormenta del NRCS</t>
  </si>
  <si>
    <t>Tipo</t>
  </si>
  <si>
    <t>I</t>
  </si>
  <si>
    <t>IA</t>
  </si>
  <si>
    <t>II</t>
  </si>
  <si>
    <t>III</t>
  </si>
  <si>
    <t>Duracion (hr)</t>
  </si>
  <si>
    <t>REGIONAL  IILA-UNI-SENAMHI  MODIFICADO (1983)</t>
  </si>
  <si>
    <t>Método basado en un estudio regional en nuestro país y puede ser usado para determinar intensidades máximas, dependiendo de</t>
  </si>
  <si>
    <t xml:space="preserve">entre otros factores, de la ubicación geográfica de la zona en estudio. Este método puede aplicarse si es que no se cuenta con </t>
  </si>
  <si>
    <t>Intensidad máxima (mm/hr)</t>
  </si>
  <si>
    <t>K :</t>
  </si>
  <si>
    <t>Periodo de Retorno (años)</t>
  </si>
  <si>
    <t>Duración de la Lluvia (horas)</t>
  </si>
  <si>
    <t>b :</t>
  </si>
  <si>
    <t>Parámetro hora (horas)</t>
  </si>
  <si>
    <t>Parámetro de Duración (adimensional)</t>
  </si>
  <si>
    <t>a :</t>
  </si>
  <si>
    <t>Parámetro de Intensidad (mm)</t>
  </si>
  <si>
    <t>tg :</t>
  </si>
  <si>
    <t>Duración de la Lluvia diaria (se asume 15.2 horas para el Perú)</t>
  </si>
  <si>
    <r>
      <rPr>
        <sz val="11"/>
        <color theme="1"/>
        <rFont val="Calibri"/>
        <family val="2"/>
      </rPr>
      <t>Ɛ</t>
    </r>
    <r>
      <rPr>
        <sz val="9.35"/>
        <color theme="1"/>
        <rFont val="Calibri"/>
        <family val="2"/>
      </rPr>
      <t>g :</t>
    </r>
  </si>
  <si>
    <t>Fuente: Hidrología Aplicada, Ven Te Chow, 1988.</t>
  </si>
  <si>
    <t xml:space="preserve">Fuente:   S.110 Drenaje Pluvial Urbano, NTE-Perú, 2001.
</t>
  </si>
  <si>
    <r>
      <t>Parámetro de frecuencia (adimensional)  K=K</t>
    </r>
    <r>
      <rPr>
        <sz val="11"/>
        <color theme="1"/>
        <rFont val="Calibri"/>
        <family val="2"/>
      </rPr>
      <t>᾿</t>
    </r>
    <r>
      <rPr>
        <sz val="11"/>
        <color theme="1"/>
        <rFont val="Arial"/>
        <family val="2"/>
      </rPr>
      <t>g</t>
    </r>
  </si>
  <si>
    <t>Parámetro que depende de la ubicación geográfica</t>
  </si>
  <si>
    <t>Los parámetros K, n y Ɛg se obtienen de las siguientes tablas :</t>
  </si>
  <si>
    <t>El parámetro b se obtiene de la siguiente tabla :</t>
  </si>
  <si>
    <t>Costa, Centro y Sur</t>
  </si>
  <si>
    <t>Sierra</t>
  </si>
  <si>
    <t>Costa Norte y Selva</t>
  </si>
  <si>
    <t>b (horas)</t>
  </si>
  <si>
    <t>Ubicación</t>
  </si>
  <si>
    <t xml:space="preserve">El bosquejo de Zonas y Subzonas pluviométricas del Estudio Regional se muestra a continuación, ademas de la ubicación </t>
  </si>
  <si>
    <t>de la Zona de Estudio.</t>
  </si>
  <si>
    <t>123-1</t>
  </si>
  <si>
    <t>123-2</t>
  </si>
  <si>
    <t>123-3</t>
  </si>
  <si>
    <t>123-4</t>
  </si>
  <si>
    <t>123-5</t>
  </si>
  <si>
    <t>123-6</t>
  </si>
  <si>
    <t>123-7</t>
  </si>
  <si>
    <t>123-8</t>
  </si>
  <si>
    <t>123-9</t>
  </si>
  <si>
    <t>123-10</t>
  </si>
  <si>
    <t>123-11</t>
  </si>
  <si>
    <t>123-12</t>
  </si>
  <si>
    <t>123-13</t>
  </si>
  <si>
    <t>Y:</t>
  </si>
  <si>
    <t>msnm</t>
  </si>
  <si>
    <t>4_1</t>
  </si>
  <si>
    <t>5a-1</t>
  </si>
  <si>
    <t>5a-2</t>
  </si>
  <si>
    <t>5a-3</t>
  </si>
  <si>
    <t>5a-4</t>
  </si>
  <si>
    <t>5a-5</t>
  </si>
  <si>
    <t>5a-6</t>
  </si>
  <si>
    <t>5a-7</t>
  </si>
  <si>
    <t>5a-8</t>
  </si>
  <si>
    <t>5a-9</t>
  </si>
  <si>
    <t>5a-10</t>
  </si>
  <si>
    <t>5a-11</t>
  </si>
  <si>
    <t>5a-12</t>
  </si>
  <si>
    <t>5a-13</t>
  </si>
  <si>
    <t>5a-14</t>
  </si>
  <si>
    <t>km</t>
  </si>
  <si>
    <t>5b-1</t>
  </si>
  <si>
    <t>5b-2</t>
  </si>
  <si>
    <t>5b-3</t>
  </si>
  <si>
    <t>5b-4</t>
  </si>
  <si>
    <t>5b-5</t>
  </si>
  <si>
    <t>6_1</t>
  </si>
  <si>
    <t>9_1</t>
  </si>
  <si>
    <t>9_2</t>
  </si>
  <si>
    <t>9_3</t>
  </si>
  <si>
    <t>10_1</t>
  </si>
  <si>
    <t>5a</t>
  </si>
  <si>
    <t>5b</t>
  </si>
  <si>
    <t>Zona</t>
  </si>
  <si>
    <t>Subzona</t>
  </si>
  <si>
    <t>K = K᾿g =</t>
  </si>
  <si>
    <r>
      <t>Ɛ</t>
    </r>
    <r>
      <rPr>
        <sz val="9.35"/>
        <color theme="1"/>
        <rFont val="Arial"/>
        <family val="2"/>
      </rPr>
      <t>g =</t>
    </r>
  </si>
  <si>
    <t xml:space="preserve">Fuente: Manual de Hidrologia, Hidraulica y Drenaje (MTC)
</t>
  </si>
  <si>
    <t>SEGÚN MANUAL DE HIDROLOGIA, HIDRAULICA Y DRENAJE (MTC)</t>
  </si>
  <si>
    <t>Pmax_24h anual (mm)</t>
  </si>
  <si>
    <t>Tiempo</t>
  </si>
  <si>
    <t>horas</t>
  </si>
  <si>
    <t>minutos</t>
  </si>
  <si>
    <r>
      <t>P</t>
    </r>
    <r>
      <rPr>
        <vertAlign val="subscript"/>
        <sz val="10"/>
        <color theme="0"/>
        <rFont val="Arial"/>
        <family val="2"/>
      </rPr>
      <t>max24h</t>
    </r>
    <r>
      <rPr>
        <sz val="10"/>
        <color theme="0"/>
        <rFont val="Arial"/>
        <family val="2"/>
      </rPr>
      <t xml:space="preserve"> (mm) =</t>
    </r>
  </si>
  <si>
    <t>Tr (años) =</t>
  </si>
  <si>
    <t>Para tal Tipo de Distribución se obtiene los siguientes porcentajes de Precipitación Total Acumulada e Incremental :</t>
  </si>
  <si>
    <t>Tras analizar las 4 distribuciones de lluvia, se pudo concluir que las precipitaciones máximas de duraciones de hasta 5 horas, ocurren entre las</t>
  </si>
  <si>
    <t>horas 6 y 14. En este rango de horas se procedió a interpolar en intervalos de 15 minutos (0.25 horas), tal como se muestra a continuación:</t>
  </si>
  <si>
    <t>15 min</t>
  </si>
  <si>
    <t>30 min</t>
  </si>
  <si>
    <t>45 min</t>
  </si>
  <si>
    <t>60 min</t>
  </si>
  <si>
    <t>90 min</t>
  </si>
  <si>
    <t>120 min</t>
  </si>
  <si>
    <t>180 min</t>
  </si>
  <si>
    <t>240 min</t>
  </si>
  <si>
    <t>300 min</t>
  </si>
  <si>
    <t>Duración (minut)</t>
  </si>
  <si>
    <t xml:space="preserve">Con el cuadro de Intensidades Máximas mostrado anteriormente se puede graficar las curvas IDF, pero como es común se busca </t>
  </si>
  <si>
    <t>una ecuación que pueda describir estadísticamente a las tres variables involucradas (I, Tr y t), utilizando una regresion lineal múltiple</t>
  </si>
  <si>
    <t>Siendo la ecuación conocida se puede reemplazar en ella valores para cualquier Tr y t, obteniendose como resultado la Intensidad.</t>
  </si>
  <si>
    <t>A continuación se muestra algunos valores de Intensidades según dicha ecuación, y su respectiva curva IDF:</t>
  </si>
  <si>
    <t>Hietogramas</t>
  </si>
  <si>
    <t>Al separar la lluvia total de 24h en precipitaciones máximas de duración 15 minutos, puede determinarse las lluvias máximas de duraciones</t>
  </si>
  <si>
    <t>de 15, 30, 45, 60 minutos, etc.  Dichas precipitaciones máximas se muestran a continuación:</t>
  </si>
  <si>
    <t>continua….</t>
  </si>
  <si>
    <t>Finalmente se puede obtener las Intensidades Máximas, tal como se muestra en la página siguiente:</t>
  </si>
  <si>
    <t>A continuación se muestra gráficas de precipitación acumulada vs tiempo y además los Hietogramas de las Tormentas de Diseño :</t>
  </si>
  <si>
    <t>El Manual propone que si solo se conoce la Pmax24h, las Intensidades Máximas con duraciones menores a 1 hora pueden ser determinadas a</t>
  </si>
  <si>
    <t>partir del método de Dick y Peschke; y para duraciones mayores o iguales a 1 hora puede emplearse la tabla propuesta de coeficientes de duración</t>
  </si>
  <si>
    <t>de lluvia que se muestra a continuación :</t>
  </si>
  <si>
    <t>Precipitación máxima de 24h para cierto Tr (mm).</t>
  </si>
  <si>
    <t>Coeficientes de Duración de Lluvias entre 1 y 48 horas</t>
  </si>
  <si>
    <t>Durac (min)</t>
  </si>
  <si>
    <r>
      <t>P</t>
    </r>
    <r>
      <rPr>
        <b/>
        <vertAlign val="subscript"/>
        <sz val="10"/>
        <color theme="0"/>
        <rFont val="Arial"/>
        <family val="2"/>
      </rPr>
      <t>max24h</t>
    </r>
    <r>
      <rPr>
        <b/>
        <sz val="10"/>
        <color theme="0"/>
        <rFont val="Arial"/>
        <family val="2"/>
      </rPr>
      <t xml:space="preserve"> (mm)</t>
    </r>
  </si>
  <si>
    <t>Dick y Peschke</t>
  </si>
  <si>
    <t>Coeficientes de Lluvia</t>
  </si>
  <si>
    <t>Luego se puede determinar las Intensidades Máximas :</t>
  </si>
  <si>
    <t>En la siguiente tabla se muestra los valores de las Precipitaciones Máximas, usando los métodos indicados según la duracion de la lluvia :</t>
  </si>
  <si>
    <t>Resumen de Métodos :</t>
  </si>
  <si>
    <t>Luego la Intensidad puede ser determinada :</t>
  </si>
  <si>
    <t>Bell - Tueros</t>
  </si>
  <si>
    <t>SCS</t>
  </si>
  <si>
    <t>MTC</t>
  </si>
  <si>
    <t xml:space="preserve">de Bondad de Ajuste. Entonces se presenta a continuación la función de probabilidad escogida y sus </t>
  </si>
  <si>
    <t>DETERMINACIÓN DE LA PRECIPITACIÓN EFECTIVA, NETA O EN EXCESO</t>
  </si>
  <si>
    <t xml:space="preserve">   A continuación se determinará el Hietograma de Precipitación Efectiva (lluvia que se convierte en </t>
  </si>
  <si>
    <t xml:space="preserve">   escorrentía) a partir de una Precipitación Bruta o Total de duración 24 horas.</t>
  </si>
  <si>
    <t>Datos:</t>
  </si>
  <si>
    <t>AMC =</t>
  </si>
  <si>
    <t>Condiciones Antecedentes de Humedad (AMC).</t>
  </si>
  <si>
    <t>CN =</t>
  </si>
  <si>
    <t>Número de Curva de la Cuenca.</t>
  </si>
  <si>
    <t>Parámetros Calculados:</t>
  </si>
  <si>
    <t>pulg.</t>
  </si>
  <si>
    <t>Capacidad de Almacenamiento de la Cuenca (Infiltración Potencial Máxima)</t>
  </si>
  <si>
    <t>donde :</t>
  </si>
  <si>
    <t>Ia =</t>
  </si>
  <si>
    <t>Abstracciones o Pérdidas Iniciales. (Umbral de Escorrentía)</t>
  </si>
  <si>
    <t>Resultados:</t>
  </si>
  <si>
    <r>
      <t>P</t>
    </r>
    <r>
      <rPr>
        <b/>
        <vertAlign val="subscript"/>
        <sz val="9"/>
        <color theme="0"/>
        <rFont val="Arial"/>
        <family val="2"/>
      </rPr>
      <t>increm</t>
    </r>
    <r>
      <rPr>
        <b/>
        <sz val="9"/>
        <color theme="0"/>
        <rFont val="Arial"/>
        <family val="2"/>
      </rPr>
      <t xml:space="preserve"> (mm)</t>
    </r>
  </si>
  <si>
    <r>
      <t>P</t>
    </r>
    <r>
      <rPr>
        <b/>
        <vertAlign val="subscript"/>
        <sz val="9"/>
        <color theme="0"/>
        <rFont val="Arial"/>
        <family val="2"/>
      </rPr>
      <t xml:space="preserve">acumul </t>
    </r>
    <r>
      <rPr>
        <b/>
        <sz val="9"/>
        <color theme="0"/>
        <rFont val="Arial"/>
        <family val="2"/>
      </rPr>
      <t>(mm)</t>
    </r>
  </si>
  <si>
    <t>Pérdidas acumuladas</t>
  </si>
  <si>
    <r>
      <t>P</t>
    </r>
    <r>
      <rPr>
        <b/>
        <vertAlign val="subscript"/>
        <sz val="9"/>
        <color theme="0"/>
        <rFont val="Arial"/>
        <family val="2"/>
      </rPr>
      <t xml:space="preserve">efectiva acumul </t>
    </r>
    <r>
      <rPr>
        <b/>
        <sz val="9"/>
        <color theme="0"/>
        <rFont val="Arial"/>
        <family val="2"/>
      </rPr>
      <t>(mm)</t>
    </r>
  </si>
  <si>
    <r>
      <t>P</t>
    </r>
    <r>
      <rPr>
        <b/>
        <vertAlign val="subscript"/>
        <sz val="9"/>
        <color theme="0"/>
        <rFont val="Arial"/>
        <family val="2"/>
      </rPr>
      <t>efectiva increm</t>
    </r>
    <r>
      <rPr>
        <b/>
        <sz val="9"/>
        <color theme="0"/>
        <rFont val="Arial"/>
        <family val="2"/>
      </rPr>
      <t xml:space="preserve"> (mm)</t>
    </r>
  </si>
  <si>
    <t>Ia (mm)</t>
  </si>
  <si>
    <t>Fa (mm)</t>
  </si>
  <si>
    <t>años</t>
  </si>
  <si>
    <t>Período de Retorno (Tr) :</t>
  </si>
  <si>
    <t>DETERMINACIÓN DE LA ESCORRENTIA DIRECTA</t>
  </si>
  <si>
    <t>HIDROGRAMA UNITARIO SINTÉTICO DE SNYDER</t>
  </si>
  <si>
    <t>A =</t>
  </si>
  <si>
    <r>
      <t>km</t>
    </r>
    <r>
      <rPr>
        <vertAlign val="superscript"/>
        <sz val="11"/>
        <color theme="1"/>
        <rFont val="Arial"/>
        <family val="2"/>
      </rPr>
      <t>2</t>
    </r>
  </si>
  <si>
    <t>Área de la Cuenca.</t>
  </si>
  <si>
    <r>
      <t>t</t>
    </r>
    <r>
      <rPr>
        <vertAlign val="subscript"/>
        <sz val="11"/>
        <color theme="1"/>
        <rFont val="Arial"/>
        <family val="2"/>
      </rPr>
      <t>R</t>
    </r>
    <r>
      <rPr>
        <sz val="11"/>
        <color theme="1"/>
        <rFont val="Arial"/>
        <family val="2"/>
      </rPr>
      <t xml:space="preserve"> =</t>
    </r>
  </si>
  <si>
    <t>Duración de la Lluvia (Tiempo de duración efectiva)</t>
  </si>
  <si>
    <t>L =</t>
  </si>
  <si>
    <t>Longitud Cauce Principal.</t>
  </si>
  <si>
    <t>Lc =</t>
  </si>
  <si>
    <t>Longitud Cauce Principal hasta el Centroide de la Cuenca.</t>
  </si>
  <si>
    <t>Ct  =</t>
  </si>
  <si>
    <t>Factor que depende de las caracteristicas de la cuenca (entre 1.8 a 2.2)</t>
  </si>
  <si>
    <t>Cp  =</t>
  </si>
  <si>
    <t>Factor que depende de las caracteristicas de la cuenca (entre 0.56 a 0.69)</t>
  </si>
  <si>
    <r>
      <t>t</t>
    </r>
    <r>
      <rPr>
        <vertAlign val="subscript"/>
        <sz val="11"/>
        <color theme="1"/>
        <rFont val="Arial"/>
        <family val="2"/>
      </rPr>
      <t>pR</t>
    </r>
    <r>
      <rPr>
        <sz val="11"/>
        <color theme="1"/>
        <rFont val="Arial"/>
        <family val="2"/>
      </rPr>
      <t xml:space="preserve"> =</t>
    </r>
  </si>
  <si>
    <t>Distancia entre el centroide la lluvia y el pico</t>
  </si>
  <si>
    <r>
      <t>q</t>
    </r>
    <r>
      <rPr>
        <vertAlign val="subscript"/>
        <sz val="11"/>
        <color theme="1"/>
        <rFont val="Arial"/>
        <family val="2"/>
      </rPr>
      <t>pR</t>
    </r>
    <r>
      <rPr>
        <sz val="11"/>
        <color theme="1"/>
        <rFont val="Arial"/>
        <family val="2"/>
      </rPr>
      <t xml:space="preserve"> =</t>
    </r>
  </si>
  <si>
    <r>
      <t>(m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/s)/cm</t>
    </r>
  </si>
  <si>
    <t xml:space="preserve">Caudal pico por unidad de área del Hidrograma </t>
  </si>
  <si>
    <t>tb =</t>
  </si>
  <si>
    <t>Tiempo base</t>
  </si>
  <si>
    <t>tp =</t>
  </si>
  <si>
    <t>Tiempo de retardo de la cuenca.</t>
  </si>
  <si>
    <r>
      <t>W</t>
    </r>
    <r>
      <rPr>
        <sz val="9"/>
        <color theme="1"/>
        <rFont val="Arial"/>
        <family val="2"/>
      </rPr>
      <t xml:space="preserve">50 </t>
    </r>
    <r>
      <rPr>
        <sz val="11"/>
        <color theme="1"/>
        <rFont val="Arial"/>
        <family val="2"/>
      </rPr>
      <t>=</t>
    </r>
  </si>
  <si>
    <r>
      <t>Ancho del Hidrograma para el 50% del caudal pico (q</t>
    </r>
    <r>
      <rPr>
        <vertAlign val="subscript"/>
        <sz val="11"/>
        <color theme="1"/>
        <rFont val="Arial"/>
        <family val="2"/>
      </rPr>
      <t>pR</t>
    </r>
    <r>
      <rPr>
        <sz val="11"/>
        <color theme="1"/>
        <rFont val="Arial"/>
        <family val="2"/>
      </rPr>
      <t>)</t>
    </r>
  </si>
  <si>
    <t>min</t>
  </si>
  <si>
    <r>
      <t>W</t>
    </r>
    <r>
      <rPr>
        <sz val="9"/>
        <color theme="1"/>
        <rFont val="Arial"/>
        <family val="2"/>
      </rPr>
      <t xml:space="preserve">75 </t>
    </r>
    <r>
      <rPr>
        <sz val="11"/>
        <color theme="1"/>
        <rFont val="Arial"/>
        <family val="2"/>
      </rPr>
      <t>=</t>
    </r>
  </si>
  <si>
    <r>
      <t>Ancho del Hidrograma para el 75% del caudal pico (q</t>
    </r>
    <r>
      <rPr>
        <vertAlign val="subscript"/>
        <sz val="11"/>
        <color theme="1"/>
        <rFont val="Arial"/>
        <family val="2"/>
      </rPr>
      <t>pR</t>
    </r>
    <r>
      <rPr>
        <sz val="11"/>
        <color theme="1"/>
        <rFont val="Arial"/>
        <family val="2"/>
      </rPr>
      <t>)</t>
    </r>
  </si>
  <si>
    <t>tr =</t>
  </si>
  <si>
    <t>tr/2 =</t>
  </si>
  <si>
    <r>
      <t>T</t>
    </r>
    <r>
      <rPr>
        <vertAlign val="subscript"/>
        <sz val="11"/>
        <color theme="1"/>
        <rFont val="Arial"/>
        <family val="2"/>
      </rPr>
      <t xml:space="preserve">pR </t>
    </r>
    <r>
      <rPr>
        <sz val="11"/>
        <color theme="1"/>
        <rFont val="Arial"/>
        <family val="2"/>
      </rPr>
      <t>=</t>
    </r>
  </si>
  <si>
    <t>Coordenada X del caudal pico</t>
  </si>
  <si>
    <t>Qp =</t>
  </si>
  <si>
    <t>Caudal pico por cada 1cm de lluvia efectiva</t>
  </si>
  <si>
    <r>
      <t>q</t>
    </r>
    <r>
      <rPr>
        <vertAlign val="subscript"/>
        <sz val="11"/>
        <color theme="1"/>
        <rFont val="Arial"/>
        <family val="2"/>
      </rPr>
      <t>p</t>
    </r>
    <r>
      <rPr>
        <sz val="11"/>
        <color theme="1"/>
        <rFont val="Arial"/>
        <family val="2"/>
      </rPr>
      <t xml:space="preserve"> =</t>
    </r>
  </si>
  <si>
    <t>Resultados :</t>
  </si>
  <si>
    <t>Tiempo base del Hidrograma Unitario</t>
  </si>
  <si>
    <t>Q (m3/s)/cm</t>
  </si>
  <si>
    <t>Tp =</t>
  </si>
  <si>
    <t>Caudal pico para 1cm de precipitación efectiva</t>
  </si>
  <si>
    <t>Q (m3/s)</t>
  </si>
  <si>
    <t xml:space="preserve">     Datos :</t>
  </si>
  <si>
    <t>t (hr)</t>
  </si>
  <si>
    <t xml:space="preserve">     Resultados :</t>
  </si>
  <si>
    <t>a =</t>
  </si>
  <si>
    <t>K'g</t>
  </si>
  <si>
    <r>
      <rPr>
        <sz val="11"/>
        <color theme="1"/>
        <rFont val="Calibri"/>
        <family val="2"/>
      </rPr>
      <t>Ɛ</t>
    </r>
    <r>
      <rPr>
        <sz val="9.35"/>
        <color theme="1"/>
        <rFont val="Calibri"/>
        <family val="2"/>
      </rPr>
      <t>g</t>
    </r>
  </si>
  <si>
    <t>n</t>
  </si>
  <si>
    <t>a</t>
  </si>
  <si>
    <t xml:space="preserve">      Parámetros Calculados y/o extraídos</t>
  </si>
  <si>
    <t xml:space="preserve">      de tabla :</t>
  </si>
  <si>
    <t>I =</t>
  </si>
  <si>
    <t>mm/hr</t>
  </si>
  <si>
    <r>
      <t>D</t>
    </r>
    <r>
      <rPr>
        <sz val="9"/>
        <color theme="1"/>
        <rFont val="Arial"/>
        <family val="2"/>
      </rPr>
      <t>mar</t>
    </r>
    <r>
      <rPr>
        <sz val="11"/>
        <color theme="1"/>
        <rFont val="Arial"/>
        <family val="2"/>
      </rPr>
      <t xml:space="preserve"> :</t>
    </r>
  </si>
  <si>
    <r>
      <t>D</t>
    </r>
    <r>
      <rPr>
        <sz val="9"/>
        <color theme="1"/>
        <rFont val="Arial"/>
        <family val="2"/>
      </rPr>
      <t>cordillera</t>
    </r>
    <r>
      <rPr>
        <sz val="11"/>
        <color theme="1"/>
        <rFont val="Arial"/>
        <family val="2"/>
      </rPr>
      <t xml:space="preserve"> :</t>
    </r>
  </si>
  <si>
    <t>b (hr)</t>
  </si>
  <si>
    <t>Para la Cuenca en estudio se escoge la Distribución de Precipitación máxima en 24 horas :</t>
  </si>
  <si>
    <t xml:space="preserve">   A continuación se determinará el Hidrograma Unitario de la Cuenca, a partir de características físicas de ella :</t>
  </si>
  <si>
    <r>
      <t xml:space="preserve">    </t>
    </r>
    <r>
      <rPr>
        <sz val="11"/>
        <color theme="1"/>
        <rFont val="Calibri"/>
        <family val="2"/>
      </rPr>
      <t>•</t>
    </r>
    <r>
      <rPr>
        <sz val="11"/>
        <color theme="1"/>
        <rFont val="Arial"/>
        <family val="2"/>
      </rPr>
      <t xml:space="preserve">  Hidrograma Unitario Estándar :</t>
    </r>
  </si>
  <si>
    <r>
      <t xml:space="preserve">     </t>
    </r>
    <r>
      <rPr>
        <sz val="11"/>
        <color theme="1"/>
        <rFont val="Calibri"/>
        <family val="2"/>
      </rPr>
      <t>•</t>
    </r>
    <r>
      <rPr>
        <sz val="11"/>
        <color theme="1"/>
        <rFont val="Arial"/>
        <family val="2"/>
      </rPr>
      <t xml:space="preserve">  Hidrograma Unitario Requerido :</t>
    </r>
  </si>
  <si>
    <t>Duración de la Lluvia (Tiempo de duración estándar).</t>
  </si>
  <si>
    <t>Caudal pico por unidad de área y para  1cm de precipitación efectiva.</t>
  </si>
  <si>
    <t>Pefect (cm)</t>
  </si>
  <si>
    <t>Caudal base (Qb) =</t>
  </si>
  <si>
    <r>
      <t>m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/s</t>
    </r>
  </si>
  <si>
    <t>Se puede obtener además el Hidrograma de Salida producido por la lluvia más el caudal base :</t>
  </si>
  <si>
    <t>Del Hidrograma de Salida se puede concluir que :</t>
  </si>
  <si>
    <t>Caudal pico (Qpico) =</t>
  </si>
  <si>
    <t>Hora en que se produce el Qpico =</t>
  </si>
  <si>
    <t>Qtotal (m3/s)</t>
  </si>
  <si>
    <r>
      <t>m</t>
    </r>
    <r>
      <rPr>
        <b/>
        <vertAlign val="superscript"/>
        <sz val="11"/>
        <color theme="1"/>
        <rFont val="Arial"/>
        <family val="2"/>
      </rPr>
      <t>3</t>
    </r>
    <r>
      <rPr>
        <b/>
        <sz val="11"/>
        <color theme="1"/>
        <rFont val="Arial"/>
        <family val="2"/>
      </rPr>
      <t>/s</t>
    </r>
  </si>
  <si>
    <t xml:space="preserve">   Conocido el Hidrograma Unitario de la Cuenca se procede a determinar el Hidrograma Unitario </t>
  </si>
  <si>
    <t xml:space="preserve">   correspondiente a una lluvia de duración 1 hora (pulsos de 1 hora) :</t>
  </si>
  <si>
    <t>Con los parámetros calculados anteriormente se pueden determinar puntos conocidos</t>
  </si>
  <si>
    <r>
      <t>Q 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/s)/cm</t>
    </r>
  </si>
  <si>
    <r>
      <t>del Hidrograma Unitario para la lluvia de duración t</t>
    </r>
    <r>
      <rPr>
        <sz val="8"/>
        <color theme="1"/>
        <rFont val="Arial"/>
        <family val="2"/>
      </rPr>
      <t>R</t>
    </r>
    <r>
      <rPr>
        <sz val="11"/>
        <color theme="1"/>
        <rFont val="Arial"/>
        <family val="2"/>
      </rPr>
      <t xml:space="preserve">. Luego se pueden interpolar más </t>
    </r>
  </si>
  <si>
    <t>valores de tal forma que se obtengan ordenadas para cada 1 hora :</t>
  </si>
  <si>
    <t xml:space="preserve">            interpolando</t>
  </si>
  <si>
    <t>HIDROGRAMA UNITARIO SINTÉTICO TRIANGULAR DEL SCS</t>
  </si>
  <si>
    <t>Sc =</t>
  </si>
  <si>
    <t>Pendiente de la cuenca.</t>
  </si>
  <si>
    <t>%</t>
  </si>
  <si>
    <t>Longitud de la mayor trayectoria de flujo.</t>
  </si>
  <si>
    <t>CN  =</t>
  </si>
  <si>
    <t>Duración de la lluvia (Duración de 1 pulso).</t>
  </si>
  <si>
    <r>
      <t xml:space="preserve">    </t>
    </r>
    <r>
      <rPr>
        <sz val="11"/>
        <color theme="1"/>
        <rFont val="Calibri"/>
        <family val="2"/>
      </rPr>
      <t>•</t>
    </r>
    <r>
      <rPr>
        <sz val="11"/>
        <color theme="1"/>
        <rFont val="Arial"/>
        <family val="2"/>
      </rPr>
      <t xml:space="preserve">  Tiempo de Concentración y Tiempo de Retardo :</t>
    </r>
  </si>
  <si>
    <t>tc =</t>
  </si>
  <si>
    <t>Tiempo de concentración de la cuenca.</t>
  </si>
  <si>
    <r>
      <t xml:space="preserve">     </t>
    </r>
    <r>
      <rPr>
        <sz val="11"/>
        <color theme="1"/>
        <rFont val="Calibri"/>
        <family val="2"/>
      </rPr>
      <t>•</t>
    </r>
    <r>
      <rPr>
        <sz val="11"/>
        <color theme="1"/>
        <rFont val="Arial"/>
        <family val="2"/>
      </rPr>
      <t xml:space="preserve">  Características del Hidrograma Unitario Triangular :</t>
    </r>
  </si>
  <si>
    <t>1.67 Tp =</t>
  </si>
  <si>
    <t>Tiempo de recesión.</t>
  </si>
  <si>
    <t>Tb =</t>
  </si>
  <si>
    <r>
      <t>del Hidrograma Unitario para la lluvia de duración t</t>
    </r>
    <r>
      <rPr>
        <sz val="8"/>
        <color theme="1"/>
        <rFont val="Arial"/>
        <family val="2"/>
      </rPr>
      <t>r</t>
    </r>
    <r>
      <rPr>
        <sz val="11"/>
        <color theme="1"/>
        <rFont val="Arial"/>
        <family val="2"/>
      </rPr>
      <t xml:space="preserve">. Luego se pueden interpolar más </t>
    </r>
  </si>
  <si>
    <t>Caudal base (Qb)=</t>
  </si>
  <si>
    <t>PRUEBA DE BONDAD DE AJUSTE: ANÁLISIS GRÁFICO</t>
  </si>
  <si>
    <t>COMPARACIÓN DE DISTRIBUCIONES DE PROBABILIDAD :</t>
  </si>
  <si>
    <r>
      <t>P</t>
    </r>
    <r>
      <rPr>
        <b/>
        <vertAlign val="subscript"/>
        <sz val="9"/>
        <color theme="0"/>
        <rFont val="Arial"/>
        <family val="2"/>
      </rPr>
      <t>max24h</t>
    </r>
    <r>
      <rPr>
        <b/>
        <sz val="9"/>
        <color theme="0"/>
        <rFont val="Arial"/>
        <family val="2"/>
      </rPr>
      <t xml:space="preserve"> (mm)</t>
    </r>
  </si>
  <si>
    <t>Coeficiente de Asimetría</t>
  </si>
  <si>
    <t>C.A. =</t>
  </si>
  <si>
    <t>información pluviográfica ni pluviométrica, como referencia, o como comparación de resultados con otros métodos.</t>
  </si>
  <si>
    <t>Existen dos ecuaciones cuyo punto divisorio es un duración de lluvia de 3 horas:</t>
  </si>
  <si>
    <t>Duración (min)</t>
  </si>
  <si>
    <t>Duración (hr)</t>
  </si>
  <si>
    <t>creciente</t>
  </si>
  <si>
    <t>ordenado en forma</t>
  </si>
  <si>
    <r>
      <t>Z</t>
    </r>
    <r>
      <rPr>
        <b/>
        <vertAlign val="subscript"/>
        <sz val="11"/>
        <color theme="0"/>
        <rFont val="Arial"/>
        <family val="2"/>
      </rPr>
      <t>Tr</t>
    </r>
  </si>
  <si>
    <t xml:space="preserve"> Tr (años)</t>
  </si>
  <si>
    <r>
      <t>Log(P</t>
    </r>
    <r>
      <rPr>
        <b/>
        <sz val="8"/>
        <color theme="0"/>
        <rFont val="Arial"/>
        <family val="2"/>
      </rPr>
      <t>max24h</t>
    </r>
    <r>
      <rPr>
        <b/>
        <sz val="11"/>
        <color theme="0"/>
        <rFont val="Arial"/>
        <family val="2"/>
      </rPr>
      <t>)</t>
    </r>
  </si>
  <si>
    <r>
      <t>P</t>
    </r>
    <r>
      <rPr>
        <b/>
        <sz val="9"/>
        <color theme="0"/>
        <rFont val="Arial"/>
        <family val="2"/>
      </rPr>
      <t>max24h</t>
    </r>
    <r>
      <rPr>
        <b/>
        <sz val="11"/>
        <color theme="0"/>
        <rFont val="Arial"/>
        <family val="2"/>
      </rPr>
      <t xml:space="preserve"> (mm)</t>
    </r>
  </si>
  <si>
    <t>W</t>
  </si>
  <si>
    <t>Precipitaciones máximas de 24 horas (mm)</t>
  </si>
  <si>
    <t>Pmax24h anual (mm)</t>
  </si>
  <si>
    <t>Distibución</t>
  </si>
  <si>
    <t xml:space="preserve">Solo ingresar datos en </t>
  </si>
  <si>
    <t>las casillas rojas</t>
  </si>
  <si>
    <t>ANÁLISIS VISUAL DE CONSISTENCIA DE INFORMACIÓN HIDROMETEOROLÓGICA</t>
  </si>
  <si>
    <t>Si alguno de estos valores</t>
  </si>
  <si>
    <t xml:space="preserve">no existe </t>
  </si>
  <si>
    <t>PARÁMETRO :</t>
  </si>
  <si>
    <t>ESTACIÓN :</t>
  </si>
  <si>
    <t>UBICACIÓN :</t>
  </si>
  <si>
    <t>Latitud :</t>
  </si>
  <si>
    <t>suprime la casilla</t>
  </si>
  <si>
    <t>N° de años :</t>
  </si>
  <si>
    <t>Departamento :</t>
  </si>
  <si>
    <t>Longitud :</t>
  </si>
  <si>
    <t>Provincia :</t>
  </si>
  <si>
    <t>Altitud :</t>
  </si>
  <si>
    <t>Distrito :</t>
  </si>
  <si>
    <t>AÑO</t>
  </si>
  <si>
    <t>ENE.</t>
  </si>
  <si>
    <t>FEB.</t>
  </si>
  <si>
    <t>MAR.</t>
  </si>
  <si>
    <t>ABR.</t>
  </si>
  <si>
    <t>MAY.</t>
  </si>
  <si>
    <t>JUN.</t>
  </si>
  <si>
    <t>JUL.</t>
  </si>
  <si>
    <t>AGO.</t>
  </si>
  <si>
    <t>SET.</t>
  </si>
  <si>
    <t>OCT.</t>
  </si>
  <si>
    <t>NOV.</t>
  </si>
  <si>
    <t>DIC.</t>
  </si>
  <si>
    <r>
      <t>P</t>
    </r>
    <r>
      <rPr>
        <b/>
        <sz val="9"/>
        <color theme="0"/>
        <rFont val="Arial"/>
        <family val="2"/>
      </rPr>
      <t>max</t>
    </r>
    <r>
      <rPr>
        <b/>
        <sz val="11"/>
        <color theme="0"/>
        <rFont val="Arial"/>
        <family val="2"/>
      </rPr>
      <t xml:space="preserve"> (mm)</t>
    </r>
  </si>
  <si>
    <t xml:space="preserve">Media </t>
  </si>
  <si>
    <t>No existe Inconsistencia Visual por Salto ni por Tendencia</t>
  </si>
  <si>
    <t>XX.X =</t>
  </si>
  <si>
    <t>Información Extraída: Evaluación de los Recursos Hídricos en la Cuenca del Río Rimac (ANA 2010)</t>
  </si>
  <si>
    <t>Desv.Estándar</t>
  </si>
  <si>
    <t>Es probable que exista una Inconsistencia Visual únicamente por Salto.</t>
  </si>
  <si>
    <t>Máximo</t>
  </si>
  <si>
    <t>Tras la Inspección Visual de las Series Históricas concluimos que:</t>
  </si>
  <si>
    <t>Es probable que exista una Inconsistencia Visual únicamente por Tendencia.</t>
  </si>
  <si>
    <t>Mínimo</t>
  </si>
  <si>
    <t>Es probable que exista una Inconsistencia Visual por Salto y por Tendencia.</t>
  </si>
  <si>
    <t xml:space="preserve">ESTIMACIÓN DE LA Pmax_24h REAL </t>
  </si>
  <si>
    <t>depende del número de observaciones realizadas durante el tiempo de medición de la lluvia, obteniendose asi Pmax_24hr más reales.</t>
  </si>
  <si>
    <t>Dichos factores de ajuste se muestran en la siguiente tabla :</t>
  </si>
  <si>
    <t>Número de Unidades de Observación</t>
  </si>
  <si>
    <t>3 a 4</t>
  </si>
  <si>
    <t>5 a 8</t>
  </si>
  <si>
    <t>9 a 24</t>
  </si>
  <si>
    <t>&gt; 24</t>
  </si>
  <si>
    <t>Factor de Ajuste</t>
  </si>
  <si>
    <t xml:space="preserve">En nuestro país, los valores de Pmax_24h suelen obtenerse en las estaciones para intervalos fijos de tiempo, generalmente de </t>
  </si>
  <si>
    <r>
      <t xml:space="preserve">7:00 am a 7:00 am del día siguiente, por ende existe un solo intervalo de medición lo que corresponde a un factor de ajuste de </t>
    </r>
    <r>
      <rPr>
        <b/>
        <sz val="11"/>
        <rFont val="Arial"/>
        <family val="2"/>
      </rPr>
      <t>1.13.</t>
    </r>
  </si>
  <si>
    <r>
      <t>P</t>
    </r>
    <r>
      <rPr>
        <b/>
        <sz val="9"/>
        <color theme="0"/>
        <rFont val="Arial"/>
        <family val="2"/>
      </rPr>
      <t xml:space="preserve">max_24h Medido </t>
    </r>
    <r>
      <rPr>
        <b/>
        <sz val="11"/>
        <color theme="0"/>
        <rFont val="Arial"/>
        <family val="2"/>
      </rPr>
      <t xml:space="preserve"> (mm)</t>
    </r>
  </si>
  <si>
    <r>
      <t>P</t>
    </r>
    <r>
      <rPr>
        <b/>
        <sz val="9"/>
        <color theme="0"/>
        <rFont val="Arial"/>
        <family val="2"/>
      </rPr>
      <t xml:space="preserve">max_24h Real </t>
    </r>
    <r>
      <rPr>
        <b/>
        <sz val="11"/>
        <color theme="0"/>
        <rFont val="Arial"/>
        <family val="2"/>
      </rPr>
      <t>(mm)</t>
    </r>
  </si>
  <si>
    <t xml:space="preserve">       Fuente: Guía de Prácticas Hidrológicas - OMM 1994</t>
  </si>
  <si>
    <t xml:space="preserve">Bell </t>
  </si>
  <si>
    <t>INFORMACIÓN PLUVIOMÉTRICA DISPONIBLE Y ELECCIÓN DEL RANGO DE AÑOS PARA ESTUDIO HIDROLÓGICO</t>
  </si>
  <si>
    <t>Estacion 1</t>
  </si>
  <si>
    <t>Estación</t>
  </si>
  <si>
    <t>Período de Registro Pluviométrico Disponible</t>
  </si>
  <si>
    <t>Total de años</t>
  </si>
  <si>
    <t>A criterio se escoge el siguiente periodo de años :</t>
  </si>
  <si>
    <t>-</t>
  </si>
  <si>
    <r>
      <t>Área (km</t>
    </r>
    <r>
      <rPr>
        <b/>
        <vertAlign val="superscript"/>
        <sz val="9"/>
        <color theme="0"/>
        <rFont val="Arial"/>
        <family val="2"/>
      </rPr>
      <t>2</t>
    </r>
    <r>
      <rPr>
        <b/>
        <sz val="9"/>
        <color theme="0"/>
        <rFont val="Arial"/>
        <family val="2"/>
      </rPr>
      <t>)</t>
    </r>
  </si>
  <si>
    <t>Longitud Cauce Principal (Km)</t>
  </si>
  <si>
    <t>Cota Inicio Cauce Principal (msnm)</t>
  </si>
  <si>
    <t>Cota Salida Cauce Principal (msnm)</t>
  </si>
  <si>
    <t>Pendiente Media Cauce Principal (m/m)</t>
  </si>
  <si>
    <t>Pendiente Cuenca (%)</t>
  </si>
  <si>
    <t>HIDROGRAMA UNITARIO SINTÉTICO DEL SCS</t>
  </si>
  <si>
    <t>Subcuenca</t>
  </si>
  <si>
    <t>Longitud Mayor Trayectoria Flujo (Km)</t>
  </si>
  <si>
    <t>Diferencia Cotas Inicio y Salida Cauce Principal (m)</t>
  </si>
  <si>
    <t>Pendiente Subcuenca (%)</t>
  </si>
  <si>
    <t>Número de Curva (CN)</t>
  </si>
  <si>
    <r>
      <t>Tiempo Concentración t</t>
    </r>
    <r>
      <rPr>
        <b/>
        <vertAlign val="subscript"/>
        <sz val="9"/>
        <color theme="0"/>
        <rFont val="Arial"/>
        <family val="2"/>
      </rPr>
      <t>C</t>
    </r>
    <r>
      <rPr>
        <b/>
        <sz val="9"/>
        <color theme="0"/>
        <rFont val="Arial"/>
        <family val="2"/>
      </rPr>
      <t xml:space="preserve"> (minutos) </t>
    </r>
  </si>
  <si>
    <t xml:space="preserve">Tiempo Retardo tr (minutos)    </t>
  </si>
  <si>
    <t>W700</t>
  </si>
  <si>
    <t>W710</t>
  </si>
  <si>
    <t>W740</t>
  </si>
  <si>
    <t>W750</t>
  </si>
  <si>
    <t>W760</t>
  </si>
  <si>
    <t>W770</t>
  </si>
  <si>
    <t>W780</t>
  </si>
  <si>
    <t>W790</t>
  </si>
  <si>
    <t>W800</t>
  </si>
  <si>
    <t>W810</t>
  </si>
  <si>
    <t>W820</t>
  </si>
  <si>
    <t>W830</t>
  </si>
  <si>
    <t>W840</t>
  </si>
  <si>
    <t>W850</t>
  </si>
  <si>
    <t>W860</t>
  </si>
  <si>
    <t>W870</t>
  </si>
  <si>
    <t>W880</t>
  </si>
  <si>
    <t>W890</t>
  </si>
  <si>
    <t>W900</t>
  </si>
  <si>
    <t>W910</t>
  </si>
  <si>
    <t>W920</t>
  </si>
  <si>
    <t>W930</t>
  </si>
  <si>
    <t>W940</t>
  </si>
  <si>
    <t>W950</t>
  </si>
  <si>
    <t>W960</t>
  </si>
  <si>
    <t>W970</t>
  </si>
  <si>
    <t>W980</t>
  </si>
  <si>
    <t>W990</t>
  </si>
  <si>
    <t>W1000</t>
  </si>
  <si>
    <t>W1010</t>
  </si>
  <si>
    <t>Longitud  Cauce Princip. hasta Centroide (Km)</t>
  </si>
  <si>
    <t>Coeficiente Ct</t>
  </si>
  <si>
    <t>Coeficiente Cp</t>
  </si>
  <si>
    <t>Hidrograma Unitario Estándar</t>
  </si>
  <si>
    <t xml:space="preserve">Tiempo Retardo tp (horas)    </t>
  </si>
  <si>
    <r>
      <t>Caudal pico por cm de P</t>
    </r>
    <r>
      <rPr>
        <b/>
        <vertAlign val="subscript"/>
        <sz val="9"/>
        <color theme="0"/>
        <rFont val="Arial"/>
        <family val="2"/>
      </rPr>
      <t>efectiva</t>
    </r>
    <r>
      <rPr>
        <b/>
        <sz val="9"/>
        <color theme="0"/>
        <rFont val="Arial"/>
        <family val="2"/>
      </rPr>
      <t xml:space="preserve"> (m</t>
    </r>
    <r>
      <rPr>
        <b/>
        <vertAlign val="superscript"/>
        <sz val="9"/>
        <color theme="0"/>
        <rFont val="Arial"/>
        <family val="2"/>
      </rPr>
      <t>3</t>
    </r>
    <r>
      <rPr>
        <b/>
        <sz val="9"/>
        <color theme="0"/>
        <rFont val="Arial"/>
        <family val="2"/>
      </rPr>
      <t>/s/cm)</t>
    </r>
  </si>
  <si>
    <t xml:space="preserve"> </t>
  </si>
  <si>
    <t>HIDROGRAMA UNITARIO SINTÉTICO DE CLARK</t>
  </si>
  <si>
    <r>
      <t>Tiempo Concentración t</t>
    </r>
    <r>
      <rPr>
        <b/>
        <vertAlign val="subscript"/>
        <sz val="10"/>
        <color theme="0"/>
        <rFont val="Arial"/>
        <family val="2"/>
      </rPr>
      <t>C</t>
    </r>
    <r>
      <rPr>
        <b/>
        <sz val="10"/>
        <color theme="0"/>
        <rFont val="Arial"/>
        <family val="2"/>
      </rPr>
      <t xml:space="preserve"> (horas) </t>
    </r>
  </si>
  <si>
    <t>Parámetro de Calibración    C</t>
  </si>
  <si>
    <t>Coeficiente de Almacenamiento  R (horas)</t>
  </si>
  <si>
    <t>Kirpich</t>
  </si>
  <si>
    <t>G. Bransby Williams</t>
  </si>
  <si>
    <t>Media Geométrica</t>
  </si>
  <si>
    <t>W3410</t>
  </si>
  <si>
    <t>W3360</t>
  </si>
  <si>
    <t>W3400</t>
  </si>
  <si>
    <t>W3350</t>
  </si>
  <si>
    <t>W3070</t>
  </si>
  <si>
    <t>ESTIMACIÓN DEL NÚMERO DE CURVA (CN) - Según NRCS (ex SCS)</t>
  </si>
  <si>
    <t xml:space="preserve"> ●    Para Áreas Urbanas</t>
  </si>
  <si>
    <r>
      <rPr>
        <b/>
        <sz val="11"/>
        <color theme="0"/>
        <rFont val="Arial"/>
        <family val="2"/>
      </rPr>
      <t>Uso de la tierra</t>
    </r>
  </si>
  <si>
    <t>Grupo Hidrológico de Suelo</t>
  </si>
  <si>
    <t>A</t>
  </si>
  <si>
    <t>B</t>
  </si>
  <si>
    <t>C</t>
  </si>
  <si>
    <t>D</t>
  </si>
  <si>
    <t>CN</t>
  </si>
  <si>
    <t>Producto</t>
  </si>
  <si>
    <r>
      <rPr>
        <b/>
        <i/>
        <sz val="11"/>
        <color theme="0"/>
        <rFont val="Arial"/>
        <family val="2"/>
      </rPr>
      <t>%</t>
    </r>
  </si>
  <si>
    <t>Tierra cultivada</t>
  </si>
  <si>
    <t>con tratamientos de conservación</t>
  </si>
  <si>
    <t>sin tratamientos de conservación</t>
  </si>
  <si>
    <t>Pastizales</t>
  </si>
  <si>
    <t>condiciones óptimas</t>
  </si>
  <si>
    <t>Vegas de Ríos</t>
  </si>
  <si>
    <t>condiciones pobres</t>
  </si>
  <si>
    <t>Bosques</t>
  </si>
  <si>
    <t>cubierta buena</t>
  </si>
  <si>
    <t xml:space="preserve">Áreas Abiertas </t>
  </si>
  <si>
    <t>óptimas condiciones</t>
  </si>
  <si>
    <t>cubierta pobre</t>
  </si>
  <si>
    <t>Áreas Comerciales de Negocios (85% impermeables)</t>
  </si>
  <si>
    <t>Distritos Industriales (72% impermeables)</t>
  </si>
  <si>
    <t>Tamaño promedio del Lote:</t>
  </si>
  <si>
    <t>Residencial</t>
  </si>
  <si>
    <r>
      <t>506 m²</t>
    </r>
    <r>
      <rPr>
        <sz val="9.9"/>
        <color theme="1"/>
        <rFont val="Arial"/>
        <family val="2"/>
      </rPr>
      <t xml:space="preserve">  (65% impermeable)</t>
    </r>
  </si>
  <si>
    <t>condiciones aceptables</t>
  </si>
  <si>
    <t>Parqueadores pavimentados, techos, etc.</t>
  </si>
  <si>
    <r>
      <t>1012 m²</t>
    </r>
    <r>
      <rPr>
        <sz val="9.9"/>
        <color theme="1"/>
        <rFont val="Arial"/>
        <family val="2"/>
      </rPr>
      <t xml:space="preserve">  (38% impermeable)</t>
    </r>
  </si>
  <si>
    <t xml:space="preserve">pavimentados </t>
  </si>
  <si>
    <t>Calles y Carreteras</t>
  </si>
  <si>
    <t>tierra</t>
  </si>
  <si>
    <r>
      <t>1349 m²</t>
    </r>
    <r>
      <rPr>
        <sz val="9.9"/>
        <color theme="1"/>
        <rFont val="Arial"/>
        <family val="2"/>
      </rPr>
      <t xml:space="preserve">  (30% impermeable)</t>
    </r>
  </si>
  <si>
    <t>grava</t>
  </si>
  <si>
    <r>
      <t>2023 m²</t>
    </r>
    <r>
      <rPr>
        <sz val="9.9"/>
        <color theme="1"/>
        <rFont val="Arial"/>
        <family val="2"/>
      </rPr>
      <t xml:space="preserve">  (25% impermeable)</t>
    </r>
  </si>
  <si>
    <r>
      <t>4047 m²</t>
    </r>
    <r>
      <rPr>
        <sz val="9.9"/>
        <color theme="1"/>
        <rFont val="Arial"/>
        <family val="2"/>
      </rPr>
      <t xml:space="preserve">  (20% impermeable)</t>
    </r>
  </si>
  <si>
    <t>CN ponderado = CN (II) =</t>
  </si>
  <si>
    <t>Para condiciones normales de húmedad (AMC II)</t>
  </si>
  <si>
    <t>Luego:</t>
  </si>
  <si>
    <t>CN (I) =</t>
  </si>
  <si>
    <t>Para condiciones secas  (AMC I)</t>
  </si>
  <si>
    <t>CN (III) =</t>
  </si>
  <si>
    <t>Para condiciones húmedas (AMC III)</t>
  </si>
  <si>
    <t>Fuente Base: Hidrologia Aplicada - Ven Te Chow pag. 150</t>
  </si>
  <si>
    <t xml:space="preserve"> ●    Para Áreas Agricolas Cultivadas</t>
  </si>
  <si>
    <t>Subcuencas:</t>
  </si>
  <si>
    <t>Cubierta</t>
  </si>
  <si>
    <t>Uso de Suelo</t>
  </si>
  <si>
    <t>Tratamiento</t>
  </si>
  <si>
    <t>Condición Hidrológica</t>
  </si>
  <si>
    <t>Barbecho</t>
  </si>
  <si>
    <t>Suelo Desnudo</t>
  </si>
  <si>
    <t>pobre</t>
  </si>
  <si>
    <t>Residuos de Cosecha</t>
  </si>
  <si>
    <t>buena</t>
  </si>
  <si>
    <t>Cultivos en Filas</t>
  </si>
  <si>
    <t>Fila recta</t>
  </si>
  <si>
    <t>Fila recta con residuos de cosecha</t>
  </si>
  <si>
    <t>Contorneado</t>
  </si>
  <si>
    <t>Contorneado con residuos de cosecha</t>
  </si>
  <si>
    <t>Contorneado y con terrazas</t>
  </si>
  <si>
    <t>Contorneado y con terrazas con residuos</t>
  </si>
  <si>
    <t>Granos Pequeños</t>
  </si>
  <si>
    <t>Sembrado de Legumbres  o Rotación de Praderas</t>
  </si>
  <si>
    <t>Pradera o pastizal, con forraje para pastoreo continuo.</t>
  </si>
  <si>
    <t>Pradera - con hierba continua, protegida de pastoreo, cortada para heno.</t>
  </si>
  <si>
    <t>regular</t>
  </si>
  <si>
    <t>Combinación Matorral-Maleza (principalmente matorral).</t>
  </si>
  <si>
    <t>Combinación Bosque-Hierbas (huerto o árboles frutales).</t>
  </si>
  <si>
    <t>Bosques.</t>
  </si>
  <si>
    <t>Granjas, construcciones, caminos de  veredas, y partes circundantes.</t>
  </si>
  <si>
    <t xml:space="preserve"> ●    Para Áreas Áridas o Semiáridas</t>
  </si>
  <si>
    <t>Tipo de Cobertura</t>
  </si>
  <si>
    <t>Herbáceo - Mezcla de grass, mala hierba y arbusto de bajo crecimiento.</t>
  </si>
  <si>
    <t>Álamo de Robles - Mezcla de arbustos con árboles de roble, caoba.</t>
  </si>
  <si>
    <t>Árboles de Piñon y Juniper con grass.</t>
  </si>
  <si>
    <t>Arbustos de Salvia con grass.</t>
  </si>
  <si>
    <t>Arbustos de Desierto - cactus y otros arbustos.</t>
  </si>
  <si>
    <t>Para condiciones normales de humedad (AMC II)</t>
  </si>
  <si>
    <t>1349 m²  (30% impermeable)</t>
  </si>
  <si>
    <t>COMPARACIÓN DE CAUDALES MÁXIMOS - FÓRMULA MODIFICADA DE CREAGER</t>
  </si>
  <si>
    <t>En un estudio realizado por el Dr. Wolfgan Trau y el Ing. Raúl Gutiérrez en 1979, tras el análisis de aproximadamente 200 estaciones</t>
  </si>
  <si>
    <t>Para la Cuenca en estudio, se tiene que:</t>
  </si>
  <si>
    <t xml:space="preserve">Limitaciones: </t>
  </si>
  <si>
    <t>Para cuencas con áreas mayores a 50 km2 e inferiores a 30 000 km2.</t>
  </si>
  <si>
    <t>Parámetros :</t>
  </si>
  <si>
    <t>Criterio válido para las regiones 1,2,3,4,5 y 6 ; y con ciertas limitaciones en la region 7 ya que en ella se carece de</t>
  </si>
  <si>
    <t>N° Región</t>
  </si>
  <si>
    <t>observaciones.</t>
  </si>
  <si>
    <t xml:space="preserve">Se trabajo con caudales máximos medios diarios, pero no instantáneos; y se sabe que estos últimos pueden llegar a </t>
  </si>
  <si>
    <t>Región</t>
  </si>
  <si>
    <t>N°</t>
  </si>
  <si>
    <t>C1</t>
  </si>
  <si>
    <t>C2</t>
  </si>
  <si>
    <t>superar a los caudales máximos promedio en algunos casos.</t>
  </si>
  <si>
    <t>Costa Norte (frontera)</t>
  </si>
  <si>
    <t xml:space="preserve">Las discontinuidades en los registros de caudales se producen frecuentemente por las grandes avenidas. Los valores  </t>
  </si>
  <si>
    <t>Costa Norte</t>
  </si>
  <si>
    <t>de avenidas registrados no representan por lo tanto la avenida real ocurrida.</t>
  </si>
  <si>
    <t>Sierra Norte</t>
  </si>
  <si>
    <t>Costa Central</t>
  </si>
  <si>
    <t>La fórmula de la envolvente resultante fue la siguiente:</t>
  </si>
  <si>
    <t>Costa Sur y Titicaca</t>
  </si>
  <si>
    <t>Donde :</t>
  </si>
  <si>
    <t>Sierra Central Sur</t>
  </si>
  <si>
    <r>
      <t>Q</t>
    </r>
    <r>
      <rPr>
        <sz val="8"/>
        <color theme="1"/>
        <rFont val="Arial"/>
        <family val="2"/>
      </rPr>
      <t>T</t>
    </r>
    <r>
      <rPr>
        <sz val="11"/>
        <color theme="1"/>
        <rFont val="Arial"/>
        <family val="2"/>
      </rPr>
      <t xml:space="preserve">  : Caudal de avenida de periodo de retorno T (m3/s).</t>
    </r>
  </si>
  <si>
    <t>Selva</t>
  </si>
  <si>
    <t>T    : Periodo de Retorno (años).</t>
  </si>
  <si>
    <t>A    : Área de la Cuenca (km2).</t>
  </si>
  <si>
    <r>
      <t>Q</t>
    </r>
    <r>
      <rPr>
        <b/>
        <vertAlign val="subscript"/>
        <sz val="10"/>
        <color theme="0"/>
        <rFont val="Arial"/>
        <family val="2"/>
      </rPr>
      <t>max</t>
    </r>
    <r>
      <rPr>
        <b/>
        <sz val="10"/>
        <color theme="0"/>
        <rFont val="Arial"/>
        <family val="2"/>
      </rPr>
      <t xml:space="preserve"> instantáneo (m³/s)</t>
    </r>
  </si>
  <si>
    <r>
      <t>Q</t>
    </r>
    <r>
      <rPr>
        <b/>
        <vertAlign val="subscript"/>
        <sz val="10"/>
        <color theme="0"/>
        <rFont val="Arial"/>
        <family val="2"/>
      </rPr>
      <t xml:space="preserve">max </t>
    </r>
    <r>
      <rPr>
        <b/>
        <sz val="10"/>
        <color theme="0"/>
        <rFont val="Arial"/>
        <family val="2"/>
      </rPr>
      <t>Creager  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/s)</t>
    </r>
  </si>
  <si>
    <t>C1, C2, m y n : Coeficientes que dependen de la Región.</t>
  </si>
  <si>
    <t>Donde las regiones y los coeficientes son :</t>
  </si>
  <si>
    <t>Al ser estos caudales estimados, envolventes superiores</t>
  </si>
  <si>
    <t>significa que los caudales verdaderos a presentarse</t>
  </si>
  <si>
    <t>para su respectivo Periodo de Retorno Tr, deberian</t>
  </si>
  <si>
    <t xml:space="preserve">ser menores que aquellos estimados por la Fórmula </t>
  </si>
  <si>
    <t>Modificada de Creager.</t>
  </si>
  <si>
    <r>
      <rPr>
        <b/>
        <sz val="8"/>
        <color theme="1"/>
        <rFont val="Arial"/>
        <family val="2"/>
      </rPr>
      <t>Fuente</t>
    </r>
    <r>
      <rPr>
        <sz val="8"/>
        <color theme="1"/>
        <rFont val="Arial"/>
        <family val="2"/>
      </rPr>
      <t>: Análisis Regional de las Avenidas en los Ríos del Perú, Trau y Gutiérrez, 1979</t>
    </r>
  </si>
  <si>
    <t>* Máximo Registrado:</t>
  </si>
  <si>
    <t xml:space="preserve">hidrométricas del Perú con datos de descargas máximas medias diarias, encontraron relaciones entre estas descargas máximas y el </t>
  </si>
  <si>
    <t>área de la cuenca, especificamente determinaron la fórmula de la envolvente superior.</t>
  </si>
  <si>
    <r>
      <t>P</t>
    </r>
    <r>
      <rPr>
        <b/>
        <sz val="10"/>
        <color theme="0"/>
        <rFont val="Arial"/>
        <family val="2"/>
      </rPr>
      <t>max24h</t>
    </r>
    <r>
      <rPr>
        <b/>
        <sz val="11"/>
        <color theme="0"/>
        <rFont val="Arial"/>
        <family val="2"/>
      </rPr>
      <t xml:space="preserve"> (mm)</t>
    </r>
  </si>
  <si>
    <t xml:space="preserve">de ajuste, cual es la función de probabilidad que mejor se ajusta (estadísticamente) </t>
  </si>
  <si>
    <t>a los datos. Así entonces se tiene que:</t>
  </si>
  <si>
    <t xml:space="preserve">La Función de Probabilidad que mejor se ajusta estadísticamente al Registro </t>
  </si>
  <si>
    <t xml:space="preserve">de Datos de Precipitaciones Máximas de 24 horas de la Estación Pluviométrica </t>
  </si>
  <si>
    <t xml:space="preserve">Sin embargo no se trata de encontrar aquella función que mejor se ajuste </t>
  </si>
  <si>
    <t xml:space="preserve">estadísticamente a los datos, sino de encontrar una función representativa </t>
  </si>
  <si>
    <t xml:space="preserve">de los máximos que puedan ocurrir en la zona, por ende en base a la Tabla </t>
  </si>
  <si>
    <t xml:space="preserve">Resumen de máximos para cada función (ver más adelante) y por experiencia </t>
  </si>
  <si>
    <t>sea la función:</t>
  </si>
  <si>
    <t xml:space="preserve">del consultor, se ha decidido que la base estadística para estimar máximos </t>
  </si>
  <si>
    <t>analizada, es :</t>
  </si>
  <si>
    <t>se trabaja con aquella función que mejor representa a los máximos, esto ya se determinó al aplicar la Prueba</t>
  </si>
  <si>
    <t>precipitaciones máximas futuras para diferentes períodos de retorno, para la estación en estudio:</t>
  </si>
  <si>
    <t>* Los espacios vacíos significa que no tienen información completa.</t>
  </si>
  <si>
    <t>pero antes si vas a poner la</t>
  </si>
  <si>
    <t xml:space="preserve">pestaña "Años", impremelo primero </t>
  </si>
  <si>
    <t>y luego recien suprimes casillas</t>
  </si>
  <si>
    <t>DETERMINACIÓN DEL CAUDAL PICO</t>
  </si>
  <si>
    <t>RACIONAL MODIFICADO (Témez)</t>
  </si>
  <si>
    <t>Pendiente Cauce Principal.</t>
  </si>
  <si>
    <t>m/m</t>
  </si>
  <si>
    <r>
      <t xml:space="preserve">    </t>
    </r>
    <r>
      <rPr>
        <sz val="11"/>
        <color theme="1"/>
        <rFont val="Calibri"/>
        <family val="2"/>
      </rPr>
      <t>•</t>
    </r>
    <r>
      <rPr>
        <sz val="11"/>
        <color theme="1"/>
        <rFont val="Arial"/>
        <family val="2"/>
      </rPr>
      <t xml:space="preserve">  Tiempo de Concentración :</t>
    </r>
  </si>
  <si>
    <r>
      <t xml:space="preserve">    </t>
    </r>
    <r>
      <rPr>
        <sz val="11"/>
        <color theme="1"/>
        <rFont val="Calibri"/>
        <family val="2"/>
      </rPr>
      <t>•</t>
    </r>
    <r>
      <rPr>
        <sz val="11"/>
        <color theme="1"/>
        <rFont val="Arial"/>
        <family val="2"/>
      </rPr>
      <t xml:space="preserve">  Coeficiente de Uniformidad :</t>
    </r>
  </si>
  <si>
    <r>
      <t xml:space="preserve">    </t>
    </r>
    <r>
      <rPr>
        <sz val="11"/>
        <color theme="1"/>
        <rFont val="Calibri"/>
        <family val="2"/>
      </rPr>
      <t>•</t>
    </r>
    <r>
      <rPr>
        <sz val="11"/>
        <color theme="1"/>
        <rFont val="Arial"/>
        <family val="2"/>
      </rPr>
      <t xml:space="preserve">  Coeficiente de Simultaneidad o Factor Reductor :</t>
    </r>
  </si>
  <si>
    <r>
      <t>K</t>
    </r>
    <r>
      <rPr>
        <vertAlign val="subscript"/>
        <sz val="11"/>
        <color theme="1"/>
        <rFont val="Arial"/>
        <family val="2"/>
      </rPr>
      <t>A</t>
    </r>
    <r>
      <rPr>
        <sz val="11"/>
        <color theme="1"/>
        <rFont val="Arial"/>
        <family val="2"/>
      </rPr>
      <t xml:space="preserve"> =</t>
    </r>
  </si>
  <si>
    <t>Po =</t>
  </si>
  <si>
    <r>
      <t xml:space="preserve">    </t>
    </r>
    <r>
      <rPr>
        <sz val="11"/>
        <color theme="1"/>
        <rFont val="Calibri"/>
        <family val="2"/>
      </rPr>
      <t xml:space="preserve">•   </t>
    </r>
    <r>
      <rPr>
        <sz val="11"/>
        <color theme="1"/>
        <rFont val="Arial"/>
        <family val="2"/>
      </rPr>
      <t>Umbral de Escorrentía :</t>
    </r>
  </si>
  <si>
    <t>Siendo :</t>
  </si>
  <si>
    <t>horas de iniciado la tormenta</t>
  </si>
  <si>
    <t xml:space="preserve">   A continuación se determinará el caudal pico de la cuenca:</t>
  </si>
  <si>
    <t>µ =</t>
  </si>
  <si>
    <t>Cuenca =</t>
  </si>
  <si>
    <t>Tipo de Cuenca.</t>
  </si>
  <si>
    <t>Urbana</t>
  </si>
  <si>
    <t xml:space="preserve">Rural </t>
  </si>
  <si>
    <t>%    Porcentaje de área urbanizada.</t>
  </si>
  <si>
    <r>
      <t xml:space="preserve">Cuenca rural con µ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Arial"/>
        <family val="2"/>
      </rPr>
      <t>4%:</t>
    </r>
  </si>
  <si>
    <r>
      <t xml:space="preserve">Cuenca rural con µ </t>
    </r>
    <r>
      <rPr>
        <sz val="10"/>
        <color theme="1"/>
        <rFont val="Calibri"/>
        <family val="2"/>
      </rPr>
      <t xml:space="preserve">&gt; </t>
    </r>
    <r>
      <rPr>
        <sz val="10"/>
        <color theme="1"/>
        <rFont val="Arial"/>
        <family val="2"/>
      </rPr>
      <t>4%:</t>
    </r>
  </si>
  <si>
    <t>Cuenca Urbana:</t>
  </si>
  <si>
    <r>
      <t>I</t>
    </r>
    <r>
      <rPr>
        <b/>
        <vertAlign val="subscript"/>
        <sz val="9"/>
        <color theme="0"/>
        <rFont val="Arial"/>
        <family val="2"/>
      </rPr>
      <t xml:space="preserve">horaria </t>
    </r>
    <r>
      <rPr>
        <b/>
        <sz val="9"/>
        <color theme="0"/>
        <rFont val="Arial"/>
        <family val="2"/>
      </rPr>
      <t>(mm/h)</t>
    </r>
  </si>
  <si>
    <r>
      <t>I</t>
    </r>
    <r>
      <rPr>
        <b/>
        <vertAlign val="subscript"/>
        <sz val="9"/>
        <color theme="0"/>
        <rFont val="Arial"/>
        <family val="2"/>
      </rPr>
      <t xml:space="preserve">diaria </t>
    </r>
    <r>
      <rPr>
        <b/>
        <sz val="9"/>
        <color theme="0"/>
        <rFont val="Arial"/>
        <family val="2"/>
      </rPr>
      <t>(mm/h)</t>
    </r>
  </si>
  <si>
    <r>
      <t>P</t>
    </r>
    <r>
      <rPr>
        <b/>
        <vertAlign val="subscript"/>
        <sz val="9"/>
        <color theme="0"/>
        <rFont val="Arial"/>
        <family val="2"/>
      </rPr>
      <t xml:space="preserve">max24h </t>
    </r>
    <r>
      <rPr>
        <b/>
        <sz val="8"/>
        <color theme="0"/>
        <rFont val="Arial"/>
        <family val="2"/>
      </rPr>
      <t>(mm)</t>
    </r>
  </si>
  <si>
    <r>
      <t>P</t>
    </r>
    <r>
      <rPr>
        <b/>
        <vertAlign val="subscript"/>
        <sz val="9"/>
        <color theme="0"/>
        <rFont val="Arial"/>
        <family val="2"/>
      </rPr>
      <t xml:space="preserve">correg </t>
    </r>
    <r>
      <rPr>
        <b/>
        <sz val="8"/>
        <color theme="0"/>
        <rFont val="Arial"/>
        <family val="2"/>
      </rPr>
      <t>(mm)</t>
    </r>
  </si>
  <si>
    <r>
      <t>Tr</t>
    </r>
    <r>
      <rPr>
        <b/>
        <vertAlign val="subscript"/>
        <sz val="8"/>
        <color theme="0"/>
        <rFont val="Arial"/>
        <family val="2"/>
      </rPr>
      <t xml:space="preserve"> </t>
    </r>
    <r>
      <rPr>
        <b/>
        <sz val="8"/>
        <color theme="0"/>
        <rFont val="Arial"/>
        <family val="2"/>
      </rPr>
      <t>(años)</t>
    </r>
  </si>
  <si>
    <r>
      <t>Q</t>
    </r>
    <r>
      <rPr>
        <b/>
        <vertAlign val="subscript"/>
        <sz val="9"/>
        <color theme="0"/>
        <rFont val="Arial"/>
        <family val="2"/>
      </rPr>
      <t>pico</t>
    </r>
    <r>
      <rPr>
        <b/>
        <sz val="9"/>
        <color theme="0"/>
        <rFont val="Arial"/>
        <family val="2"/>
      </rPr>
      <t xml:space="preserve"> </t>
    </r>
    <r>
      <rPr>
        <b/>
        <sz val="8"/>
        <color theme="0"/>
        <rFont val="Arial"/>
        <family val="2"/>
      </rPr>
      <t>(m</t>
    </r>
    <r>
      <rPr>
        <b/>
        <vertAlign val="superscript"/>
        <sz val="8"/>
        <color theme="0"/>
        <rFont val="Arial"/>
        <family val="2"/>
      </rPr>
      <t>3</t>
    </r>
    <r>
      <rPr>
        <b/>
        <sz val="8"/>
        <color theme="0"/>
        <rFont val="Arial"/>
        <family val="2"/>
      </rPr>
      <t>/s)</t>
    </r>
  </si>
  <si>
    <r>
      <t>I</t>
    </r>
    <r>
      <rPr>
        <b/>
        <vertAlign val="subscript"/>
        <sz val="9"/>
        <color theme="0"/>
        <rFont val="Arial"/>
        <family val="2"/>
      </rPr>
      <t xml:space="preserve">horaria </t>
    </r>
    <r>
      <rPr>
        <b/>
        <sz val="9"/>
        <color theme="0"/>
        <rFont val="Arial"/>
        <family val="2"/>
      </rPr>
      <t>/</t>
    </r>
    <r>
      <rPr>
        <b/>
        <vertAlign val="subscript"/>
        <sz val="9"/>
        <color theme="0"/>
        <rFont val="Arial"/>
        <family val="2"/>
      </rPr>
      <t xml:space="preserve"> </t>
    </r>
    <r>
      <rPr>
        <b/>
        <sz val="9"/>
        <color theme="0"/>
        <rFont val="Arial"/>
        <family val="2"/>
      </rPr>
      <t>I</t>
    </r>
    <r>
      <rPr>
        <b/>
        <vertAlign val="subscript"/>
        <sz val="9"/>
        <color theme="0"/>
        <rFont val="Arial"/>
        <family val="2"/>
      </rPr>
      <t>diaria</t>
    </r>
  </si>
  <si>
    <r>
      <t>I</t>
    </r>
    <r>
      <rPr>
        <b/>
        <vertAlign val="subscript"/>
        <sz val="10"/>
        <color theme="0"/>
        <rFont val="Arial"/>
        <family val="2"/>
      </rPr>
      <t xml:space="preserve"> </t>
    </r>
    <r>
      <rPr>
        <b/>
        <sz val="9"/>
        <color theme="0"/>
        <rFont val="Arial"/>
        <family val="2"/>
      </rPr>
      <t>(mm/h)</t>
    </r>
  </si>
  <si>
    <t>Vida Útil de la Obra.</t>
  </si>
  <si>
    <t>R =</t>
  </si>
  <si>
    <t>Tr =</t>
  </si>
  <si>
    <t>Periodo de Retorno.</t>
  </si>
  <si>
    <t>Vida Útil
(años)</t>
  </si>
  <si>
    <t>RIESGO HIDROLÓGICO Y SELECCIÓN DEL PERIODO DE DISEÑO</t>
  </si>
  <si>
    <t>Riesgo (%)</t>
  </si>
  <si>
    <t>Riesgo.</t>
  </si>
  <si>
    <t>ESTIMACIÓN DE CAUDALES PICO - MÉTODO RACIONAL</t>
  </si>
  <si>
    <t>Nombre Microcuenca</t>
  </si>
  <si>
    <t>Progresiva (km)</t>
  </si>
  <si>
    <t>Longitud Flujo (km)</t>
  </si>
  <si>
    <t>Pendiente Flujo (m/m)</t>
  </si>
  <si>
    <r>
      <t>Re (m</t>
    </r>
    <r>
      <rPr>
        <b/>
        <vertAlign val="superscript"/>
        <sz val="11"/>
        <color theme="0"/>
        <rFont val="Arial"/>
        <family val="2"/>
      </rPr>
      <t>3</t>
    </r>
    <r>
      <rPr>
        <b/>
        <sz val="11"/>
        <color theme="0"/>
        <rFont val="Arial"/>
        <family val="2"/>
      </rPr>
      <t>/s/km</t>
    </r>
    <r>
      <rPr>
        <b/>
        <vertAlign val="superscript"/>
        <sz val="11"/>
        <color theme="0"/>
        <rFont val="Arial"/>
        <family val="2"/>
      </rPr>
      <t>2</t>
    </r>
    <r>
      <rPr>
        <b/>
        <sz val="11"/>
        <color theme="0"/>
        <rFont val="Arial"/>
        <family val="2"/>
      </rPr>
      <t>)</t>
    </r>
  </si>
  <si>
    <t>Nro.</t>
  </si>
  <si>
    <t>Tiempo Concentración Kirpich (min)</t>
  </si>
  <si>
    <t>Tiempo Concentración NRCS (min)</t>
  </si>
  <si>
    <t>Tiempo Concentración Témez (min)</t>
  </si>
  <si>
    <r>
      <t>Área Aportante (km</t>
    </r>
    <r>
      <rPr>
        <b/>
        <vertAlign val="superscript"/>
        <sz val="10"/>
        <color theme="0"/>
        <rFont val="Arial"/>
        <family val="2"/>
      </rPr>
      <t>2</t>
    </r>
    <r>
      <rPr>
        <b/>
        <sz val="10"/>
        <color theme="0"/>
        <rFont val="Arial"/>
        <family val="2"/>
      </rPr>
      <t>)</t>
    </r>
  </si>
  <si>
    <t>Estación Pluviométrica Influyente</t>
  </si>
  <si>
    <t>Pendiente Microcuenca (%)</t>
  </si>
  <si>
    <t>Tiempo Concentración Bransby William (min)</t>
  </si>
  <si>
    <t>Tiempo Concentración FAA (min)</t>
  </si>
  <si>
    <t>k</t>
  </si>
  <si>
    <t>F. Bell</t>
  </si>
  <si>
    <t>NRCS</t>
  </si>
  <si>
    <t>IILA-SENAMHI-UNI</t>
  </si>
  <si>
    <t>Precipitación máx. de 24 horas (mm)</t>
  </si>
  <si>
    <t>ANALISIS DE INFORMACION DE PRECIPITACIONES MAXIMAS DE 24 HORAS</t>
  </si>
  <si>
    <r>
      <t>Log(P</t>
    </r>
    <r>
      <rPr>
        <b/>
        <vertAlign val="subscript"/>
        <sz val="10"/>
        <color theme="0"/>
        <rFont val="Arial"/>
        <family val="2"/>
      </rPr>
      <t>max24h</t>
    </r>
    <r>
      <rPr>
        <b/>
        <sz val="10"/>
        <color theme="0"/>
        <rFont val="Arial"/>
        <family val="2"/>
      </rPr>
      <t>)</t>
    </r>
  </si>
  <si>
    <t>DISTRIBUCIÓN GUMBEL (EXTREMA TIPO I) :</t>
  </si>
  <si>
    <t>Log Normal II</t>
  </si>
  <si>
    <t>Gumbel (EVI)</t>
  </si>
  <si>
    <t>DISTRIBUCIÓN LOG PEARSON III :</t>
  </si>
  <si>
    <t>DISTRIBUCIÓN LOG NORMAL - II PARAMETROS :</t>
  </si>
  <si>
    <t xml:space="preserve">La Organización Meteorológica Mundial (OMM) recomienda corregir las mediciones de Pmax_diarias multiplicándolas por un factor que </t>
  </si>
  <si>
    <t>ANALISIS DE DATOS DUDOSOS ALTOS Y BAJOS</t>
  </si>
  <si>
    <r>
      <t>P</t>
    </r>
    <r>
      <rPr>
        <b/>
        <vertAlign val="subscript"/>
        <sz val="9"/>
        <color theme="0"/>
        <rFont val="Arial"/>
        <family val="2"/>
      </rPr>
      <t>max_24h</t>
    </r>
    <r>
      <rPr>
        <b/>
        <sz val="9"/>
        <color theme="0"/>
        <rFont val="Arial"/>
        <family val="2"/>
      </rPr>
      <t xml:space="preserve"> Medido </t>
    </r>
    <r>
      <rPr>
        <b/>
        <sz val="11"/>
        <color theme="0"/>
        <rFont val="Arial"/>
        <family val="2"/>
      </rPr>
      <t xml:space="preserve"> (mm)</t>
    </r>
  </si>
  <si>
    <r>
      <t>Log (P</t>
    </r>
    <r>
      <rPr>
        <b/>
        <vertAlign val="subscript"/>
        <sz val="11"/>
        <color theme="0"/>
        <rFont val="Arial"/>
        <family val="2"/>
      </rPr>
      <t>max_24h</t>
    </r>
    <r>
      <rPr>
        <b/>
        <sz val="11"/>
        <color theme="0"/>
        <rFont val="Arial"/>
        <family val="2"/>
      </rPr>
      <t>)</t>
    </r>
  </si>
  <si>
    <t>Cálculos previos:</t>
  </si>
  <si>
    <r>
      <t>K</t>
    </r>
    <r>
      <rPr>
        <vertAlign val="subscript"/>
        <sz val="11"/>
        <color theme="1"/>
        <rFont val="Arial"/>
        <family val="2"/>
      </rPr>
      <t>n</t>
    </r>
    <r>
      <rPr>
        <sz val="11"/>
        <color theme="1"/>
        <rFont val="Arial"/>
        <family val="2"/>
      </rPr>
      <t xml:space="preserve"> =</t>
    </r>
  </si>
  <si>
    <t>Valor para el N° de datos (ver Tabla 1)</t>
  </si>
  <si>
    <r>
      <t>y</t>
    </r>
    <r>
      <rPr>
        <vertAlign val="subscript"/>
        <sz val="11"/>
        <color theme="1"/>
        <rFont val="Arial"/>
        <family val="2"/>
      </rPr>
      <t>H</t>
    </r>
    <r>
      <rPr>
        <sz val="11"/>
        <color theme="1"/>
        <rFont val="Arial"/>
        <family val="2"/>
      </rPr>
      <t xml:space="preserve"> =</t>
    </r>
  </si>
  <si>
    <r>
      <t>y</t>
    </r>
    <r>
      <rPr>
        <vertAlign val="subscript"/>
        <sz val="11"/>
        <color theme="1"/>
        <rFont val="Arial"/>
        <family val="2"/>
      </rPr>
      <t>L</t>
    </r>
    <r>
      <rPr>
        <sz val="11"/>
        <color theme="1"/>
        <rFont val="Arial"/>
        <family val="2"/>
      </rPr>
      <t xml:space="preserve"> =</t>
    </r>
  </si>
  <si>
    <t xml:space="preserve">              Tabla N°1</t>
  </si>
  <si>
    <t>Fuente:    • Hidrologia Aplicada - Chow (1994)</t>
  </si>
  <si>
    <r>
      <t>P</t>
    </r>
    <r>
      <rPr>
        <vertAlign val="subscript"/>
        <sz val="11"/>
        <color theme="1"/>
        <rFont val="Arial"/>
        <family val="2"/>
      </rPr>
      <t>max_H</t>
    </r>
    <r>
      <rPr>
        <sz val="11"/>
        <color theme="1"/>
        <rFont val="Arial"/>
        <family val="2"/>
      </rPr>
      <t xml:space="preserve"> =</t>
    </r>
  </si>
  <si>
    <t>Límite máximo de datos no dudosos</t>
  </si>
  <si>
    <r>
      <t>P</t>
    </r>
    <r>
      <rPr>
        <vertAlign val="subscript"/>
        <sz val="11"/>
        <color theme="1"/>
        <rFont val="Arial"/>
        <family val="2"/>
      </rPr>
      <t>min_L</t>
    </r>
    <r>
      <rPr>
        <sz val="11"/>
        <color theme="1"/>
        <rFont val="Arial"/>
        <family val="2"/>
      </rPr>
      <t xml:space="preserve"> =</t>
    </r>
  </si>
  <si>
    <t>Límite mínimo de datos no dudosos</t>
  </si>
  <si>
    <t>Conclusion:</t>
  </si>
  <si>
    <t>La totalidad de datos se encuentra dentro del rango superior e inferior de dato</t>
  </si>
  <si>
    <t>dudoso, por lo tanto no se excluye ningun dato y todos son ingresados a la</t>
  </si>
  <si>
    <t>prueba de bondad de ajuste.</t>
  </si>
  <si>
    <t>Media (X)</t>
  </si>
  <si>
    <t>Desv. Est (S)</t>
  </si>
  <si>
    <t>N° datos</t>
  </si>
  <si>
    <r>
      <t>K</t>
    </r>
    <r>
      <rPr>
        <b/>
        <vertAlign val="subscript"/>
        <sz val="10"/>
        <color theme="1"/>
        <rFont val="Arial"/>
        <family val="2"/>
      </rPr>
      <t>n</t>
    </r>
  </si>
  <si>
    <t>CALCULO DE PRECIPITACION MÁXIMA PROBABLE (PMP)</t>
  </si>
  <si>
    <t>Pmax_24h promedio (mm)</t>
  </si>
  <si>
    <r>
      <t>K</t>
    </r>
    <r>
      <rPr>
        <b/>
        <vertAlign val="subscript"/>
        <sz val="10"/>
        <color theme="1"/>
        <rFont val="Arial"/>
        <family val="2"/>
      </rPr>
      <t>m</t>
    </r>
  </si>
  <si>
    <r>
      <t>P</t>
    </r>
    <r>
      <rPr>
        <b/>
        <vertAlign val="subscript"/>
        <sz val="9"/>
        <color theme="0"/>
        <rFont val="Arial"/>
        <family val="2"/>
      </rPr>
      <t>max_24h</t>
    </r>
    <r>
      <rPr>
        <b/>
        <sz val="11"/>
        <color theme="0"/>
        <rFont val="Arial"/>
        <family val="2"/>
      </rPr>
      <t xml:space="preserve"> (mm)</t>
    </r>
  </si>
  <si>
    <t>Método:  HERSHFIELD</t>
  </si>
  <si>
    <r>
      <t>K</t>
    </r>
    <r>
      <rPr>
        <vertAlign val="subscript"/>
        <sz val="11"/>
        <color theme="1"/>
        <rFont val="Arial"/>
        <family val="2"/>
      </rPr>
      <t>m</t>
    </r>
    <r>
      <rPr>
        <sz val="11"/>
        <color theme="1"/>
        <rFont val="Arial"/>
        <family val="2"/>
      </rPr>
      <t xml:space="preserve"> =</t>
    </r>
  </si>
  <si>
    <t>Valor de Km (ver Gráfico 1)</t>
  </si>
  <si>
    <t xml:space="preserve">           Gráfico N°1</t>
  </si>
  <si>
    <t>Fuente:    • Guia de Prácticas Hidrológicas 5 Edicion - OMM (1994)</t>
  </si>
  <si>
    <t>PMP =</t>
  </si>
  <si>
    <t>Precipitacion máxima probable de 24 horas</t>
  </si>
  <si>
    <t>Por recomendación de la OMM, la PMP calculada por el método de Hershfield, debe ser</t>
  </si>
  <si>
    <t>reducida según el tamaño de cuenca en donde se aplique, véase Gráfico 2.</t>
  </si>
  <si>
    <t xml:space="preserve">           Gráfico N°2</t>
  </si>
  <si>
    <t>Precipitación máxima probable</t>
  </si>
  <si>
    <t>de 24 horas</t>
  </si>
  <si>
    <t>Se muestra la información pluviométrica disponible en la siguiente tabla, y en donde además se escogerá el rango de años a considerar para el Estudio Hidrológico:</t>
  </si>
  <si>
    <t>N° años :</t>
  </si>
  <si>
    <t>Obra</t>
  </si>
  <si>
    <t>Puente</t>
  </si>
  <si>
    <t>Alcantarilla Alivio</t>
  </si>
  <si>
    <t>Baden</t>
  </si>
  <si>
    <t>Subdren</t>
  </si>
  <si>
    <t>Defensa Ribereña</t>
  </si>
  <si>
    <t>R (%)</t>
  </si>
  <si>
    <t>n (años)</t>
  </si>
  <si>
    <t>Ponton</t>
  </si>
  <si>
    <t>Cuneta - Bordillo</t>
  </si>
  <si>
    <t>Alcantarilla Paso Qda.</t>
  </si>
  <si>
    <r>
      <t>Tr</t>
    </r>
    <r>
      <rPr>
        <b/>
        <vertAlign val="subscript"/>
        <sz val="11"/>
        <color theme="0"/>
        <rFont val="Arial"/>
        <family val="2"/>
      </rPr>
      <t>min</t>
    </r>
    <r>
      <rPr>
        <b/>
        <sz val="11"/>
        <color theme="0"/>
        <rFont val="Arial"/>
        <family val="2"/>
      </rPr>
      <t xml:space="preserve"> (años)</t>
    </r>
  </si>
  <si>
    <r>
      <t>Tr</t>
    </r>
    <r>
      <rPr>
        <b/>
        <vertAlign val="subscript"/>
        <sz val="11"/>
        <color theme="0"/>
        <rFont val="Arial"/>
        <family val="2"/>
      </rPr>
      <t>diseño</t>
    </r>
    <r>
      <rPr>
        <b/>
        <sz val="11"/>
        <color theme="0"/>
        <rFont val="Arial"/>
        <family val="2"/>
      </rPr>
      <t xml:space="preserve"> (años)</t>
    </r>
  </si>
  <si>
    <t>n: vida útil</t>
  </si>
  <si>
    <t>R: riesgo admisible</t>
  </si>
  <si>
    <t>Tr: periodo de retorno</t>
  </si>
  <si>
    <t xml:space="preserve">PARÁMETROS GEOMORFOLÓGICOS DE CUENCA Y SUBCUENCAS - CALCULO TIEMPO CONCENTRACIÓN Y TIEMPO RETARDO </t>
  </si>
  <si>
    <t xml:space="preserve">PARÁMETROS GEOMORFOLÓGICOS DE CUENCA Y SUBCUENCAS - CALCULO DE TIEMPO DE RETARDO </t>
  </si>
  <si>
    <r>
      <t>Qp TR10 (m</t>
    </r>
    <r>
      <rPr>
        <b/>
        <vertAlign val="superscript"/>
        <sz val="11"/>
        <color theme="0"/>
        <rFont val="Arial"/>
        <family val="2"/>
      </rPr>
      <t>3</t>
    </r>
    <r>
      <rPr>
        <b/>
        <sz val="11"/>
        <color theme="0"/>
        <rFont val="Arial"/>
        <family val="2"/>
      </rPr>
      <t>/s)</t>
    </r>
  </si>
  <si>
    <r>
      <t>Qp TR25 (m</t>
    </r>
    <r>
      <rPr>
        <b/>
        <vertAlign val="superscript"/>
        <sz val="11"/>
        <color theme="0"/>
        <rFont val="Arial"/>
        <family val="2"/>
      </rPr>
      <t>3</t>
    </r>
    <r>
      <rPr>
        <b/>
        <sz val="11"/>
        <color theme="0"/>
        <rFont val="Arial"/>
        <family val="2"/>
      </rPr>
      <t>/s)</t>
    </r>
  </si>
  <si>
    <r>
      <t>Qp TR50 (m</t>
    </r>
    <r>
      <rPr>
        <b/>
        <vertAlign val="superscript"/>
        <sz val="11"/>
        <color theme="0"/>
        <rFont val="Arial"/>
        <family val="2"/>
      </rPr>
      <t>3</t>
    </r>
    <r>
      <rPr>
        <b/>
        <sz val="11"/>
        <color theme="0"/>
        <rFont val="Arial"/>
        <family val="2"/>
      </rPr>
      <t>/s)</t>
    </r>
  </si>
  <si>
    <t>Intensidad Máxima  TR10   (mm/hr)</t>
  </si>
  <si>
    <t>Intensidad Máxima  TR25   (mm/hr)</t>
  </si>
  <si>
    <t>Intensidad Máxima  TR50   (mm/hr)</t>
  </si>
  <si>
    <t xml:space="preserve">      </t>
  </si>
  <si>
    <t>Hora</t>
  </si>
  <si>
    <t>(hr)</t>
  </si>
  <si>
    <r>
      <t xml:space="preserve">PARÁMETROS GEOMORFOLÓGICOS DE LA CUENCA DE </t>
    </r>
    <r>
      <rPr>
        <b/>
        <sz val="9"/>
        <color rgb="FFFF0000"/>
        <rFont val="Arial"/>
        <family val="2"/>
      </rPr>
      <t xml:space="preserve"> UCHIZA</t>
    </r>
  </si>
  <si>
    <t>PARÁMETROS GEOMORFOLÓGICOS DE CUENCA UCHIZA</t>
  </si>
  <si>
    <t>CUENCA 2</t>
  </si>
  <si>
    <t>CUENCA 1</t>
  </si>
  <si>
    <t>San Roque</t>
  </si>
  <si>
    <t>A1 area libre</t>
  </si>
  <si>
    <t>A2 Techos</t>
  </si>
  <si>
    <t>Coeficiente de escorrentia</t>
  </si>
  <si>
    <t>CA1</t>
  </si>
  <si>
    <t>CA2</t>
  </si>
  <si>
    <t>CA3</t>
  </si>
  <si>
    <t>Techos</t>
  </si>
  <si>
    <t>Zonas verdes o area libre</t>
  </si>
  <si>
    <t>Concreto</t>
  </si>
  <si>
    <t>A3 Concreto</t>
  </si>
  <si>
    <t>UTP 01</t>
  </si>
  <si>
    <t>UTP 02</t>
  </si>
  <si>
    <r>
      <t>P</t>
    </r>
    <r>
      <rPr>
        <b/>
        <vertAlign val="subscript"/>
        <sz val="12"/>
        <color theme="0"/>
        <rFont val="Arial"/>
        <family val="2"/>
      </rPr>
      <t>acumulada</t>
    </r>
    <r>
      <rPr>
        <b/>
        <sz val="12"/>
        <color theme="0"/>
        <rFont val="Arial"/>
        <family val="2"/>
      </rPr>
      <t xml:space="preserve"> (%)</t>
    </r>
  </si>
  <si>
    <r>
      <t>P</t>
    </r>
    <r>
      <rPr>
        <b/>
        <vertAlign val="subscript"/>
        <sz val="12"/>
        <color theme="0"/>
        <rFont val="Arial"/>
        <family val="2"/>
      </rPr>
      <t>incremental</t>
    </r>
    <r>
      <rPr>
        <b/>
        <sz val="12"/>
        <color theme="0"/>
        <rFont val="Arial"/>
        <family val="2"/>
      </rPr>
      <t xml:space="preserve"> (%)</t>
    </r>
  </si>
  <si>
    <r>
      <t>P</t>
    </r>
    <r>
      <rPr>
        <b/>
        <vertAlign val="subscript"/>
        <sz val="12"/>
        <color theme="0"/>
        <rFont val="Arial"/>
        <family val="2"/>
      </rPr>
      <t xml:space="preserve">acumulad </t>
    </r>
    <r>
      <rPr>
        <b/>
        <sz val="12"/>
        <color theme="0"/>
        <rFont val="Arial"/>
        <family val="2"/>
      </rPr>
      <t>(mm)</t>
    </r>
  </si>
  <si>
    <r>
      <t>P</t>
    </r>
    <r>
      <rPr>
        <b/>
        <vertAlign val="subscript"/>
        <sz val="12"/>
        <color theme="0"/>
        <rFont val="Arial"/>
        <family val="2"/>
      </rPr>
      <t xml:space="preserve">incremen </t>
    </r>
    <r>
      <rPr>
        <b/>
        <sz val="12"/>
        <color theme="0"/>
        <rFont val="Arial"/>
        <family val="2"/>
      </rPr>
      <t>(mm)</t>
    </r>
  </si>
  <si>
    <r>
      <t>P</t>
    </r>
    <r>
      <rPr>
        <b/>
        <vertAlign val="subscript"/>
        <sz val="12"/>
        <color theme="0"/>
        <rFont val="Arial"/>
        <family val="2"/>
      </rPr>
      <t xml:space="preserve">increm </t>
    </r>
    <r>
      <rPr>
        <b/>
        <sz val="12"/>
        <color theme="0"/>
        <rFont val="Arial"/>
        <family val="2"/>
      </rPr>
      <t>(mm)</t>
    </r>
  </si>
  <si>
    <r>
      <t>P</t>
    </r>
    <r>
      <rPr>
        <b/>
        <vertAlign val="subscript"/>
        <sz val="12"/>
        <color theme="0"/>
        <rFont val="Arial"/>
        <family val="2"/>
      </rPr>
      <t xml:space="preserve">acumul </t>
    </r>
    <r>
      <rPr>
        <b/>
        <sz val="12"/>
        <color theme="0"/>
        <rFont val="Arial"/>
        <family val="2"/>
      </rPr>
      <t>(mm)</t>
    </r>
  </si>
  <si>
    <t xml:space="preserve">Para usa primer activa un programa de MACROS llamado ATPVBAEN.XLAM </t>
  </si>
  <si>
    <t>En el tiempo de concentracion se usara probablemtne el de FAA.</t>
  </si>
  <si>
    <t>Kirpich es mas que nada para cultivos.</t>
  </si>
  <si>
    <r>
      <t xml:space="preserve">  </t>
    </r>
    <r>
      <rPr>
        <b/>
        <sz val="10"/>
        <rFont val="Arial"/>
        <family val="2"/>
      </rPr>
      <t>MÉTODO</t>
    </r>
    <r>
      <rPr>
        <b/>
        <sz val="11"/>
        <rFont val="Arial"/>
        <family val="2"/>
      </rPr>
      <t xml:space="preserve"> :</t>
    </r>
  </si>
  <si>
    <t>Para una duración de 10 minutos</t>
  </si>
  <si>
    <t>Para un periodo de retorno de 50 años</t>
  </si>
  <si>
    <t>Intensidad (I) =</t>
  </si>
  <si>
    <t>HMS</t>
  </si>
  <si>
    <t>Buena Vista →</t>
  </si>
  <si>
    <t>YANTAC</t>
  </si>
  <si>
    <t>Junin</t>
  </si>
  <si>
    <t>Yauli</t>
  </si>
  <si>
    <t>Marcapomacocha</t>
  </si>
  <si>
    <t>11° 20' S</t>
  </si>
  <si>
    <t>76° 24' W</t>
  </si>
  <si>
    <t>Log Normal 2P</t>
  </si>
  <si>
    <t>Gumbel</t>
  </si>
  <si>
    <t>Pearson Tipo 3</t>
  </si>
  <si>
    <t>Log Pearson Tipo 3</t>
  </si>
  <si>
    <t>ESTACIÓN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</si>
</sst>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* #,##0.00_ ;_ * \-#,##0.00_ ;_ * &quot;-&quot;??_ ;_ @_ "/>
    <numFmt numFmtId="165" formatCode="0.0000"/>
    <numFmt numFmtId="166" formatCode="0.000"/>
    <numFmt numFmtId="167" formatCode="0.0"/>
    <numFmt numFmtId="168" formatCode="0,000"/>
    <numFmt numFmtId="169" formatCode="0.00000"/>
    <numFmt numFmtId="170" formatCode="0.000000"/>
    <numFmt numFmtId="171" formatCode="0.00000E+00"/>
  </numFmts>
  <fonts count="10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.1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9"/>
      <name val="Times New Roman"/>
      <family val="1"/>
    </font>
    <font>
      <sz val="9"/>
      <name val="Calibri"/>
      <family val="2"/>
    </font>
    <font>
      <sz val="8"/>
      <name val="Times New Roman"/>
      <family val="1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/>
      <name val="Arial"/>
      <family val="2"/>
    </font>
    <font>
      <b/>
      <sz val="11"/>
      <color theme="1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vertAlign val="subscript"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sz val="12"/>
      <name val="Times New Roman"/>
      <family val="1"/>
    </font>
    <font>
      <i/>
      <sz val="11"/>
      <color theme="1"/>
      <name val="Calibri"/>
      <family val="2"/>
      <scheme val="minor"/>
    </font>
    <font>
      <b/>
      <vertAlign val="subscript"/>
      <sz val="11"/>
      <color theme="0"/>
      <name val="Arial"/>
      <family val="2"/>
    </font>
    <font>
      <b/>
      <vertAlign val="superscript"/>
      <sz val="11"/>
      <color theme="0"/>
      <name val="Arial"/>
      <family val="2"/>
    </font>
    <font>
      <b/>
      <vertAlign val="subscript"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2"/>
      <name val="Arial"/>
      <family val="2"/>
    </font>
    <font>
      <b/>
      <vertAlign val="subscript"/>
      <sz val="10"/>
      <color theme="0"/>
      <name val="Arial"/>
      <family val="2"/>
    </font>
    <font>
      <b/>
      <sz val="11"/>
      <name val="Arial"/>
      <family val="2"/>
    </font>
    <font>
      <sz val="9.35"/>
      <color theme="1"/>
      <name val="Calibri"/>
      <family val="2"/>
    </font>
    <font>
      <sz val="9.35"/>
      <color theme="1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b/>
      <i/>
      <sz val="11"/>
      <color theme="1"/>
      <name val="Calibri"/>
      <family val="2"/>
      <scheme val="minor"/>
    </font>
    <font>
      <b/>
      <sz val="12"/>
      <color theme="0" tint="-4.9989318521683403E-2"/>
      <name val="Arial"/>
      <family val="2"/>
    </font>
    <font>
      <b/>
      <vertAlign val="subscript"/>
      <sz val="9"/>
      <color theme="0"/>
      <name val="Arial"/>
      <family val="2"/>
    </font>
    <font>
      <sz val="8"/>
      <color indexed="81"/>
      <name val="Tahoma"/>
      <family val="2"/>
    </font>
    <font>
      <b/>
      <vertAlign val="superscript"/>
      <sz val="10"/>
      <color theme="0"/>
      <name val="Arial"/>
      <family val="2"/>
    </font>
    <font>
      <sz val="10"/>
      <color theme="1"/>
      <name val="Calibri"/>
      <family val="2"/>
      <scheme val="minor"/>
    </font>
    <font>
      <b/>
      <sz val="8"/>
      <color theme="0"/>
      <name val="Arial"/>
      <family val="2"/>
    </font>
    <font>
      <sz val="10"/>
      <color rgb="FFFF0000"/>
      <name val="Arial"/>
      <family val="2"/>
    </font>
    <font>
      <b/>
      <sz val="11"/>
      <color rgb="FFC00000"/>
      <name val="Arial"/>
      <family val="2"/>
    </font>
    <font>
      <sz val="9"/>
      <name val="Arial"/>
      <family val="2"/>
    </font>
    <font>
      <b/>
      <sz val="10"/>
      <color rgb="FF00B050"/>
      <name val="Arial"/>
      <family val="2"/>
    </font>
    <font>
      <b/>
      <sz val="9"/>
      <color rgb="FFC0000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0" tint="-0.499984740745262"/>
      <name val="Arial"/>
      <family val="2"/>
    </font>
    <font>
      <b/>
      <sz val="11"/>
      <color theme="0"/>
      <name val="Calibri"/>
      <family val="2"/>
      <scheme val="minor"/>
    </font>
    <font>
      <b/>
      <vertAlign val="superscript"/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4"/>
      <color theme="0" tint="-4.9989318521683403E-2"/>
      <name val="Arial"/>
      <family val="2"/>
    </font>
    <font>
      <b/>
      <i/>
      <sz val="11"/>
      <color theme="0"/>
      <name val="Arial"/>
      <family val="2"/>
    </font>
    <font>
      <sz val="9.9"/>
      <color theme="1"/>
      <name val="Arial"/>
      <family val="2"/>
    </font>
    <font>
      <sz val="9"/>
      <color indexed="81"/>
      <name val="Calibri"/>
      <family val="2"/>
    </font>
    <font>
      <sz val="10.35"/>
      <color indexed="81"/>
      <name val="Tahoma"/>
      <family val="2"/>
    </font>
    <font>
      <sz val="8"/>
      <color rgb="FF000000"/>
      <name val="Tahoma"/>
      <family val="2"/>
    </font>
    <font>
      <b/>
      <u/>
      <sz val="11"/>
      <color rgb="FFC00000"/>
      <name val="Arial"/>
      <family val="2"/>
    </font>
    <font>
      <b/>
      <sz val="8"/>
      <color theme="1"/>
      <name val="Arial"/>
      <family val="2"/>
    </font>
    <font>
      <b/>
      <i/>
      <sz val="10"/>
      <color theme="1"/>
      <name val="Arial"/>
      <family val="2"/>
    </font>
    <font>
      <b/>
      <sz val="14"/>
      <color theme="1"/>
      <name val="Arial"/>
      <family val="2"/>
    </font>
    <font>
      <sz val="10"/>
      <color theme="1"/>
      <name val="Calibri"/>
      <family val="2"/>
    </font>
    <font>
      <b/>
      <vertAlign val="subscript"/>
      <sz val="8"/>
      <color theme="0"/>
      <name val="Arial"/>
      <family val="2"/>
    </font>
    <font>
      <b/>
      <vertAlign val="superscript"/>
      <sz val="8"/>
      <color theme="0"/>
      <name val="Arial"/>
      <family val="2"/>
    </font>
    <font>
      <b/>
      <sz val="12"/>
      <color rgb="FF000000"/>
      <name val="Arial"/>
      <family val="2"/>
    </font>
    <font>
      <b/>
      <sz val="11"/>
      <color theme="0" tint="-4.9989318521683403E-2"/>
      <name val="Arial"/>
      <family val="2"/>
    </font>
    <font>
      <b/>
      <vertAlign val="subscript"/>
      <sz val="10"/>
      <color theme="1"/>
      <name val="Arial"/>
      <family val="2"/>
    </font>
    <font>
      <sz val="10"/>
      <color rgb="FFC00000"/>
      <name val="Arial"/>
      <family val="2"/>
    </font>
    <font>
      <b/>
      <i/>
      <sz val="11"/>
      <color theme="1"/>
      <name val="Arial"/>
      <family val="2"/>
    </font>
    <font>
      <b/>
      <sz val="10"/>
      <color theme="0" tint="-4.9989318521683403E-2"/>
      <name val="Arial"/>
      <family val="2"/>
    </font>
    <font>
      <sz val="8"/>
      <name val="Calibri"/>
      <family val="2"/>
      <scheme val="minor"/>
    </font>
    <font>
      <b/>
      <vertAlign val="subscript"/>
      <sz val="12"/>
      <color theme="0"/>
      <name val="Arial"/>
      <family val="2"/>
    </font>
    <font>
      <b/>
      <sz val="11"/>
      <color rgb="FFFF0000"/>
      <name val="Arial"/>
      <family val="2"/>
    </font>
    <font>
      <b/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4"/>
      <color theme="1"/>
      <name val="Arial"/>
      <family val="2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49998474074526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164" fontId="5" fillId="0" borderId="0" applyFont="0" applyFill="0" applyBorder="0" applyAlignment="0" applyProtection="0"/>
    <xf numFmtId="0" fontId="20" fillId="0" borderId="0"/>
    <xf numFmtId="0" fontId="25" fillId="0" borderId="0"/>
    <xf numFmtId="0" fontId="20" fillId="0" borderId="0"/>
    <xf numFmtId="0" fontId="5" fillId="0" borderId="0"/>
    <xf numFmtId="0" fontId="20" fillId="0" borderId="0"/>
    <xf numFmtId="0" fontId="20" fillId="0" borderId="0"/>
  </cellStyleXfs>
  <cellXfs count="697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top"/>
    </xf>
    <xf numFmtId="166" fontId="0" fillId="0" borderId="0" xfId="0" applyNumberFormat="1" applyAlignment="1">
      <alignment horizontal="left" vertical="top" indent="1"/>
    </xf>
    <xf numFmtId="166" fontId="0" fillId="0" borderId="0" xfId="0" applyNumberFormat="1" applyAlignment="1">
      <alignment horizontal="center" vertical="top"/>
    </xf>
    <xf numFmtId="167" fontId="0" fillId="0" borderId="0" xfId="0" applyNumberFormat="1" applyAlignment="1">
      <alignment horizontal="left" vertical="top" indent="2"/>
    </xf>
    <xf numFmtId="168" fontId="0" fillId="0" borderId="0" xfId="0" applyNumberFormat="1" applyAlignment="1">
      <alignment horizontal="left" vertical="top" indent="1"/>
    </xf>
    <xf numFmtId="0" fontId="0" fillId="0" borderId="0" xfId="0" applyAlignment="1">
      <alignment horizontal="left" vertical="top" indent="1"/>
    </xf>
    <xf numFmtId="1" fontId="0" fillId="0" borderId="0" xfId="0" applyNumberFormat="1" applyAlignment="1">
      <alignment horizontal="left" vertical="top" indent="2"/>
    </xf>
    <xf numFmtId="0" fontId="0" fillId="0" borderId="0" xfId="0" applyAlignment="1">
      <alignment horizontal="left" vertical="top" indent="2"/>
    </xf>
    <xf numFmtId="166" fontId="0" fillId="2" borderId="0" xfId="1" applyNumberFormat="1" applyFont="1" applyFill="1" applyBorder="1" applyAlignment="1">
      <alignment horizontal="center" vertical="top"/>
    </xf>
    <xf numFmtId="166" fontId="0" fillId="0" borderId="0" xfId="1" applyNumberFormat="1" applyFont="1" applyFill="1" applyBorder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167" fontId="0" fillId="0" borderId="0" xfId="0" applyNumberFormat="1"/>
    <xf numFmtId="0" fontId="7" fillId="0" borderId="0" xfId="0" applyFont="1" applyAlignment="1">
      <alignment horizontal="center"/>
    </xf>
    <xf numFmtId="167" fontId="7" fillId="0" borderId="0" xfId="0" applyNumberFormat="1" applyFont="1" applyAlignment="1">
      <alignment horizontal="center"/>
    </xf>
    <xf numFmtId="0" fontId="6" fillId="0" borderId="0" xfId="0" applyFont="1"/>
    <xf numFmtId="0" fontId="7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166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/>
    <xf numFmtId="0" fontId="6" fillId="0" borderId="0" xfId="0" applyFont="1" applyAlignment="1">
      <alignment horizontal="left"/>
    </xf>
    <xf numFmtId="0" fontId="7" fillId="3" borderId="0" xfId="0" applyFont="1" applyFill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166" fontId="0" fillId="0" borderId="0" xfId="0" applyNumberFormat="1"/>
    <xf numFmtId="166" fontId="15" fillId="0" borderId="9" xfId="0" applyNumberFormat="1" applyFont="1" applyBorder="1" applyAlignment="1">
      <alignment horizontal="center" vertical="center"/>
    </xf>
    <xf numFmtId="166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66" fontId="15" fillId="0" borderId="10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67" fontId="15" fillId="0" borderId="0" xfId="0" applyNumberFormat="1" applyFont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" fontId="0" fillId="0" borderId="18" xfId="0" applyNumberFormat="1" applyBorder="1" applyAlignment="1">
      <alignment horizontal="left" vertical="top" indent="1"/>
    </xf>
    <xf numFmtId="165" fontId="15" fillId="0" borderId="1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165" fontId="15" fillId="0" borderId="9" xfId="0" applyNumberFormat="1" applyFont="1" applyBorder="1" applyAlignment="1">
      <alignment horizontal="center" vertical="center"/>
    </xf>
    <xf numFmtId="167" fontId="15" fillId="0" borderId="8" xfId="0" applyNumberFormat="1" applyFont="1" applyBorder="1" applyAlignment="1">
      <alignment horizontal="center" vertical="center"/>
    </xf>
    <xf numFmtId="167" fontId="15" fillId="0" borderId="4" xfId="0" applyNumberFormat="1" applyFont="1" applyBorder="1" applyAlignment="1">
      <alignment horizontal="center" vertical="center"/>
    </xf>
    <xf numFmtId="165" fontId="15" fillId="0" borderId="10" xfId="0" applyNumberFormat="1" applyFont="1" applyBorder="1" applyAlignment="1">
      <alignment horizontal="center" vertical="center"/>
    </xf>
    <xf numFmtId="167" fontId="15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2" fontId="6" fillId="0" borderId="0" xfId="0" applyNumberFormat="1" applyFont="1" applyAlignment="1">
      <alignment horizontal="left" vertical="center"/>
    </xf>
    <xf numFmtId="167" fontId="6" fillId="0" borderId="0" xfId="0" applyNumberFormat="1" applyFont="1" applyAlignment="1">
      <alignment horizontal="left"/>
    </xf>
    <xf numFmtId="0" fontId="6" fillId="0" borderId="0" xfId="0" applyFont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167" fontId="6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167" fontId="7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left" vertical="top"/>
    </xf>
    <xf numFmtId="2" fontId="6" fillId="0" borderId="0" xfId="0" applyNumberFormat="1" applyFont="1" applyAlignment="1">
      <alignment horizontal="left"/>
    </xf>
    <xf numFmtId="167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166" fontId="7" fillId="0" borderId="0" xfId="0" applyNumberFormat="1" applyFont="1" applyAlignment="1">
      <alignment horizontal="center"/>
    </xf>
    <xf numFmtId="166" fontId="10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9" fontId="0" fillId="0" borderId="18" xfId="0" applyNumberFormat="1" applyBorder="1" applyAlignment="1">
      <alignment horizontal="left" vertical="top" indent="1"/>
    </xf>
    <xf numFmtId="167" fontId="11" fillId="0" borderId="0" xfId="0" applyNumberFormat="1" applyFont="1" applyAlignment="1">
      <alignment horizontal="left" vertical="center" wrapText="1"/>
    </xf>
    <xf numFmtId="166" fontId="15" fillId="0" borderId="35" xfId="0" applyNumberFormat="1" applyFont="1" applyBorder="1" applyAlignment="1">
      <alignment horizontal="center" vertical="center"/>
    </xf>
    <xf numFmtId="167" fontId="15" fillId="0" borderId="2" xfId="0" applyNumberFormat="1" applyFont="1" applyBorder="1" applyAlignment="1">
      <alignment horizontal="center" vertical="center"/>
    </xf>
    <xf numFmtId="167" fontId="15" fillId="0" borderId="17" xfId="0" applyNumberFormat="1" applyFont="1" applyBorder="1" applyAlignment="1">
      <alignment horizontal="center" vertical="center"/>
    </xf>
    <xf numFmtId="169" fontId="10" fillId="0" borderId="18" xfId="0" applyNumberFormat="1" applyFont="1" applyBorder="1" applyAlignment="1">
      <alignment horizontal="left" vertical="top" indent="1"/>
    </xf>
    <xf numFmtId="165" fontId="26" fillId="0" borderId="0" xfId="0" applyNumberFormat="1" applyFont="1" applyAlignment="1">
      <alignment horizontal="center"/>
    </xf>
    <xf numFmtId="0" fontId="27" fillId="6" borderId="23" xfId="0" applyFont="1" applyFill="1" applyBorder="1" applyAlignment="1">
      <alignment horizontal="center" vertical="center"/>
    </xf>
    <xf numFmtId="0" fontId="27" fillId="6" borderId="32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center" vertical="center"/>
    </xf>
    <xf numFmtId="167" fontId="6" fillId="0" borderId="37" xfId="0" applyNumberFormat="1" applyFont="1" applyBorder="1" applyAlignment="1">
      <alignment horizontal="center" vertical="center"/>
    </xf>
    <xf numFmtId="167" fontId="6" fillId="0" borderId="38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5" fillId="0" borderId="0" xfId="4" applyFont="1" applyAlignment="1">
      <alignment horizontal="center"/>
    </xf>
    <xf numFmtId="0" fontId="0" fillId="0" borderId="43" xfId="0" applyBorder="1"/>
    <xf numFmtId="0" fontId="35" fillId="0" borderId="43" xfId="4" applyFont="1" applyBorder="1" applyAlignment="1">
      <alignment horizontal="center"/>
    </xf>
    <xf numFmtId="0" fontId="0" fillId="0" borderId="44" xfId="0" applyBorder="1"/>
    <xf numFmtId="0" fontId="36" fillId="0" borderId="45" xfId="0" applyFont="1" applyBorder="1" applyAlignment="1">
      <alignment horizontal="center"/>
    </xf>
    <xf numFmtId="170" fontId="6" fillId="0" borderId="1" xfId="0" applyNumberFormat="1" applyFont="1" applyBorder="1" applyAlignment="1">
      <alignment horizontal="center" vertical="center"/>
    </xf>
    <xf numFmtId="167" fontId="6" fillId="0" borderId="46" xfId="0" applyNumberFormat="1" applyFont="1" applyBorder="1" applyAlignment="1">
      <alignment horizontal="center" vertical="center"/>
    </xf>
    <xf numFmtId="167" fontId="6" fillId="0" borderId="3" xfId="0" applyNumberFormat="1" applyFont="1" applyBorder="1" applyAlignment="1">
      <alignment horizontal="center" vertical="center"/>
    </xf>
    <xf numFmtId="167" fontId="6" fillId="0" borderId="5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166" fontId="6" fillId="0" borderId="1" xfId="0" applyNumberFormat="1" applyFont="1" applyBorder="1" applyAlignment="1">
      <alignment horizontal="center" vertical="center"/>
    </xf>
    <xf numFmtId="166" fontId="6" fillId="0" borderId="10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0" fontId="41" fillId="0" borderId="0" xfId="0" applyFont="1"/>
    <xf numFmtId="166" fontId="47" fillId="0" borderId="1" xfId="6" applyNumberFormat="1" applyFont="1" applyBorder="1" applyAlignment="1">
      <alignment horizontal="center" vertical="center"/>
    </xf>
    <xf numFmtId="166" fontId="42" fillId="0" borderId="1" xfId="6" applyNumberFormat="1" applyFont="1" applyBorder="1" applyAlignment="1">
      <alignment horizontal="center" vertical="center"/>
    </xf>
    <xf numFmtId="167" fontId="0" fillId="0" borderId="50" xfId="0" applyNumberFormat="1" applyBorder="1"/>
    <xf numFmtId="0" fontId="0" fillId="0" borderId="50" xfId="0" applyBorder="1"/>
    <xf numFmtId="0" fontId="43" fillId="0" borderId="0" xfId="0" applyFont="1"/>
    <xf numFmtId="0" fontId="44" fillId="0" borderId="0" xfId="0" applyFont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6" fontId="31" fillId="0" borderId="0" xfId="0" applyNumberFormat="1" applyFont="1" applyAlignment="1">
      <alignment horizontal="center" vertical="center"/>
    </xf>
    <xf numFmtId="2" fontId="31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/>
    </xf>
    <xf numFmtId="167" fontId="6" fillId="0" borderId="34" xfId="0" applyNumberFormat="1" applyFont="1" applyBorder="1" applyAlignment="1">
      <alignment horizontal="center" vertical="center"/>
    </xf>
    <xf numFmtId="167" fontId="6" fillId="0" borderId="39" xfId="0" applyNumberFormat="1" applyFont="1" applyBorder="1" applyAlignment="1">
      <alignment horizontal="center" vertical="center"/>
    </xf>
    <xf numFmtId="166" fontId="6" fillId="0" borderId="9" xfId="0" applyNumberFormat="1" applyFont="1" applyBorder="1" applyAlignment="1">
      <alignment horizontal="center" vertical="center"/>
    </xf>
    <xf numFmtId="166" fontId="42" fillId="0" borderId="4" xfId="0" applyNumberFormat="1" applyFont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2" fontId="6" fillId="0" borderId="5" xfId="0" applyNumberFormat="1" applyFont="1" applyBorder="1" applyAlignment="1">
      <alignment horizontal="center" vertical="center"/>
    </xf>
    <xf numFmtId="166" fontId="6" fillId="0" borderId="48" xfId="0" applyNumberFormat="1" applyFont="1" applyBorder="1" applyAlignment="1">
      <alignment horizontal="center" vertical="center"/>
    </xf>
    <xf numFmtId="0" fontId="51" fillId="6" borderId="11" xfId="0" applyFont="1" applyFill="1" applyBorder="1" applyAlignment="1">
      <alignment horizontal="center" vertical="center"/>
    </xf>
    <xf numFmtId="166" fontId="6" fillId="0" borderId="3" xfId="0" applyNumberFormat="1" applyFont="1" applyBorder="1" applyAlignment="1">
      <alignment horizontal="center" vertical="center"/>
    </xf>
    <xf numFmtId="166" fontId="42" fillId="0" borderId="3" xfId="0" applyNumberFormat="1" applyFont="1" applyBorder="1" applyAlignment="1">
      <alignment horizontal="center" vertical="center"/>
    </xf>
    <xf numFmtId="166" fontId="42" fillId="0" borderId="5" xfId="0" applyNumberFormat="1" applyFont="1" applyBorder="1" applyAlignment="1">
      <alignment horizontal="center" vertical="center"/>
    </xf>
    <xf numFmtId="2" fontId="42" fillId="0" borderId="3" xfId="0" applyNumberFormat="1" applyFont="1" applyBorder="1" applyAlignment="1">
      <alignment horizontal="center" vertical="center"/>
    </xf>
    <xf numFmtId="166" fontId="6" fillId="0" borderId="52" xfId="0" applyNumberFormat="1" applyFont="1" applyBorder="1" applyAlignment="1">
      <alignment horizontal="center" vertical="center"/>
    </xf>
    <xf numFmtId="166" fontId="6" fillId="0" borderId="34" xfId="0" applyNumberFormat="1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2" fontId="6" fillId="0" borderId="34" xfId="0" applyNumberFormat="1" applyFont="1" applyBorder="1" applyAlignment="1">
      <alignment horizontal="center" vertical="center"/>
    </xf>
    <xf numFmtId="0" fontId="31" fillId="0" borderId="0" xfId="0" applyFont="1" applyAlignment="1">
      <alignment horizontal="right" vertical="center"/>
    </xf>
    <xf numFmtId="0" fontId="20" fillId="6" borderId="1" xfId="0" applyFont="1" applyFill="1" applyBorder="1" applyAlignment="1">
      <alignment horizontal="center" vertical="center"/>
    </xf>
    <xf numFmtId="0" fontId="41" fillId="0" borderId="1" xfId="0" applyFont="1" applyBorder="1"/>
    <xf numFmtId="0" fontId="0" fillId="0" borderId="55" xfId="0" applyBorder="1"/>
    <xf numFmtId="0" fontId="0" fillId="0" borderId="53" xfId="0" applyBorder="1"/>
    <xf numFmtId="167" fontId="0" fillId="0" borderId="36" xfId="0" applyNumberFormat="1" applyBorder="1"/>
    <xf numFmtId="167" fontId="42" fillId="0" borderId="4" xfId="0" applyNumberFormat="1" applyFont="1" applyBorder="1" applyAlignment="1">
      <alignment horizontal="center" vertical="center"/>
    </xf>
    <xf numFmtId="0" fontId="0" fillId="0" borderId="36" xfId="0" applyBorder="1"/>
    <xf numFmtId="0" fontId="42" fillId="0" borderId="7" xfId="0" applyFont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0" fontId="44" fillId="0" borderId="0" xfId="0" applyFont="1"/>
    <xf numFmtId="167" fontId="6" fillId="0" borderId="35" xfId="0" applyNumberFormat="1" applyFont="1" applyBorder="1" applyAlignment="1">
      <alignment horizontal="center" vertical="center"/>
    </xf>
    <xf numFmtId="0" fontId="53" fillId="0" borderId="43" xfId="0" applyFont="1" applyBorder="1" applyAlignment="1">
      <alignment horizontal="center"/>
    </xf>
    <xf numFmtId="0" fontId="27" fillId="6" borderId="30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1" fontId="31" fillId="0" borderId="19" xfId="0" applyNumberFormat="1" applyFont="1" applyBorder="1" applyAlignment="1">
      <alignment horizontal="center" vertical="center" wrapText="1"/>
    </xf>
    <xf numFmtId="167" fontId="31" fillId="0" borderId="36" xfId="0" applyNumberFormat="1" applyFont="1" applyBorder="1" applyAlignment="1">
      <alignment horizontal="center" vertical="center" wrapText="1"/>
    </xf>
    <xf numFmtId="167" fontId="31" fillId="0" borderId="53" xfId="0" applyNumberFormat="1" applyFont="1" applyBorder="1" applyAlignment="1">
      <alignment horizontal="center" vertical="center" wrapText="1"/>
    </xf>
    <xf numFmtId="167" fontId="31" fillId="0" borderId="34" xfId="0" applyNumberFormat="1" applyFont="1" applyBorder="1" applyAlignment="1">
      <alignment horizontal="center" vertical="center"/>
    </xf>
    <xf numFmtId="167" fontId="31" fillId="0" borderId="2" xfId="0" applyNumberFormat="1" applyFont="1" applyBorder="1" applyAlignment="1">
      <alignment horizontal="center" vertical="center"/>
    </xf>
    <xf numFmtId="167" fontId="31" fillId="0" borderId="2" xfId="0" applyNumberFormat="1" applyFont="1" applyBorder="1" applyAlignment="1">
      <alignment horizontal="center" vertical="center" wrapText="1"/>
    </xf>
    <xf numFmtId="1" fontId="31" fillId="0" borderId="21" xfId="0" applyNumberFormat="1" applyFont="1" applyBorder="1" applyAlignment="1">
      <alignment horizontal="center" vertical="center"/>
    </xf>
    <xf numFmtId="167" fontId="31" fillId="0" borderId="48" xfId="0" applyNumberFormat="1" applyFont="1" applyBorder="1" applyAlignment="1">
      <alignment horizontal="center" vertical="center"/>
    </xf>
    <xf numFmtId="167" fontId="31" fillId="0" borderId="3" xfId="0" applyNumberFormat="1" applyFont="1" applyBorder="1" applyAlignment="1">
      <alignment horizontal="center" vertical="center"/>
    </xf>
    <xf numFmtId="167" fontId="31" fillId="0" borderId="4" xfId="0" applyNumberFormat="1" applyFont="1" applyBorder="1" applyAlignment="1">
      <alignment horizontal="center" vertical="center"/>
    </xf>
    <xf numFmtId="167" fontId="31" fillId="0" borderId="37" xfId="0" applyNumberFormat="1" applyFont="1" applyBorder="1" applyAlignment="1">
      <alignment horizontal="center" vertical="center"/>
    </xf>
    <xf numFmtId="1" fontId="31" fillId="0" borderId="14" xfId="0" applyNumberFormat="1" applyFont="1" applyBorder="1" applyAlignment="1">
      <alignment horizontal="center" vertical="center"/>
    </xf>
    <xf numFmtId="167" fontId="31" fillId="0" borderId="52" xfId="0" applyNumberFormat="1" applyFont="1" applyBorder="1" applyAlignment="1">
      <alignment horizontal="center" vertical="center"/>
    </xf>
    <xf numFmtId="167" fontId="31" fillId="0" borderId="5" xfId="0" applyNumberFormat="1" applyFont="1" applyBorder="1" applyAlignment="1">
      <alignment horizontal="center" vertical="center"/>
    </xf>
    <xf numFmtId="167" fontId="31" fillId="0" borderId="6" xfId="0" applyNumberFormat="1" applyFont="1" applyBorder="1" applyAlignment="1">
      <alignment horizontal="center" vertical="center"/>
    </xf>
    <xf numFmtId="167" fontId="31" fillId="0" borderId="38" xfId="0" applyNumberFormat="1" applyFont="1" applyBorder="1" applyAlignment="1">
      <alignment horizontal="center" vertical="center"/>
    </xf>
    <xf numFmtId="1" fontId="7" fillId="5" borderId="0" xfId="0" applyNumberFormat="1" applyFont="1" applyFill="1" applyAlignment="1">
      <alignment horizontal="center" vertical="center"/>
    </xf>
    <xf numFmtId="2" fontId="6" fillId="5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2" fontId="4" fillId="0" borderId="0" xfId="0" applyNumberFormat="1" applyFont="1"/>
    <xf numFmtId="2" fontId="6" fillId="0" borderId="2" xfId="0" applyNumberFormat="1" applyFont="1" applyBorder="1" applyAlignment="1">
      <alignment horizontal="center" vertical="center"/>
    </xf>
    <xf numFmtId="2" fontId="6" fillId="0" borderId="6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4" fillId="4" borderId="0" xfId="0" applyFont="1" applyFill="1" applyAlignment="1">
      <alignment horizontal="center" vertical="center"/>
    </xf>
    <xf numFmtId="0" fontId="31" fillId="0" borderId="0" xfId="0" applyFont="1"/>
    <xf numFmtId="0" fontId="51" fillId="0" borderId="29" xfId="0" applyFont="1" applyBorder="1" applyAlignment="1">
      <alignment horizontal="center" vertical="center"/>
    </xf>
    <xf numFmtId="0" fontId="51" fillId="0" borderId="22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1" fontId="31" fillId="0" borderId="3" xfId="0" applyNumberFormat="1" applyFont="1" applyBorder="1" applyAlignment="1">
      <alignment horizontal="center" vertical="center"/>
    </xf>
    <xf numFmtId="2" fontId="31" fillId="0" borderId="4" xfId="0" applyNumberFormat="1" applyFont="1" applyBorder="1" applyAlignment="1">
      <alignment horizontal="center" vertical="center"/>
    </xf>
    <xf numFmtId="1" fontId="31" fillId="0" borderId="5" xfId="0" applyNumberFormat="1" applyFont="1" applyBorder="1" applyAlignment="1">
      <alignment horizontal="center" vertical="center"/>
    </xf>
    <xf numFmtId="2" fontId="31" fillId="0" borderId="6" xfId="0" applyNumberFormat="1" applyFont="1" applyBorder="1" applyAlignment="1">
      <alignment horizontal="center" vertical="center"/>
    </xf>
    <xf numFmtId="1" fontId="31" fillId="0" borderId="34" xfId="0" applyNumberFormat="1" applyFont="1" applyBorder="1" applyAlignment="1">
      <alignment horizontal="center" vertical="center"/>
    </xf>
    <xf numFmtId="2" fontId="31" fillId="0" borderId="2" xfId="0" applyNumberFormat="1" applyFont="1" applyBorder="1" applyAlignment="1">
      <alignment horizontal="center" vertical="center"/>
    </xf>
    <xf numFmtId="167" fontId="6" fillId="5" borderId="0" xfId="0" applyNumberFormat="1" applyFont="1" applyFill="1" applyAlignment="1">
      <alignment horizontal="center" vertical="center"/>
    </xf>
    <xf numFmtId="1" fontId="31" fillId="0" borderId="7" xfId="0" applyNumberFormat="1" applyFont="1" applyBorder="1" applyAlignment="1">
      <alignment horizontal="center" vertical="center"/>
    </xf>
    <xf numFmtId="2" fontId="31" fillId="0" borderId="8" xfId="0" applyNumberFormat="1" applyFont="1" applyBorder="1" applyAlignment="1">
      <alignment horizontal="center" vertical="center"/>
    </xf>
    <xf numFmtId="0" fontId="51" fillId="0" borderId="27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0" fillId="6" borderId="25" xfId="0" applyFont="1" applyFill="1" applyBorder="1" applyAlignment="1">
      <alignment horizontal="center" vertical="center"/>
    </xf>
    <xf numFmtId="0" fontId="30" fillId="6" borderId="26" xfId="0" applyFont="1" applyFill="1" applyBorder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58" fillId="0" borderId="0" xfId="0" applyFont="1"/>
    <xf numFmtId="0" fontId="6" fillId="0" borderId="10" xfId="0" applyFont="1" applyBorder="1" applyAlignment="1">
      <alignment horizontal="center" vertical="center"/>
    </xf>
    <xf numFmtId="166" fontId="6" fillId="0" borderId="35" xfId="0" applyNumberFormat="1" applyFont="1" applyBorder="1" applyAlignment="1">
      <alignment horizontal="center" vertical="center"/>
    </xf>
    <xf numFmtId="171" fontId="6" fillId="0" borderId="35" xfId="0" applyNumberFormat="1" applyFont="1" applyBorder="1" applyAlignment="1">
      <alignment horizontal="center" vertical="center"/>
    </xf>
    <xf numFmtId="171" fontId="6" fillId="0" borderId="1" xfId="0" applyNumberFormat="1" applyFont="1" applyBorder="1" applyAlignment="1">
      <alignment horizontal="center" vertical="center"/>
    </xf>
    <xf numFmtId="171" fontId="6" fillId="0" borderId="10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2" fontId="60" fillId="0" borderId="35" xfId="0" applyNumberFormat="1" applyFont="1" applyBorder="1" applyAlignment="1">
      <alignment horizontal="center" vertical="center"/>
    </xf>
    <xf numFmtId="2" fontId="60" fillId="0" borderId="1" xfId="0" applyNumberFormat="1" applyFont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20" fillId="0" borderId="0" xfId="0" applyFont="1"/>
    <xf numFmtId="0" fontId="0" fillId="0" borderId="55" xfId="0" applyBorder="1" applyAlignment="1">
      <alignment horizontal="center" vertical="center"/>
    </xf>
    <xf numFmtId="0" fontId="0" fillId="5" borderId="0" xfId="0" applyFill="1"/>
    <xf numFmtId="0" fontId="32" fillId="0" borderId="0" xfId="0" applyFont="1" applyAlignment="1">
      <alignment vertical="center"/>
    </xf>
    <xf numFmtId="0" fontId="42" fillId="0" borderId="0" xfId="0" applyFont="1" applyAlignment="1">
      <alignment horizontal="right"/>
    </xf>
    <xf numFmtId="0" fontId="47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0" borderId="0" xfId="0" applyFont="1"/>
    <xf numFmtId="0" fontId="47" fillId="0" borderId="0" xfId="0" applyFont="1" applyAlignment="1">
      <alignment horizontal="left" vertical="center"/>
    </xf>
    <xf numFmtId="0" fontId="27" fillId="6" borderId="2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48" xfId="0" applyNumberForma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67" fontId="61" fillId="0" borderId="0" xfId="0" applyNumberFormat="1" applyFont="1" applyAlignment="1">
      <alignment horizontal="center" vertical="center"/>
    </xf>
    <xf numFmtId="1" fontId="62" fillId="0" borderId="0" xfId="0" applyNumberFormat="1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0" fontId="63" fillId="0" borderId="0" xfId="0" applyFont="1" applyAlignment="1">
      <alignment horizontal="right" vertical="center"/>
    </xf>
    <xf numFmtId="167" fontId="63" fillId="0" borderId="0" xfId="0" applyNumberFormat="1" applyFont="1" applyAlignment="1">
      <alignment horizontal="left" vertical="center"/>
    </xf>
    <xf numFmtId="0" fontId="64" fillId="0" borderId="0" xfId="0" applyFont="1" applyAlignment="1">
      <alignment horizontal="right" vertical="center"/>
    </xf>
    <xf numFmtId="167" fontId="64" fillId="0" borderId="0" xfId="0" applyNumberFormat="1" applyFont="1" applyAlignment="1">
      <alignment horizontal="left" vertical="center"/>
    </xf>
    <xf numFmtId="0" fontId="64" fillId="0" borderId="0" xfId="0" applyFont="1" applyAlignment="1">
      <alignment horizontal="right"/>
    </xf>
    <xf numFmtId="167" fontId="42" fillId="0" borderId="1" xfId="0" applyNumberFormat="1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20" fillId="0" borderId="9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66" fillId="0" borderId="0" xfId="0" applyFont="1" applyAlignment="1">
      <alignment vertical="center"/>
    </xf>
    <xf numFmtId="0" fontId="27" fillId="6" borderId="7" xfId="0" applyFont="1" applyFill="1" applyBorder="1" applyAlignment="1">
      <alignment horizontal="center" vertical="center"/>
    </xf>
    <xf numFmtId="0" fontId="27" fillId="6" borderId="9" xfId="0" applyFont="1" applyFill="1" applyBorder="1" applyAlignment="1">
      <alignment horizontal="center" vertical="center"/>
    </xf>
    <xf numFmtId="0" fontId="27" fillId="6" borderId="8" xfId="0" applyFont="1" applyFill="1" applyBorder="1" applyAlignment="1">
      <alignment horizontal="center" vertical="center"/>
    </xf>
    <xf numFmtId="0" fontId="20" fillId="0" borderId="0" xfId="2"/>
    <xf numFmtId="0" fontId="20" fillId="5" borderId="0" xfId="2" applyFill="1"/>
    <xf numFmtId="0" fontId="42" fillId="0" borderId="0" xfId="2" applyFont="1" applyAlignment="1">
      <alignment vertical="center"/>
    </xf>
    <xf numFmtId="0" fontId="20" fillId="0" borderId="0" xfId="2" applyAlignment="1">
      <alignment vertical="center"/>
    </xf>
    <xf numFmtId="0" fontId="67" fillId="0" borderId="1" xfId="2" applyFont="1" applyBorder="1" applyAlignment="1">
      <alignment horizontal="right" vertical="center"/>
    </xf>
    <xf numFmtId="167" fontId="20" fillId="0" borderId="0" xfId="2" applyNumberFormat="1"/>
    <xf numFmtId="0" fontId="63" fillId="0" borderId="0" xfId="2" applyFont="1" applyAlignment="1">
      <alignment horizontal="right" vertical="center"/>
    </xf>
    <xf numFmtId="167" fontId="63" fillId="0" borderId="0" xfId="2" applyNumberFormat="1" applyFont="1" applyAlignment="1">
      <alignment horizontal="left" vertical="center"/>
    </xf>
    <xf numFmtId="0" fontId="27" fillId="6" borderId="51" xfId="0" applyFont="1" applyFill="1" applyBorder="1" applyAlignment="1">
      <alignment horizontal="center" vertical="center"/>
    </xf>
    <xf numFmtId="0" fontId="26" fillId="4" borderId="0" xfId="0" applyFont="1" applyFill="1"/>
    <xf numFmtId="1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2" fontId="31" fillId="5" borderId="1" xfId="0" applyNumberFormat="1" applyFont="1" applyFill="1" applyBorder="1" applyAlignment="1">
      <alignment horizontal="center" vertical="center"/>
    </xf>
    <xf numFmtId="1" fontId="31" fillId="5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1" fontId="31" fillId="0" borderId="10" xfId="0" applyNumberFormat="1" applyFont="1" applyBorder="1" applyAlignment="1">
      <alignment horizontal="center" vertical="center"/>
    </xf>
    <xf numFmtId="167" fontId="31" fillId="5" borderId="1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center" vertical="center"/>
    </xf>
    <xf numFmtId="0" fontId="11" fillId="0" borderId="0" xfId="0" applyFont="1" applyAlignment="1">
      <alignment horizontal="left"/>
    </xf>
    <xf numFmtId="0" fontId="28" fillId="6" borderId="25" xfId="0" applyFont="1" applyFill="1" applyBorder="1" applyAlignment="1">
      <alignment horizontal="center" vertical="center"/>
    </xf>
    <xf numFmtId="0" fontId="28" fillId="6" borderId="26" xfId="0" applyFont="1" applyFill="1" applyBorder="1" applyAlignment="1">
      <alignment horizontal="center" vertical="center"/>
    </xf>
    <xf numFmtId="0" fontId="42" fillId="0" borderId="0" xfId="0" applyFont="1" applyAlignment="1">
      <alignment horizontal="left" vertical="center"/>
    </xf>
    <xf numFmtId="1" fontId="6" fillId="0" borderId="0" xfId="0" applyNumberFormat="1" applyFont="1"/>
    <xf numFmtId="1" fontId="7" fillId="0" borderId="0" xfId="0" applyNumberFormat="1" applyFont="1" applyAlignment="1">
      <alignment horizontal="center"/>
    </xf>
    <xf numFmtId="1" fontId="7" fillId="0" borderId="1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0" fillId="0" borderId="0" xfId="0" applyNumberFormat="1"/>
    <xf numFmtId="0" fontId="27" fillId="6" borderId="58" xfId="0" applyFont="1" applyFill="1" applyBorder="1" applyAlignment="1">
      <alignment horizontal="center" vertical="center"/>
    </xf>
    <xf numFmtId="0" fontId="27" fillId="6" borderId="60" xfId="0" applyFont="1" applyFill="1" applyBorder="1" applyAlignment="1">
      <alignment horizontal="center" vertical="center"/>
    </xf>
    <xf numFmtId="0" fontId="27" fillId="6" borderId="61" xfId="0" applyFont="1" applyFill="1" applyBorder="1" applyAlignment="1">
      <alignment horizontal="center" vertical="center"/>
    </xf>
    <xf numFmtId="0" fontId="4" fillId="0" borderId="0" xfId="0" applyFont="1"/>
    <xf numFmtId="0" fontId="27" fillId="6" borderId="5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6" borderId="6" xfId="0" applyFont="1" applyFill="1" applyBorder="1" applyAlignment="1">
      <alignment horizontal="center" vertical="center"/>
    </xf>
    <xf numFmtId="0" fontId="20" fillId="0" borderId="34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167" fontId="31" fillId="5" borderId="36" xfId="0" applyNumberFormat="1" applyFont="1" applyFill="1" applyBorder="1" applyAlignment="1">
      <alignment horizontal="center" vertical="center"/>
    </xf>
    <xf numFmtId="1" fontId="31" fillId="0" borderId="35" xfId="0" applyNumberFormat="1" applyFont="1" applyBorder="1" applyAlignment="1">
      <alignment horizontal="center" vertical="center"/>
    </xf>
    <xf numFmtId="167" fontId="31" fillId="5" borderId="35" xfId="0" applyNumberFormat="1" applyFont="1" applyFill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20" fillId="0" borderId="4" xfId="0" applyFont="1" applyBorder="1" applyAlignment="1">
      <alignment horizontal="left" vertical="center"/>
    </xf>
    <xf numFmtId="167" fontId="31" fillId="5" borderId="37" xfId="0" applyNumberFormat="1" applyFont="1" applyFill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0" fontId="31" fillId="0" borderId="4" xfId="0" applyFont="1" applyBorder="1" applyAlignment="1">
      <alignment horizontal="left" vertical="center"/>
    </xf>
    <xf numFmtId="0" fontId="31" fillId="0" borderId="4" xfId="0" applyFont="1" applyBorder="1" applyAlignment="1">
      <alignment horizontal="left"/>
    </xf>
    <xf numFmtId="167" fontId="31" fillId="5" borderId="37" xfId="0" applyNumberFormat="1" applyFont="1" applyFill="1" applyBorder="1" applyAlignment="1">
      <alignment horizontal="center"/>
    </xf>
    <xf numFmtId="1" fontId="31" fillId="0" borderId="1" xfId="0" applyNumberFormat="1" applyFont="1" applyBorder="1" applyAlignment="1">
      <alignment horizontal="center"/>
    </xf>
    <xf numFmtId="167" fontId="31" fillId="5" borderId="1" xfId="0" applyNumberFormat="1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31" fillId="0" borderId="6" xfId="0" applyFont="1" applyBorder="1" applyAlignment="1">
      <alignment horizontal="left"/>
    </xf>
    <xf numFmtId="167" fontId="31" fillId="5" borderId="38" xfId="0" applyNumberFormat="1" applyFont="1" applyFill="1" applyBorder="1" applyAlignment="1">
      <alignment horizontal="center"/>
    </xf>
    <xf numFmtId="167" fontId="31" fillId="5" borderId="10" xfId="0" applyNumberFormat="1" applyFont="1" applyFill="1" applyBorder="1" applyAlignment="1">
      <alignment horizontal="center"/>
    </xf>
    <xf numFmtId="1" fontId="31" fillId="0" borderId="6" xfId="0" applyNumberFormat="1" applyFont="1" applyBorder="1" applyAlignment="1">
      <alignment horizontal="center" vertical="center"/>
    </xf>
    <xf numFmtId="0" fontId="31" fillId="0" borderId="13" xfId="0" applyFont="1" applyBorder="1" applyAlignment="1">
      <alignment horizontal="left" vertical="center"/>
    </xf>
    <xf numFmtId="167" fontId="31" fillId="5" borderId="46" xfId="0" applyNumberFormat="1" applyFont="1" applyFill="1" applyBorder="1" applyAlignment="1">
      <alignment horizontal="center" vertical="center"/>
    </xf>
    <xf numFmtId="167" fontId="20" fillId="5" borderId="9" xfId="0" applyNumberFormat="1" applyFont="1" applyFill="1" applyBorder="1" applyAlignment="1">
      <alignment horizontal="center" vertical="center"/>
    </xf>
    <xf numFmtId="0" fontId="31" fillId="0" borderId="14" xfId="0" applyFont="1" applyBorder="1" applyAlignment="1">
      <alignment horizontal="left" vertical="center"/>
    </xf>
    <xf numFmtId="0" fontId="20" fillId="0" borderId="1" xfId="0" applyFont="1" applyBorder="1" applyAlignment="1">
      <alignment horizontal="center" vertical="center"/>
    </xf>
    <xf numFmtId="167" fontId="20" fillId="5" borderId="1" xfId="0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31" fillId="0" borderId="21" xfId="0" applyFont="1" applyBorder="1" applyAlignment="1">
      <alignment horizontal="left" vertical="center"/>
    </xf>
    <xf numFmtId="167" fontId="20" fillId="5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58" fillId="0" borderId="7" xfId="0" applyFont="1" applyBorder="1"/>
    <xf numFmtId="0" fontId="58" fillId="0" borderId="9" xfId="0" applyFont="1" applyBorder="1"/>
    <xf numFmtId="0" fontId="58" fillId="0" borderId="3" xfId="0" applyFont="1" applyBorder="1"/>
    <xf numFmtId="0" fontId="58" fillId="0" borderId="1" xfId="0" applyFont="1" applyBorder="1"/>
    <xf numFmtId="167" fontId="20" fillId="5" borderId="5" xfId="0" applyNumberFormat="1" applyFont="1" applyFill="1" applyBorder="1" applyAlignment="1">
      <alignment horizontal="center" vertical="center"/>
    </xf>
    <xf numFmtId="0" fontId="77" fillId="0" borderId="0" xfId="0" applyFont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167" fontId="31" fillId="0" borderId="1" xfId="0" applyNumberFormat="1" applyFont="1" applyBorder="1" applyAlignment="1">
      <alignment horizontal="center" vertical="center"/>
    </xf>
    <xf numFmtId="0" fontId="20" fillId="0" borderId="1" xfId="2" applyBorder="1" applyAlignment="1">
      <alignment vertical="center"/>
    </xf>
    <xf numFmtId="1" fontId="6" fillId="5" borderId="1" xfId="0" applyNumberFormat="1" applyFont="1" applyFill="1" applyBorder="1" applyAlignment="1">
      <alignment horizontal="center" vertical="center"/>
    </xf>
    <xf numFmtId="0" fontId="80" fillId="0" borderId="0" xfId="0" applyFont="1" applyAlignment="1">
      <alignment horizontal="center" vertical="center" wrapText="1"/>
    </xf>
    <xf numFmtId="166" fontId="6" fillId="5" borderId="0" xfId="0" applyNumberFormat="1" applyFont="1" applyFill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2" fontId="6" fillId="0" borderId="10" xfId="0" applyNumberFormat="1" applyFont="1" applyBorder="1" applyAlignment="1">
      <alignment horizontal="center" vertical="center"/>
    </xf>
    <xf numFmtId="2" fontId="6" fillId="0" borderId="35" xfId="0" applyNumberFormat="1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0" fontId="59" fillId="6" borderId="24" xfId="0" applyFont="1" applyFill="1" applyBorder="1" applyAlignment="1">
      <alignment horizontal="center" vertical="center"/>
    </xf>
    <xf numFmtId="9" fontId="6" fillId="0" borderId="1" xfId="0" applyNumberFormat="1" applyFont="1" applyBorder="1" applyAlignment="1">
      <alignment horizontal="center" vertical="center"/>
    </xf>
    <xf numFmtId="167" fontId="0" fillId="0" borderId="58" xfId="0" applyNumberFormat="1" applyBorder="1" applyAlignment="1">
      <alignment horizontal="center" vertical="center"/>
    </xf>
    <xf numFmtId="167" fontId="0" fillId="0" borderId="50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43" fillId="0" borderId="1" xfId="0" applyFont="1" applyBorder="1" applyAlignment="1">
      <alignment horizontal="left" vertical="center"/>
    </xf>
    <xf numFmtId="14" fontId="43" fillId="0" borderId="0" xfId="0" applyNumberFormat="1" applyFont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0" fontId="27" fillId="6" borderId="9" xfId="0" applyFont="1" applyFill="1" applyBorder="1" applyAlignment="1">
      <alignment horizontal="center" vertical="center" wrapText="1"/>
    </xf>
    <xf numFmtId="3" fontId="47" fillId="0" borderId="0" xfId="0" applyNumberFormat="1" applyFont="1" applyAlignment="1">
      <alignment horizontal="center" vertical="center"/>
    </xf>
    <xf numFmtId="3" fontId="0" fillId="0" borderId="0" xfId="0" applyNumberFormat="1"/>
    <xf numFmtId="0" fontId="23" fillId="0" borderId="0" xfId="0" applyFont="1" applyAlignment="1">
      <alignment vertical="center"/>
    </xf>
    <xf numFmtId="0" fontId="31" fillId="0" borderId="1" xfId="0" applyFont="1" applyBorder="1" applyAlignment="1">
      <alignment horizontal="center" vertical="center"/>
    </xf>
    <xf numFmtId="0" fontId="32" fillId="0" borderId="7" xfId="0" applyFont="1" applyBorder="1" applyAlignment="1">
      <alignment horizontal="left" vertical="center"/>
    </xf>
    <xf numFmtId="0" fontId="65" fillId="0" borderId="3" xfId="0" applyFont="1" applyBorder="1" applyAlignment="1">
      <alignment horizontal="left"/>
    </xf>
    <xf numFmtId="1" fontId="42" fillId="0" borderId="8" xfId="0" applyNumberFormat="1" applyFont="1" applyBorder="1" applyAlignment="1">
      <alignment horizontal="center" vertical="center"/>
    </xf>
    <xf numFmtId="1" fontId="42" fillId="0" borderId="6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0" fillId="0" borderId="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1" fontId="44" fillId="0" borderId="0" xfId="0" applyNumberFormat="1" applyFont="1" applyAlignment="1">
      <alignment horizontal="left" vertical="center"/>
    </xf>
    <xf numFmtId="1" fontId="42" fillId="0" borderId="0" xfId="0" applyNumberFormat="1" applyFont="1" applyAlignment="1">
      <alignment horizontal="center" vertical="center"/>
    </xf>
    <xf numFmtId="1" fontId="42" fillId="0" borderId="0" xfId="0" applyNumberFormat="1" applyFont="1" applyAlignment="1">
      <alignment horizontal="left" vertical="center"/>
    </xf>
    <xf numFmtId="0" fontId="20" fillId="0" borderId="5" xfId="0" applyFont="1" applyBorder="1" applyAlignment="1">
      <alignment horizontal="center" vertical="center"/>
    </xf>
    <xf numFmtId="166" fontId="42" fillId="0" borderId="8" xfId="0" applyNumberFormat="1" applyFont="1" applyBorder="1" applyAlignment="1">
      <alignment horizontal="center" vertical="center"/>
    </xf>
    <xf numFmtId="0" fontId="65" fillId="0" borderId="5" xfId="0" applyFont="1" applyBorder="1" applyAlignment="1">
      <alignment horizontal="left"/>
    </xf>
    <xf numFmtId="0" fontId="32" fillId="0" borderId="1" xfId="0" applyFont="1" applyBorder="1" applyAlignment="1">
      <alignment horizontal="center" vertical="center"/>
    </xf>
    <xf numFmtId="1" fontId="87" fillId="0" borderId="1" xfId="0" applyNumberFormat="1" applyFont="1" applyBorder="1" applyAlignment="1">
      <alignment horizontal="center" vertical="center"/>
    </xf>
    <xf numFmtId="167" fontId="87" fillId="0" borderId="1" xfId="0" applyNumberFormat="1" applyFont="1" applyBorder="1" applyAlignment="1">
      <alignment horizontal="center" vertical="center"/>
    </xf>
    <xf numFmtId="167" fontId="42" fillId="0" borderId="0" xfId="0" applyNumberFormat="1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1" fontId="47" fillId="0" borderId="0" xfId="0" applyNumberFormat="1" applyFont="1" applyAlignment="1">
      <alignment horizontal="left" vertical="center"/>
    </xf>
    <xf numFmtId="1" fontId="6" fillId="0" borderId="35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" fontId="7" fillId="0" borderId="4" xfId="0" applyNumberFormat="1" applyFont="1" applyBorder="1" applyAlignment="1">
      <alignment horizontal="center" vertical="center"/>
    </xf>
    <xf numFmtId="1" fontId="7" fillId="0" borderId="6" xfId="0" applyNumberFormat="1" applyFont="1" applyBorder="1" applyAlignment="1">
      <alignment horizontal="center" vertical="center"/>
    </xf>
    <xf numFmtId="3" fontId="20" fillId="0" borderId="1" xfId="2" applyNumberForma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3" fontId="31" fillId="5" borderId="1" xfId="0" applyNumberFormat="1" applyFont="1" applyFill="1" applyBorder="1" applyAlignment="1">
      <alignment horizontal="center" vertical="center"/>
    </xf>
    <xf numFmtId="0" fontId="27" fillId="6" borderId="1" xfId="0" applyFont="1" applyFill="1" applyBorder="1" applyAlignment="1">
      <alignment horizontal="center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79" fillId="0" borderId="0" xfId="0" applyFont="1" applyAlignment="1">
      <alignment horizontal="right" vertical="center"/>
    </xf>
    <xf numFmtId="0" fontId="79" fillId="0" borderId="0" xfId="0" applyFont="1" applyAlignment="1">
      <alignment horizontal="left" vertical="center"/>
    </xf>
    <xf numFmtId="0" fontId="51" fillId="6" borderId="1" xfId="2" applyFont="1" applyFill="1" applyBorder="1" applyAlignment="1">
      <alignment horizontal="center" vertical="center" textRotation="90" wrapText="1"/>
    </xf>
    <xf numFmtId="0" fontId="45" fillId="0" borderId="1" xfId="2" applyFont="1" applyBorder="1" applyAlignment="1">
      <alignment horizontal="left" vertical="center"/>
    </xf>
    <xf numFmtId="0" fontId="47" fillId="0" borderId="1" xfId="2" applyFont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 wrapText="1"/>
    </xf>
    <xf numFmtId="2" fontId="42" fillId="0" borderId="1" xfId="6" applyNumberFormat="1" applyFont="1" applyBorder="1" applyAlignment="1">
      <alignment horizontal="center" vertical="center"/>
    </xf>
    <xf numFmtId="166" fontId="42" fillId="0" borderId="1" xfId="0" applyNumberFormat="1" applyFont="1" applyBorder="1" applyAlignment="1">
      <alignment horizontal="center" vertical="center"/>
    </xf>
    <xf numFmtId="1" fontId="27" fillId="6" borderId="1" xfId="0" applyNumberFormat="1" applyFont="1" applyFill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1" fontId="7" fillId="5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2" fontId="7" fillId="0" borderId="1" xfId="0" applyNumberFormat="1" applyFont="1" applyBorder="1" applyAlignment="1">
      <alignment horizontal="center" vertical="center"/>
    </xf>
    <xf numFmtId="0" fontId="27" fillId="7" borderId="1" xfId="0" applyFont="1" applyFill="1" applyBorder="1" applyAlignment="1">
      <alignment horizontal="center" vertical="center"/>
    </xf>
    <xf numFmtId="0" fontId="28" fillId="7" borderId="1" xfId="0" applyFont="1" applyFill="1" applyBorder="1" applyAlignment="1">
      <alignment horizontal="center" vertical="center"/>
    </xf>
    <xf numFmtId="1" fontId="30" fillId="7" borderId="1" xfId="5" applyNumberFormat="1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8" fillId="7" borderId="1" xfId="6" applyFont="1" applyFill="1" applyBorder="1" applyAlignment="1">
      <alignment horizontal="center" vertical="center"/>
    </xf>
    <xf numFmtId="0" fontId="51" fillId="7" borderId="42" xfId="0" applyFont="1" applyFill="1" applyBorder="1" applyAlignment="1">
      <alignment horizontal="center" vertical="center"/>
    </xf>
    <xf numFmtId="1" fontId="50" fillId="7" borderId="47" xfId="0" applyNumberFormat="1" applyFont="1" applyFill="1" applyBorder="1" applyAlignment="1">
      <alignment horizontal="center" vertical="center"/>
    </xf>
    <xf numFmtId="0" fontId="50" fillId="7" borderId="5" xfId="0" applyFont="1" applyFill="1" applyBorder="1" applyAlignment="1">
      <alignment horizontal="center" vertical="center"/>
    </xf>
    <xf numFmtId="0" fontId="50" fillId="7" borderId="6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center"/>
    </xf>
    <xf numFmtId="0" fontId="3" fillId="5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42" fillId="5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51" fillId="6" borderId="1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/>
    </xf>
    <xf numFmtId="0" fontId="51" fillId="6" borderId="6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67" fontId="0" fillId="0" borderId="1" xfId="0" applyNumberFormat="1" applyBorder="1"/>
    <xf numFmtId="166" fontId="31" fillId="5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66" fontId="1" fillId="5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2" xfId="0" applyBorder="1"/>
    <xf numFmtId="0" fontId="1" fillId="0" borderId="0" xfId="0" applyFont="1" applyAlignment="1">
      <alignment horizontal="right" vertical="center"/>
    </xf>
    <xf numFmtId="0" fontId="29" fillId="7" borderId="5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>
      <alignment horizontal="center" vertical="center" wrapText="1"/>
    </xf>
    <xf numFmtId="0" fontId="29" fillId="7" borderId="39" xfId="0" applyFont="1" applyFill="1" applyBorder="1" applyAlignment="1">
      <alignment horizontal="center" vertical="center" wrapText="1"/>
    </xf>
    <xf numFmtId="0" fontId="29" fillId="7" borderId="17" xfId="0" applyFont="1" applyFill="1" applyBorder="1" applyAlignment="1">
      <alignment horizontal="center" vertical="center" wrapText="1"/>
    </xf>
    <xf numFmtId="167" fontId="88" fillId="0" borderId="0" xfId="0" applyNumberFormat="1" applyFont="1" applyAlignment="1">
      <alignment horizontal="center" vertical="center"/>
    </xf>
    <xf numFmtId="0" fontId="45" fillId="8" borderId="0" xfId="0" applyFont="1" applyFill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167" fontId="92" fillId="0" borderId="8" xfId="0" applyNumberFormat="1" applyFont="1" applyBorder="1" applyAlignment="1">
      <alignment horizontal="center" vertical="center"/>
    </xf>
    <xf numFmtId="167" fontId="92" fillId="0" borderId="4" xfId="0" applyNumberFormat="1" applyFont="1" applyBorder="1" applyAlignment="1">
      <alignment horizontal="center" vertical="center"/>
    </xf>
    <xf numFmtId="167" fontId="92" fillId="0" borderId="6" xfId="0" applyNumberFormat="1" applyFont="1" applyBorder="1" applyAlignment="1">
      <alignment horizontal="center" vertical="center"/>
    </xf>
    <xf numFmtId="0" fontId="94" fillId="0" borderId="0" xfId="0" applyFont="1"/>
    <xf numFmtId="1" fontId="12" fillId="0" borderId="1" xfId="0" applyNumberFormat="1" applyFont="1" applyBorder="1" applyAlignment="1">
      <alignment horizontal="center" vertical="center"/>
    </xf>
    <xf numFmtId="1" fontId="47" fillId="0" borderId="1" xfId="0" applyNumberFormat="1" applyFont="1" applyBorder="1" applyAlignment="1">
      <alignment horizontal="center" vertical="center"/>
    </xf>
    <xf numFmtId="1" fontId="47" fillId="0" borderId="1" xfId="0" applyNumberFormat="1" applyFont="1" applyBorder="1" applyAlignment="1">
      <alignment horizontal="center"/>
    </xf>
    <xf numFmtId="0" fontId="45" fillId="0" borderId="0" xfId="0" applyFont="1" applyAlignment="1">
      <alignment vertical="center"/>
    </xf>
    <xf numFmtId="1" fontId="97" fillId="0" borderId="3" xfId="2" applyNumberFormat="1" applyFont="1" applyBorder="1" applyAlignment="1">
      <alignment horizontal="center" vertical="center"/>
    </xf>
    <xf numFmtId="0" fontId="80" fillId="0" borderId="7" xfId="0" applyFont="1" applyBorder="1" applyAlignment="1">
      <alignment horizontal="left" vertical="center"/>
    </xf>
    <xf numFmtId="0" fontId="98" fillId="0" borderId="3" xfId="0" applyFont="1" applyBorder="1" applyAlignment="1">
      <alignment horizontal="left"/>
    </xf>
    <xf numFmtId="0" fontId="80" fillId="0" borderId="5" xfId="0" applyFont="1" applyBorder="1" applyAlignment="1">
      <alignment horizontal="left" vertical="center"/>
    </xf>
    <xf numFmtId="0" fontId="97" fillId="0" borderId="3" xfId="0" applyFont="1" applyBorder="1" applyAlignment="1">
      <alignment horizontal="center" vertical="center"/>
    </xf>
    <xf numFmtId="166" fontId="97" fillId="0" borderId="4" xfId="0" applyNumberFormat="1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11" fillId="0" borderId="7" xfId="0" applyFont="1" applyBorder="1" applyAlignment="1">
      <alignment horizontal="left" vertical="center"/>
    </xf>
    <xf numFmtId="0" fontId="45" fillId="0" borderId="3" xfId="0" applyFont="1" applyBorder="1" applyAlignment="1">
      <alignment horizontal="left"/>
    </xf>
    <xf numFmtId="0" fontId="11" fillId="0" borderId="5" xfId="0" applyFont="1" applyBorder="1" applyAlignment="1">
      <alignment horizontal="left" vertical="center"/>
    </xf>
    <xf numFmtId="0" fontId="12" fillId="0" borderId="1" xfId="0" applyFont="1" applyBorder="1" applyAlignment="1">
      <alignment horizontal="center" vertical="center"/>
    </xf>
    <xf numFmtId="2" fontId="96" fillId="0" borderId="1" xfId="0" applyNumberFormat="1" applyFont="1" applyBorder="1" applyAlignment="1">
      <alignment horizontal="center" vertical="center"/>
    </xf>
    <xf numFmtId="16" fontId="96" fillId="0" borderId="1" xfId="0" applyNumberFormat="1" applyFont="1" applyBorder="1" applyAlignment="1">
      <alignment horizontal="center" vertical="center"/>
    </xf>
    <xf numFmtId="0" fontId="96" fillId="0" borderId="1" xfId="0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2" fontId="7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95" fillId="2" borderId="1" xfId="0" applyFont="1" applyFill="1" applyBorder="1" applyAlignment="1">
      <alignment horizontal="center" vertical="center"/>
    </xf>
    <xf numFmtId="167" fontId="12" fillId="2" borderId="1" xfId="0" applyNumberFormat="1" applyFont="1" applyFill="1" applyBorder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0" fontId="97" fillId="0" borderId="5" xfId="0" applyFont="1" applyBorder="1" applyAlignment="1">
      <alignment horizontal="center" vertical="center"/>
    </xf>
    <xf numFmtId="0" fontId="100" fillId="0" borderId="1" xfId="0" applyFont="1" applyBorder="1"/>
    <xf numFmtId="166" fontId="0" fillId="0" borderId="1" xfId="0" applyNumberFormat="1" applyBorder="1"/>
    <xf numFmtId="167" fontId="4" fillId="0" borderId="1" xfId="0" applyNumberFormat="1" applyFont="1" applyBorder="1"/>
    <xf numFmtId="166" fontId="4" fillId="2" borderId="1" xfId="0" applyNumberFormat="1" applyFont="1" applyFill="1" applyBorder="1"/>
    <xf numFmtId="167" fontId="50" fillId="7" borderId="47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93" fillId="0" borderId="0" xfId="0" applyFont="1" applyAlignment="1">
      <alignment horizontal="left" vertical="center" wrapText="1"/>
    </xf>
    <xf numFmtId="0" fontId="15" fillId="0" borderId="63" xfId="0" applyFont="1" applyBorder="1" applyAlignment="1">
      <alignment horizontal="center" vertical="center"/>
    </xf>
    <xf numFmtId="166" fontId="15" fillId="0" borderId="33" xfId="0" applyNumberFormat="1" applyFont="1" applyBorder="1" applyAlignment="1">
      <alignment horizontal="center" vertical="center"/>
    </xf>
    <xf numFmtId="166" fontId="1" fillId="0" borderId="33" xfId="0" applyNumberFormat="1" applyFont="1" applyBorder="1" applyAlignment="1">
      <alignment horizontal="center" vertical="center"/>
    </xf>
    <xf numFmtId="171" fontId="1" fillId="0" borderId="33" xfId="0" applyNumberFormat="1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71" fontId="1" fillId="0" borderId="0" xfId="0" applyNumberFormat="1" applyFont="1" applyAlignment="1">
      <alignment horizontal="center" vertical="center"/>
    </xf>
    <xf numFmtId="1" fontId="97" fillId="0" borderId="55" xfId="0" applyNumberFormat="1" applyFont="1" applyBorder="1" applyAlignment="1">
      <alignment horizontal="center" vertical="center"/>
    </xf>
    <xf numFmtId="2" fontId="97" fillId="0" borderId="1" xfId="2" applyNumberFormat="1" applyFont="1" applyBorder="1" applyAlignment="1">
      <alignment horizontal="center" vertical="center"/>
    </xf>
    <xf numFmtId="2" fontId="98" fillId="0" borderId="4" xfId="0" applyNumberFormat="1" applyFont="1" applyBorder="1" applyAlignment="1">
      <alignment horizontal="center" vertical="center"/>
    </xf>
    <xf numFmtId="2" fontId="97" fillId="0" borderId="1" xfId="0" applyNumberFormat="1" applyFont="1" applyBorder="1" applyAlignment="1">
      <alignment horizontal="center" vertical="center"/>
    </xf>
    <xf numFmtId="2" fontId="97" fillId="0" borderId="0" xfId="0" applyNumberFormat="1" applyFont="1" applyAlignment="1">
      <alignment horizontal="center"/>
    </xf>
    <xf numFmtId="2" fontId="97" fillId="0" borderId="8" xfId="0" applyNumberFormat="1" applyFont="1" applyBorder="1" applyAlignment="1">
      <alignment horizontal="center" vertical="center"/>
    </xf>
    <xf numFmtId="2" fontId="98" fillId="0" borderId="8" xfId="0" applyNumberFormat="1" applyFont="1" applyBorder="1" applyAlignment="1">
      <alignment horizontal="center" vertical="center"/>
    </xf>
    <xf numFmtId="2" fontId="97" fillId="0" borderId="4" xfId="0" applyNumberFormat="1" applyFont="1" applyBorder="1" applyAlignment="1">
      <alignment horizontal="center" vertical="center"/>
    </xf>
    <xf numFmtId="2" fontId="97" fillId="0" borderId="6" xfId="0" applyNumberFormat="1" applyFont="1" applyBorder="1" applyAlignment="1">
      <alignment horizontal="center" vertical="center"/>
    </xf>
    <xf numFmtId="2" fontId="98" fillId="0" borderId="6" xfId="0" applyNumberFormat="1" applyFont="1" applyBorder="1" applyAlignment="1">
      <alignment horizontal="center" vertical="center"/>
    </xf>
    <xf numFmtId="2" fontId="99" fillId="0" borderId="1" xfId="0" applyNumberFormat="1" applyFont="1" applyBorder="1" applyAlignment="1">
      <alignment horizontal="center" vertical="center"/>
    </xf>
    <xf numFmtId="2" fontId="45" fillId="0" borderId="4" xfId="0" applyNumberFormat="1" applyFont="1" applyBorder="1" applyAlignment="1">
      <alignment horizontal="center" vertical="center"/>
    </xf>
    <xf numFmtId="2" fontId="96" fillId="0" borderId="9" xfId="0" applyNumberFormat="1" applyFont="1" applyBorder="1" applyAlignment="1">
      <alignment horizontal="center" vertical="center"/>
    </xf>
    <xf numFmtId="2" fontId="45" fillId="0" borderId="2" xfId="0" applyNumberFormat="1" applyFont="1" applyBorder="1" applyAlignment="1">
      <alignment horizontal="center" vertical="center"/>
    </xf>
    <xf numFmtId="2" fontId="96" fillId="0" borderId="10" xfId="0" applyNumberFormat="1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/>
    </xf>
    <xf numFmtId="0" fontId="36" fillId="0" borderId="45" xfId="0" applyFont="1" applyBorder="1" applyAlignment="1">
      <alignment horizontal="centerContinuous"/>
    </xf>
    <xf numFmtId="0" fontId="43" fillId="0" borderId="1" xfId="0" applyFont="1" applyBorder="1" applyAlignment="1">
      <alignment horizontal="center" vertical="center"/>
    </xf>
    <xf numFmtId="167" fontId="43" fillId="0" borderId="1" xfId="0" applyNumberFormat="1" applyFont="1" applyBorder="1" applyAlignment="1">
      <alignment horizontal="center" vertical="center"/>
    </xf>
    <xf numFmtId="166" fontId="43" fillId="0" borderId="1" xfId="0" applyNumberFormat="1" applyFont="1" applyBorder="1" applyAlignment="1">
      <alignment horizontal="center" vertical="center"/>
    </xf>
    <xf numFmtId="0" fontId="30" fillId="10" borderId="1" xfId="0" applyFont="1" applyFill="1" applyBorder="1" applyAlignment="1">
      <alignment horizontal="center" vertical="center" wrapText="1"/>
    </xf>
    <xf numFmtId="0" fontId="43" fillId="0" borderId="60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7" fontId="43" fillId="0" borderId="0" xfId="0" applyNumberFormat="1" applyFont="1" applyAlignment="1">
      <alignment horizontal="center" vertical="center"/>
    </xf>
    <xf numFmtId="166" fontId="43" fillId="0" borderId="0" xfId="0" applyNumberFormat="1" applyFont="1" applyAlignment="1">
      <alignment horizontal="center" vertical="center"/>
    </xf>
    <xf numFmtId="0" fontId="43" fillId="0" borderId="64" xfId="0" applyFont="1" applyBorder="1" applyAlignment="1">
      <alignment horizontal="center" vertical="center"/>
    </xf>
    <xf numFmtId="167" fontId="43" fillId="0" borderId="64" xfId="0" applyNumberFormat="1" applyFont="1" applyBorder="1" applyAlignment="1">
      <alignment horizontal="center" vertical="center"/>
    </xf>
    <xf numFmtId="166" fontId="43" fillId="0" borderId="64" xfId="0" applyNumberFormat="1" applyFont="1" applyBorder="1" applyAlignment="1">
      <alignment horizontal="center" vertical="center"/>
    </xf>
    <xf numFmtId="0" fontId="28" fillId="7" borderId="1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/>
    </xf>
    <xf numFmtId="0" fontId="93" fillId="0" borderId="0" xfId="0" applyFont="1" applyAlignment="1">
      <alignment horizontal="left" vertical="center" wrapText="1"/>
    </xf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7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0" fontId="65" fillId="0" borderId="1" xfId="0" applyFont="1" applyBorder="1" applyAlignment="1">
      <alignment horizontal="left" vertical="center"/>
    </xf>
    <xf numFmtId="0" fontId="28" fillId="6" borderId="7" xfId="0" applyFont="1" applyFill="1" applyBorder="1" applyAlignment="1">
      <alignment horizontal="center" vertical="center" wrapText="1"/>
    </xf>
    <xf numFmtId="0" fontId="28" fillId="6" borderId="3" xfId="0" applyFont="1" applyFill="1" applyBorder="1" applyAlignment="1">
      <alignment horizontal="center" vertical="center" wrapText="1"/>
    </xf>
    <xf numFmtId="0" fontId="27" fillId="6" borderId="9" xfId="0" applyFont="1" applyFill="1" applyBorder="1" applyAlignment="1">
      <alignment horizontal="center" vertical="center" wrapText="1"/>
    </xf>
    <xf numFmtId="0" fontId="27" fillId="6" borderId="1" xfId="0" applyFont="1" applyFill="1" applyBorder="1" applyAlignment="1">
      <alignment horizontal="center" vertical="center" wrapText="1"/>
    </xf>
    <xf numFmtId="0" fontId="27" fillId="6" borderId="8" xfId="0" applyFont="1" applyFill="1" applyBorder="1" applyAlignment="1">
      <alignment horizontal="center" vertical="center" wrapText="1"/>
    </xf>
    <xf numFmtId="0" fontId="27" fillId="6" borderId="4" xfId="0" applyFont="1" applyFill="1" applyBorder="1" applyAlignment="1">
      <alignment horizontal="center" vertical="center" wrapText="1"/>
    </xf>
    <xf numFmtId="0" fontId="20" fillId="0" borderId="48" xfId="2" applyBorder="1" applyAlignment="1">
      <alignment horizontal="center"/>
    </xf>
    <xf numFmtId="0" fontId="20" fillId="0" borderId="37" xfId="2" applyBorder="1" applyAlignment="1">
      <alignment horizontal="center"/>
    </xf>
    <xf numFmtId="0" fontId="27" fillId="7" borderId="1" xfId="2" applyFont="1" applyFill="1" applyBorder="1" applyAlignment="1">
      <alignment horizontal="center" vertical="center"/>
    </xf>
    <xf numFmtId="0" fontId="20" fillId="0" borderId="49" xfId="2" applyBorder="1" applyAlignment="1">
      <alignment horizontal="center"/>
    </xf>
    <xf numFmtId="0" fontId="29" fillId="6" borderId="1" xfId="2" applyFont="1" applyFill="1" applyBorder="1" applyAlignment="1">
      <alignment horizontal="center" vertical="center"/>
    </xf>
    <xf numFmtId="0" fontId="27" fillId="6" borderId="1" xfId="2" applyFont="1" applyFill="1" applyBorder="1" applyAlignment="1">
      <alignment horizontal="center" vertical="center"/>
    </xf>
    <xf numFmtId="0" fontId="29" fillId="6" borderId="1" xfId="2" applyFont="1" applyFill="1" applyBorder="1" applyAlignment="1">
      <alignment horizontal="center" vertical="center" wrapText="1"/>
    </xf>
    <xf numFmtId="0" fontId="47" fillId="0" borderId="0" xfId="2" applyFont="1" applyAlignment="1">
      <alignment horizontal="center" vertical="center"/>
    </xf>
    <xf numFmtId="0" fontId="45" fillId="0" borderId="0" xfId="2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28" fillId="7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18" fillId="0" borderId="2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7" fillId="0" borderId="23" xfId="0" applyFont="1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11" fillId="0" borderId="0" xfId="0" applyFont="1" applyAlignment="1">
      <alignment horizontal="left" vertical="center" wrapText="1"/>
    </xf>
    <xf numFmtId="0" fontId="30" fillId="10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0" borderId="37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28" fillId="6" borderId="13" xfId="0" applyFont="1" applyFill="1" applyBorder="1" applyAlignment="1">
      <alignment horizontal="center" vertical="center" wrapText="1"/>
    </xf>
    <xf numFmtId="0" fontId="28" fillId="6" borderId="14" xfId="0" applyFont="1" applyFill="1" applyBorder="1" applyAlignment="1">
      <alignment horizontal="center" vertical="center" wrapText="1"/>
    </xf>
    <xf numFmtId="0" fontId="27" fillId="6" borderId="29" xfId="0" applyFont="1" applyFill="1" applyBorder="1" applyAlignment="1">
      <alignment horizontal="center" vertical="center"/>
    </xf>
    <xf numFmtId="0" fontId="27" fillId="6" borderId="30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/>
    </xf>
    <xf numFmtId="0" fontId="27" fillId="7" borderId="7" xfId="0" applyFont="1" applyFill="1" applyBorder="1" applyAlignment="1">
      <alignment horizontal="center" vertical="center" wrapText="1"/>
    </xf>
    <xf numFmtId="0" fontId="27" fillId="7" borderId="8" xfId="0" applyFont="1" applyFill="1" applyBorder="1" applyAlignment="1">
      <alignment horizontal="center" vertical="center" wrapText="1"/>
    </xf>
    <xf numFmtId="0" fontId="27" fillId="6" borderId="7" xfId="0" applyFont="1" applyFill="1" applyBorder="1" applyAlignment="1">
      <alignment horizontal="center" vertical="center"/>
    </xf>
    <xf numFmtId="0" fontId="27" fillId="6" borderId="8" xfId="0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/>
    </xf>
    <xf numFmtId="0" fontId="27" fillId="7" borderId="4" xfId="0" applyFont="1" applyFill="1" applyBorder="1" applyAlignment="1">
      <alignment horizontal="center" vertical="center"/>
    </xf>
    <xf numFmtId="0" fontId="28" fillId="7" borderId="1" xfId="6" applyFont="1" applyFill="1" applyBorder="1" applyAlignment="1">
      <alignment horizontal="center" vertical="center"/>
    </xf>
    <xf numFmtId="0" fontId="31" fillId="0" borderId="0" xfId="0" applyFont="1" applyAlignment="1">
      <alignment horizontal="right" vertical="center" textRotation="90" wrapText="1"/>
    </xf>
    <xf numFmtId="0" fontId="31" fillId="0" borderId="0" xfId="0" applyFont="1" applyAlignment="1">
      <alignment horizontal="center"/>
    </xf>
    <xf numFmtId="0" fontId="6" fillId="0" borderId="1" xfId="0" applyFont="1" applyBorder="1" applyAlignment="1">
      <alignment horizontal="left" vertical="center"/>
    </xf>
    <xf numFmtId="1" fontId="7" fillId="5" borderId="1" xfId="0" applyNumberFormat="1" applyFont="1" applyFill="1" applyBorder="1" applyAlignment="1">
      <alignment horizontal="center" vertical="center"/>
    </xf>
    <xf numFmtId="0" fontId="30" fillId="7" borderId="1" xfId="0" applyFont="1" applyFill="1" applyBorder="1" applyAlignment="1">
      <alignment horizontal="center" vertical="center" wrapText="1"/>
    </xf>
    <xf numFmtId="0" fontId="4" fillId="0" borderId="43" xfId="0" applyFont="1" applyBorder="1" applyAlignment="1">
      <alignment horizontal="center"/>
    </xf>
    <xf numFmtId="0" fontId="27" fillId="6" borderId="30" xfId="0" applyFont="1" applyFill="1" applyBorder="1" applyAlignment="1">
      <alignment horizontal="left"/>
    </xf>
    <xf numFmtId="0" fontId="27" fillId="6" borderId="22" xfId="0" applyFont="1" applyFill="1" applyBorder="1" applyAlignment="1">
      <alignment horizontal="left"/>
    </xf>
    <xf numFmtId="0" fontId="27" fillId="6" borderId="29" xfId="0" applyFont="1" applyFill="1" applyBorder="1" applyAlignment="1">
      <alignment horizontal="right" vertical="center"/>
    </xf>
    <xf numFmtId="0" fontId="27" fillId="6" borderId="30" xfId="0" applyFont="1" applyFill="1" applyBorder="1" applyAlignment="1">
      <alignment horizontal="right" vertical="center"/>
    </xf>
    <xf numFmtId="0" fontId="89" fillId="7" borderId="1" xfId="0" applyFont="1" applyFill="1" applyBorder="1" applyAlignment="1">
      <alignment horizontal="center" vertical="center"/>
    </xf>
    <xf numFmtId="0" fontId="30" fillId="6" borderId="8" xfId="0" applyFont="1" applyFill="1" applyBorder="1" applyAlignment="1">
      <alignment horizontal="center" vertical="center" wrapText="1"/>
    </xf>
    <xf numFmtId="0" fontId="30" fillId="6" borderId="6" xfId="0" applyFont="1" applyFill="1" applyBorder="1" applyAlignment="1">
      <alignment horizontal="center" vertical="center" wrapText="1"/>
    </xf>
    <xf numFmtId="0" fontId="30" fillId="6" borderId="13" xfId="0" applyFont="1" applyFill="1" applyBorder="1" applyAlignment="1">
      <alignment horizontal="center" vertical="center" wrapText="1"/>
    </xf>
    <xf numFmtId="0" fontId="30" fillId="6" borderId="14" xfId="0" applyFont="1" applyFill="1" applyBorder="1" applyAlignment="1">
      <alignment horizontal="center" vertical="center" wrapText="1"/>
    </xf>
    <xf numFmtId="0" fontId="30" fillId="6" borderId="46" xfId="0" applyFont="1" applyFill="1" applyBorder="1" applyAlignment="1">
      <alignment horizontal="center" vertical="center" wrapText="1"/>
    </xf>
    <xf numFmtId="0" fontId="30" fillId="6" borderId="38" xfId="0" applyFont="1" applyFill="1" applyBorder="1" applyAlignment="1">
      <alignment horizontal="center" vertical="center" wrapText="1"/>
    </xf>
    <xf numFmtId="0" fontId="30" fillId="6" borderId="56" xfId="0" applyFont="1" applyFill="1" applyBorder="1" applyAlignment="1">
      <alignment horizontal="center" vertical="center" wrapText="1"/>
    </xf>
    <xf numFmtId="0" fontId="30" fillId="6" borderId="52" xfId="0" applyFont="1" applyFill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 wrapText="1"/>
    </xf>
    <xf numFmtId="0" fontId="30" fillId="6" borderId="12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0" xfId="0" applyFont="1" applyAlignment="1">
      <alignment horizontal="right" vertical="center" wrapText="1"/>
    </xf>
    <xf numFmtId="0" fontId="28" fillId="6" borderId="27" xfId="0" applyFont="1" applyFill="1" applyBorder="1" applyAlignment="1">
      <alignment horizontal="center" vertical="center" wrapText="1"/>
    </xf>
    <xf numFmtId="0" fontId="28" fillId="6" borderId="40" xfId="0" applyFont="1" applyFill="1" applyBorder="1" applyAlignment="1">
      <alignment horizontal="center" vertical="center" wrapText="1"/>
    </xf>
    <xf numFmtId="2" fontId="28" fillId="6" borderId="23" xfId="0" applyNumberFormat="1" applyFont="1" applyFill="1" applyBorder="1" applyAlignment="1">
      <alignment horizontal="center" vertical="center" wrapText="1"/>
    </xf>
    <xf numFmtId="2" fontId="28" fillId="6" borderId="20" xfId="0" applyNumberFormat="1" applyFont="1" applyFill="1" applyBorder="1" applyAlignment="1">
      <alignment horizontal="center" vertical="center" wrapText="1"/>
    </xf>
    <xf numFmtId="0" fontId="28" fillId="6" borderId="28" xfId="0" applyFont="1" applyFill="1" applyBorder="1" applyAlignment="1">
      <alignment horizontal="center" vertical="center" wrapText="1"/>
    </xf>
    <xf numFmtId="2" fontId="28" fillId="6" borderId="31" xfId="0" applyNumberFormat="1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4" xfId="0" applyFont="1" applyBorder="1" applyAlignment="1">
      <alignment horizontal="center" vertical="center"/>
    </xf>
    <xf numFmtId="0" fontId="31" fillId="0" borderId="25" xfId="0" applyFont="1" applyBorder="1" applyAlignment="1">
      <alignment horizontal="center" vertical="center"/>
    </xf>
    <xf numFmtId="0" fontId="31" fillId="0" borderId="59" xfId="0" applyFont="1" applyBorder="1" applyAlignment="1">
      <alignment horizontal="center" vertical="center"/>
    </xf>
    <xf numFmtId="0" fontId="27" fillId="6" borderId="24" xfId="0" applyFont="1" applyFill="1" applyBorder="1" applyAlignment="1">
      <alignment horizontal="center" vertical="center"/>
    </xf>
    <xf numFmtId="0" fontId="27" fillId="6" borderId="25" xfId="0" applyFont="1" applyFill="1" applyBorder="1" applyAlignment="1">
      <alignment horizontal="center" vertical="center"/>
    </xf>
    <xf numFmtId="0" fontId="27" fillId="6" borderId="59" xfId="0" applyFont="1" applyFill="1" applyBorder="1" applyAlignment="1">
      <alignment horizontal="center" vertical="center"/>
    </xf>
    <xf numFmtId="0" fontId="27" fillId="6" borderId="27" xfId="0" applyFont="1" applyFill="1" applyBorder="1" applyAlignment="1">
      <alignment horizontal="center" vertical="center"/>
    </xf>
    <xf numFmtId="0" fontId="27" fillId="6" borderId="62" xfId="0" applyFont="1" applyFill="1" applyBorder="1" applyAlignment="1">
      <alignment horizontal="center" vertical="center"/>
    </xf>
    <xf numFmtId="0" fontId="27" fillId="6" borderId="32" xfId="0" applyFont="1" applyFill="1" applyBorder="1" applyAlignment="1">
      <alignment horizontal="center" vertical="center"/>
    </xf>
    <xf numFmtId="0" fontId="27" fillId="6" borderId="28" xfId="0" applyFont="1" applyFill="1" applyBorder="1" applyAlignment="1">
      <alignment horizontal="center" vertical="center"/>
    </xf>
    <xf numFmtId="0" fontId="27" fillId="6" borderId="54" xfId="0" applyFont="1" applyFill="1" applyBorder="1" applyAlignment="1">
      <alignment horizontal="center" vertical="center"/>
    </xf>
    <xf numFmtId="0" fontId="27" fillId="6" borderId="9" xfId="0" applyFont="1" applyFill="1" applyBorder="1" applyAlignment="1">
      <alignment horizontal="center" vertical="center"/>
    </xf>
    <xf numFmtId="0" fontId="27" fillId="6" borderId="56" xfId="0" applyFont="1" applyFill="1" applyBorder="1" applyAlignment="1">
      <alignment horizontal="center" vertical="center"/>
    </xf>
    <xf numFmtId="0" fontId="27" fillId="6" borderId="5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6" borderId="52" xfId="0" applyFont="1" applyFill="1" applyBorder="1" applyAlignment="1">
      <alignment horizontal="center" vertical="center"/>
    </xf>
    <xf numFmtId="0" fontId="27" fillId="6" borderId="7" xfId="0" applyFont="1" applyFill="1" applyBorder="1" applyAlignment="1">
      <alignment horizontal="center"/>
    </xf>
    <xf numFmtId="0" fontId="27" fillId="6" borderId="9" xfId="0" applyFont="1" applyFill="1" applyBorder="1" applyAlignment="1">
      <alignment horizontal="center"/>
    </xf>
    <xf numFmtId="0" fontId="27" fillId="6" borderId="8" xfId="0" applyFont="1" applyFill="1" applyBorder="1" applyAlignment="1">
      <alignment horizontal="center"/>
    </xf>
    <xf numFmtId="0" fontId="11" fillId="5" borderId="0" xfId="0" applyFont="1" applyFill="1" applyAlignment="1">
      <alignment horizontal="center"/>
    </xf>
    <xf numFmtId="0" fontId="31" fillId="0" borderId="26" xfId="0" applyFont="1" applyBorder="1" applyAlignment="1">
      <alignment horizontal="center" vertical="center"/>
    </xf>
    <xf numFmtId="0" fontId="31" fillId="0" borderId="29" xfId="0" applyFont="1" applyBorder="1" applyAlignment="1">
      <alignment horizontal="left" vertical="center"/>
    </xf>
    <xf numFmtId="0" fontId="31" fillId="0" borderId="22" xfId="0" applyFont="1" applyBorder="1" applyAlignment="1">
      <alignment horizontal="left" vertical="center"/>
    </xf>
    <xf numFmtId="0" fontId="31" fillId="0" borderId="13" xfId="0" applyFont="1" applyBorder="1" applyAlignment="1">
      <alignment horizontal="center" vertical="center" wrapText="1"/>
    </xf>
    <xf numFmtId="0" fontId="31" fillId="0" borderId="21" xfId="0" applyFont="1" applyBorder="1" applyAlignment="1">
      <alignment horizontal="center" vertical="center" wrapText="1"/>
    </xf>
    <xf numFmtId="0" fontId="31" fillId="0" borderId="16" xfId="0" applyFont="1" applyBorder="1" applyAlignment="1">
      <alignment horizontal="center" vertical="center" wrapText="1"/>
    </xf>
    <xf numFmtId="0" fontId="31" fillId="0" borderId="7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27" fillId="6" borderId="26" xfId="0" applyFont="1" applyFill="1" applyBorder="1" applyAlignment="1">
      <alignment horizontal="center" vertical="center"/>
    </xf>
    <xf numFmtId="0" fontId="27" fillId="6" borderId="41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14" xfId="0" applyFont="1" applyFill="1" applyBorder="1" applyAlignment="1">
      <alignment horizontal="center" vertical="center"/>
    </xf>
    <xf numFmtId="0" fontId="27" fillId="6" borderId="6" xfId="0" applyFont="1" applyFill="1" applyBorder="1" applyAlignment="1">
      <alignment horizontal="center" vertical="center"/>
    </xf>
    <xf numFmtId="0" fontId="68" fillId="6" borderId="36" xfId="0" applyFont="1" applyFill="1" applyBorder="1" applyAlignment="1">
      <alignment horizontal="center"/>
    </xf>
    <xf numFmtId="0" fontId="68" fillId="6" borderId="35" xfId="0" applyFont="1" applyFill="1" applyBorder="1" applyAlignment="1">
      <alignment horizontal="center"/>
    </xf>
    <xf numFmtId="0" fontId="68" fillId="6" borderId="2" xfId="0" applyFont="1" applyFill="1" applyBorder="1" applyAlignment="1">
      <alignment horizontal="center"/>
    </xf>
    <xf numFmtId="0" fontId="85" fillId="4" borderId="1" xfId="0" applyFont="1" applyFill="1" applyBorder="1" applyAlignment="1">
      <alignment horizontal="center" vertical="center"/>
    </xf>
    <xf numFmtId="0" fontId="50" fillId="6" borderId="7" xfId="0" applyFont="1" applyFill="1" applyBorder="1" applyAlignment="1">
      <alignment horizontal="center" vertical="center" wrapText="1"/>
    </xf>
    <xf numFmtId="0" fontId="50" fillId="6" borderId="8" xfId="0" applyFont="1" applyFill="1" applyBorder="1" applyAlignment="1">
      <alignment horizontal="center" vertical="center" wrapText="1"/>
    </xf>
    <xf numFmtId="0" fontId="50" fillId="6" borderId="3" xfId="0" applyFont="1" applyFill="1" applyBorder="1" applyAlignment="1">
      <alignment horizontal="center" vertical="center" wrapText="1"/>
    </xf>
    <xf numFmtId="0" fontId="50" fillId="6" borderId="4" xfId="0" applyFont="1" applyFill="1" applyBorder="1" applyAlignment="1">
      <alignment horizontal="center" vertical="center" wrapText="1"/>
    </xf>
    <xf numFmtId="0" fontId="50" fillId="6" borderId="5" xfId="0" applyFont="1" applyFill="1" applyBorder="1" applyAlignment="1">
      <alignment horizontal="center" vertical="center" wrapText="1"/>
    </xf>
    <xf numFmtId="0" fontId="50" fillId="6" borderId="6" xfId="0" applyFont="1" applyFill="1" applyBorder="1" applyAlignment="1">
      <alignment horizontal="center" vertical="center" wrapText="1"/>
    </xf>
    <xf numFmtId="0" fontId="27" fillId="6" borderId="51" xfId="0" applyFont="1" applyFill="1" applyBorder="1" applyAlignment="1">
      <alignment horizontal="center" vertical="center"/>
    </xf>
    <xf numFmtId="0" fontId="30" fillId="7" borderId="1" xfId="0" applyFont="1" applyFill="1" applyBorder="1" applyAlignment="1">
      <alignment horizontal="center" vertical="center"/>
    </xf>
    <xf numFmtId="0" fontId="30" fillId="7" borderId="48" xfId="0" applyFont="1" applyFill="1" applyBorder="1" applyAlignment="1">
      <alignment horizontal="center" vertical="center" wrapText="1"/>
    </xf>
    <xf numFmtId="0" fontId="30" fillId="7" borderId="37" xfId="0" applyFont="1" applyFill="1" applyBorder="1" applyAlignment="1">
      <alignment horizontal="center" vertical="center" wrapText="1"/>
    </xf>
    <xf numFmtId="1" fontId="30" fillId="7" borderId="60" xfId="5" applyNumberFormat="1" applyFont="1" applyFill="1" applyBorder="1" applyAlignment="1">
      <alignment horizontal="center" vertical="center" wrapText="1"/>
    </xf>
    <xf numFmtId="1" fontId="30" fillId="7" borderId="35" xfId="5" applyNumberFormat="1" applyFont="1" applyFill="1" applyBorder="1" applyAlignment="1">
      <alignment horizontal="center" vertical="center" wrapText="1"/>
    </xf>
    <xf numFmtId="0" fontId="30" fillId="7" borderId="60" xfId="0" applyFont="1" applyFill="1" applyBorder="1" applyAlignment="1">
      <alignment horizontal="center" vertical="center" wrapText="1"/>
    </xf>
    <xf numFmtId="0" fontId="30" fillId="7" borderId="35" xfId="0" applyFont="1" applyFill="1" applyBorder="1" applyAlignment="1">
      <alignment horizontal="center" vertical="center" wrapText="1"/>
    </xf>
    <xf numFmtId="0" fontId="28" fillId="7" borderId="60" xfId="0" applyFont="1" applyFill="1" applyBorder="1" applyAlignment="1">
      <alignment horizontal="center" vertical="center" wrapText="1"/>
    </xf>
    <xf numFmtId="0" fontId="28" fillId="7" borderId="35" xfId="0" applyFont="1" applyFill="1" applyBorder="1" applyAlignment="1">
      <alignment horizontal="center" vertical="center" wrapText="1"/>
    </xf>
    <xf numFmtId="0" fontId="28" fillId="7" borderId="48" xfId="0" applyFont="1" applyFill="1" applyBorder="1" applyAlignment="1">
      <alignment horizontal="center" vertical="center" wrapText="1"/>
    </xf>
    <xf numFmtId="0" fontId="28" fillId="7" borderId="49" xfId="0" applyFont="1" applyFill="1" applyBorder="1" applyAlignment="1">
      <alignment horizontal="center" vertical="center" wrapText="1"/>
    </xf>
    <xf numFmtId="0" fontId="28" fillId="7" borderId="37" xfId="0" applyFont="1" applyFill="1" applyBorder="1" applyAlignment="1">
      <alignment horizontal="center" vertical="center" wrapText="1"/>
    </xf>
    <xf numFmtId="0" fontId="85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2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8" fillId="7" borderId="33" xfId="0" applyFont="1" applyFill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28" fillId="7" borderId="7" xfId="0" applyFont="1" applyFill="1" applyBorder="1" applyAlignment="1">
      <alignment horizontal="center" vertical="center" wrapText="1"/>
    </xf>
    <xf numFmtId="0" fontId="28" fillId="7" borderId="3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</cellXfs>
  <cellStyles count="8">
    <cellStyle name="Millares" xfId="1" builtinId="3"/>
    <cellStyle name="Normal" xfId="0" builtinId="0"/>
    <cellStyle name="Normal 2" xfId="2" xr:uid="{00000000-0005-0000-0000-000003000000}"/>
    <cellStyle name="Normal 3" xfId="3" xr:uid="{00000000-0005-0000-0000-000004000000}"/>
    <cellStyle name="Normal 3 2" xfId="5" xr:uid="{00000000-0005-0000-0000-000005000000}"/>
    <cellStyle name="Normal 3 3" xfId="7" xr:uid="{00000000-0005-0000-0000-000006000000}"/>
    <cellStyle name="Normal 4" xfId="6" xr:uid="{00000000-0005-0000-0000-000007000000}"/>
    <cellStyle name="Normal_Hidrologia Proyecto Piloto" xfId="4" xr:uid="{00000000-0005-0000-0000-000008000000}"/>
  </cellStyles>
  <dxfs count="1"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u="none"/>
            </a:pPr>
            <a:r>
              <a:rPr lang="es-PE"/>
              <a:t>Pmax24h (Máximos Mensuales) - Serie Histórica </a:t>
            </a:r>
          </a:p>
          <a:p>
            <a:pPr>
              <a:defRPr sz="1200" u="none"/>
            </a:pPr>
            <a:r>
              <a:rPr lang="es-PE"/>
              <a:t>Estación:</a:t>
            </a:r>
            <a:r>
              <a:rPr lang="es-PE" baseline="0"/>
              <a:t> Yantac</a:t>
            </a:r>
            <a:endParaRPr lang="es-PE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/>
          </c:spPr>
          <c:marker>
            <c:symbol val="diamond"/>
            <c:size val="2"/>
          </c:marker>
          <c:xVal>
            <c:numRef>
              <c:f>ACV!$AN$1:$AN$715</c:f>
              <c:numCache>
                <c:formatCode>m/d/yyyy</c:formatCode>
                <c:ptCount val="715"/>
                <c:pt idx="0">
                  <c:v>24108</c:v>
                </c:pt>
                <c:pt idx="1">
                  <c:v>24139</c:v>
                </c:pt>
                <c:pt idx="2">
                  <c:v>24167</c:v>
                </c:pt>
                <c:pt idx="3">
                  <c:v>24198</c:v>
                </c:pt>
                <c:pt idx="4">
                  <c:v>24228</c:v>
                </c:pt>
                <c:pt idx="5">
                  <c:v>24259</c:v>
                </c:pt>
                <c:pt idx="6">
                  <c:v>24289</c:v>
                </c:pt>
                <c:pt idx="7">
                  <c:v>24320</c:v>
                </c:pt>
                <c:pt idx="8">
                  <c:v>24351</c:v>
                </c:pt>
                <c:pt idx="9">
                  <c:v>24381</c:v>
                </c:pt>
                <c:pt idx="10">
                  <c:v>24412</c:v>
                </c:pt>
                <c:pt idx="11">
                  <c:v>24442</c:v>
                </c:pt>
                <c:pt idx="12">
                  <c:v>24473</c:v>
                </c:pt>
                <c:pt idx="13">
                  <c:v>24504</c:v>
                </c:pt>
                <c:pt idx="14">
                  <c:v>24532</c:v>
                </c:pt>
                <c:pt idx="15">
                  <c:v>24563</c:v>
                </c:pt>
                <c:pt idx="16">
                  <c:v>24593</c:v>
                </c:pt>
                <c:pt idx="17">
                  <c:v>24624</c:v>
                </c:pt>
                <c:pt idx="18">
                  <c:v>24654</c:v>
                </c:pt>
                <c:pt idx="19">
                  <c:v>24685</c:v>
                </c:pt>
                <c:pt idx="20">
                  <c:v>24716</c:v>
                </c:pt>
                <c:pt idx="21">
                  <c:v>24746</c:v>
                </c:pt>
                <c:pt idx="22">
                  <c:v>24777</c:v>
                </c:pt>
                <c:pt idx="23">
                  <c:v>24807</c:v>
                </c:pt>
                <c:pt idx="24">
                  <c:v>24838</c:v>
                </c:pt>
                <c:pt idx="25">
                  <c:v>24869</c:v>
                </c:pt>
                <c:pt idx="26">
                  <c:v>24898</c:v>
                </c:pt>
                <c:pt idx="27">
                  <c:v>24929</c:v>
                </c:pt>
                <c:pt idx="28">
                  <c:v>24959</c:v>
                </c:pt>
                <c:pt idx="29">
                  <c:v>24990</c:v>
                </c:pt>
                <c:pt idx="30">
                  <c:v>25020</c:v>
                </c:pt>
                <c:pt idx="31">
                  <c:v>25051</c:v>
                </c:pt>
                <c:pt idx="32">
                  <c:v>25082</c:v>
                </c:pt>
                <c:pt idx="33">
                  <c:v>25112</c:v>
                </c:pt>
                <c:pt idx="34">
                  <c:v>25143</c:v>
                </c:pt>
                <c:pt idx="35">
                  <c:v>25173</c:v>
                </c:pt>
                <c:pt idx="36">
                  <c:v>25204</c:v>
                </c:pt>
                <c:pt idx="37">
                  <c:v>25235</c:v>
                </c:pt>
                <c:pt idx="38">
                  <c:v>25263</c:v>
                </c:pt>
                <c:pt idx="39">
                  <c:v>25294</c:v>
                </c:pt>
                <c:pt idx="40">
                  <c:v>25324</c:v>
                </c:pt>
                <c:pt idx="41">
                  <c:v>25355</c:v>
                </c:pt>
                <c:pt idx="42">
                  <c:v>25385</c:v>
                </c:pt>
                <c:pt idx="43">
                  <c:v>25416</c:v>
                </c:pt>
                <c:pt idx="44">
                  <c:v>25447</c:v>
                </c:pt>
                <c:pt idx="45">
                  <c:v>25477</c:v>
                </c:pt>
                <c:pt idx="46">
                  <c:v>25508</c:v>
                </c:pt>
                <c:pt idx="47">
                  <c:v>25538</c:v>
                </c:pt>
                <c:pt idx="48">
                  <c:v>25569</c:v>
                </c:pt>
                <c:pt idx="49">
                  <c:v>25600</c:v>
                </c:pt>
                <c:pt idx="50">
                  <c:v>25628</c:v>
                </c:pt>
                <c:pt idx="51">
                  <c:v>25659</c:v>
                </c:pt>
                <c:pt idx="52">
                  <c:v>25689</c:v>
                </c:pt>
                <c:pt idx="53">
                  <c:v>25720</c:v>
                </c:pt>
                <c:pt idx="54">
                  <c:v>25750</c:v>
                </c:pt>
                <c:pt idx="55">
                  <c:v>25781</c:v>
                </c:pt>
                <c:pt idx="56">
                  <c:v>25812</c:v>
                </c:pt>
                <c:pt idx="57">
                  <c:v>25842</c:v>
                </c:pt>
                <c:pt idx="58">
                  <c:v>25873</c:v>
                </c:pt>
                <c:pt idx="59">
                  <c:v>25903</c:v>
                </c:pt>
                <c:pt idx="60">
                  <c:v>25934</c:v>
                </c:pt>
                <c:pt idx="61">
                  <c:v>25965</c:v>
                </c:pt>
                <c:pt idx="62">
                  <c:v>25993</c:v>
                </c:pt>
                <c:pt idx="63">
                  <c:v>26024</c:v>
                </c:pt>
                <c:pt idx="64">
                  <c:v>26054</c:v>
                </c:pt>
                <c:pt idx="65">
                  <c:v>26085</c:v>
                </c:pt>
                <c:pt idx="66">
                  <c:v>26115</c:v>
                </c:pt>
                <c:pt idx="70">
                  <c:v>26146</c:v>
                </c:pt>
                <c:pt idx="71">
                  <c:v>26177</c:v>
                </c:pt>
                <c:pt idx="72">
                  <c:v>26207</c:v>
                </c:pt>
                <c:pt idx="73">
                  <c:v>26238</c:v>
                </c:pt>
                <c:pt idx="74">
                  <c:v>26268</c:v>
                </c:pt>
                <c:pt idx="75">
                  <c:v>26299</c:v>
                </c:pt>
                <c:pt idx="76">
                  <c:v>26330</c:v>
                </c:pt>
                <c:pt idx="77">
                  <c:v>26359</c:v>
                </c:pt>
                <c:pt idx="78">
                  <c:v>26390</c:v>
                </c:pt>
                <c:pt idx="79">
                  <c:v>26420</c:v>
                </c:pt>
                <c:pt idx="80">
                  <c:v>26451</c:v>
                </c:pt>
                <c:pt idx="81">
                  <c:v>26481</c:v>
                </c:pt>
                <c:pt idx="82">
                  <c:v>26512</c:v>
                </c:pt>
                <c:pt idx="83">
                  <c:v>26543</c:v>
                </c:pt>
                <c:pt idx="84">
                  <c:v>26573</c:v>
                </c:pt>
                <c:pt idx="85">
                  <c:v>26604</c:v>
                </c:pt>
                <c:pt idx="86">
                  <c:v>26634</c:v>
                </c:pt>
                <c:pt idx="87">
                  <c:v>26665</c:v>
                </c:pt>
                <c:pt idx="88">
                  <c:v>26696</c:v>
                </c:pt>
                <c:pt idx="89">
                  <c:v>26724</c:v>
                </c:pt>
                <c:pt idx="90">
                  <c:v>26755</c:v>
                </c:pt>
                <c:pt idx="91">
                  <c:v>26785</c:v>
                </c:pt>
                <c:pt idx="92">
                  <c:v>26816</c:v>
                </c:pt>
                <c:pt idx="93">
                  <c:v>26846</c:v>
                </c:pt>
                <c:pt idx="94">
                  <c:v>26877</c:v>
                </c:pt>
                <c:pt idx="95">
                  <c:v>26908</c:v>
                </c:pt>
                <c:pt idx="96">
                  <c:v>26938</c:v>
                </c:pt>
                <c:pt idx="97">
                  <c:v>26969</c:v>
                </c:pt>
                <c:pt idx="98">
                  <c:v>26999</c:v>
                </c:pt>
                <c:pt idx="99">
                  <c:v>27030</c:v>
                </c:pt>
                <c:pt idx="100">
                  <c:v>27061</c:v>
                </c:pt>
                <c:pt idx="101">
                  <c:v>27089</c:v>
                </c:pt>
                <c:pt idx="102">
                  <c:v>27120</c:v>
                </c:pt>
                <c:pt idx="103">
                  <c:v>27150</c:v>
                </c:pt>
                <c:pt idx="104">
                  <c:v>27181</c:v>
                </c:pt>
                <c:pt idx="105">
                  <c:v>27211</c:v>
                </c:pt>
                <c:pt idx="106">
                  <c:v>27242</c:v>
                </c:pt>
                <c:pt idx="107">
                  <c:v>27273</c:v>
                </c:pt>
                <c:pt idx="108">
                  <c:v>27303</c:v>
                </c:pt>
                <c:pt idx="109">
                  <c:v>27334</c:v>
                </c:pt>
                <c:pt idx="110">
                  <c:v>27364</c:v>
                </c:pt>
                <c:pt idx="111">
                  <c:v>27395</c:v>
                </c:pt>
                <c:pt idx="112">
                  <c:v>27426</c:v>
                </c:pt>
                <c:pt idx="113">
                  <c:v>27454</c:v>
                </c:pt>
                <c:pt idx="114">
                  <c:v>27485</c:v>
                </c:pt>
                <c:pt idx="115">
                  <c:v>27515</c:v>
                </c:pt>
                <c:pt idx="116">
                  <c:v>27546</c:v>
                </c:pt>
                <c:pt idx="117">
                  <c:v>27576</c:v>
                </c:pt>
                <c:pt idx="118">
                  <c:v>27607</c:v>
                </c:pt>
                <c:pt idx="119">
                  <c:v>27638</c:v>
                </c:pt>
                <c:pt idx="120">
                  <c:v>27668</c:v>
                </c:pt>
                <c:pt idx="121">
                  <c:v>27699</c:v>
                </c:pt>
                <c:pt idx="122">
                  <c:v>27729</c:v>
                </c:pt>
                <c:pt idx="123">
                  <c:v>27760</c:v>
                </c:pt>
                <c:pt idx="124">
                  <c:v>27791</c:v>
                </c:pt>
                <c:pt idx="125">
                  <c:v>27820</c:v>
                </c:pt>
                <c:pt idx="126">
                  <c:v>27851</c:v>
                </c:pt>
                <c:pt idx="127">
                  <c:v>27881</c:v>
                </c:pt>
                <c:pt idx="128">
                  <c:v>27912</c:v>
                </c:pt>
                <c:pt idx="129">
                  <c:v>27942</c:v>
                </c:pt>
                <c:pt idx="130">
                  <c:v>27973</c:v>
                </c:pt>
                <c:pt idx="131">
                  <c:v>28004</c:v>
                </c:pt>
                <c:pt idx="132">
                  <c:v>28034</c:v>
                </c:pt>
                <c:pt idx="133">
                  <c:v>28065</c:v>
                </c:pt>
                <c:pt idx="134">
                  <c:v>28095</c:v>
                </c:pt>
                <c:pt idx="135">
                  <c:v>28126</c:v>
                </c:pt>
                <c:pt idx="136">
                  <c:v>28157</c:v>
                </c:pt>
                <c:pt idx="137">
                  <c:v>28185</c:v>
                </c:pt>
                <c:pt idx="138">
                  <c:v>28216</c:v>
                </c:pt>
                <c:pt idx="139">
                  <c:v>28246</c:v>
                </c:pt>
                <c:pt idx="140">
                  <c:v>28277</c:v>
                </c:pt>
                <c:pt idx="141">
                  <c:v>28307</c:v>
                </c:pt>
                <c:pt idx="142">
                  <c:v>28338</c:v>
                </c:pt>
                <c:pt idx="143">
                  <c:v>28369</c:v>
                </c:pt>
                <c:pt idx="144">
                  <c:v>28399</c:v>
                </c:pt>
                <c:pt idx="145">
                  <c:v>28430</c:v>
                </c:pt>
                <c:pt idx="146">
                  <c:v>28460</c:v>
                </c:pt>
                <c:pt idx="147">
                  <c:v>28491</c:v>
                </c:pt>
                <c:pt idx="148">
                  <c:v>28522</c:v>
                </c:pt>
                <c:pt idx="149">
                  <c:v>28550</c:v>
                </c:pt>
                <c:pt idx="150">
                  <c:v>28581</c:v>
                </c:pt>
                <c:pt idx="151">
                  <c:v>28611</c:v>
                </c:pt>
                <c:pt idx="152">
                  <c:v>28642</c:v>
                </c:pt>
                <c:pt idx="153">
                  <c:v>28672</c:v>
                </c:pt>
                <c:pt idx="154">
                  <c:v>28703</c:v>
                </c:pt>
                <c:pt idx="155">
                  <c:v>28734</c:v>
                </c:pt>
                <c:pt idx="156">
                  <c:v>28764</c:v>
                </c:pt>
                <c:pt idx="157">
                  <c:v>28795</c:v>
                </c:pt>
                <c:pt idx="158">
                  <c:v>28825</c:v>
                </c:pt>
                <c:pt idx="159">
                  <c:v>28856</c:v>
                </c:pt>
                <c:pt idx="160">
                  <c:v>28887</c:v>
                </c:pt>
                <c:pt idx="161">
                  <c:v>28915</c:v>
                </c:pt>
                <c:pt idx="162">
                  <c:v>28946</c:v>
                </c:pt>
                <c:pt idx="163">
                  <c:v>28976</c:v>
                </c:pt>
                <c:pt idx="164">
                  <c:v>29007</c:v>
                </c:pt>
                <c:pt idx="165">
                  <c:v>29037</c:v>
                </c:pt>
                <c:pt idx="166">
                  <c:v>29068</c:v>
                </c:pt>
                <c:pt idx="167">
                  <c:v>29099</c:v>
                </c:pt>
                <c:pt idx="168">
                  <c:v>29129</c:v>
                </c:pt>
                <c:pt idx="169">
                  <c:v>29160</c:v>
                </c:pt>
                <c:pt idx="170">
                  <c:v>29190</c:v>
                </c:pt>
                <c:pt idx="171">
                  <c:v>29221</c:v>
                </c:pt>
                <c:pt idx="172">
                  <c:v>29252</c:v>
                </c:pt>
                <c:pt idx="173">
                  <c:v>29281</c:v>
                </c:pt>
                <c:pt idx="174">
                  <c:v>29312</c:v>
                </c:pt>
                <c:pt idx="175">
                  <c:v>29342</c:v>
                </c:pt>
                <c:pt idx="176">
                  <c:v>29373</c:v>
                </c:pt>
                <c:pt idx="177">
                  <c:v>29403</c:v>
                </c:pt>
                <c:pt idx="178">
                  <c:v>29434</c:v>
                </c:pt>
                <c:pt idx="179">
                  <c:v>29465</c:v>
                </c:pt>
                <c:pt idx="180">
                  <c:v>29495</c:v>
                </c:pt>
                <c:pt idx="181">
                  <c:v>29526</c:v>
                </c:pt>
                <c:pt idx="182">
                  <c:v>29556</c:v>
                </c:pt>
                <c:pt idx="183">
                  <c:v>29587</c:v>
                </c:pt>
                <c:pt idx="184">
                  <c:v>29618</c:v>
                </c:pt>
                <c:pt idx="185">
                  <c:v>29646</c:v>
                </c:pt>
                <c:pt idx="186">
                  <c:v>29677</c:v>
                </c:pt>
                <c:pt idx="187">
                  <c:v>29707</c:v>
                </c:pt>
                <c:pt idx="188">
                  <c:v>29738</c:v>
                </c:pt>
                <c:pt idx="189">
                  <c:v>29768</c:v>
                </c:pt>
                <c:pt idx="190">
                  <c:v>29799</c:v>
                </c:pt>
                <c:pt idx="191">
                  <c:v>29830</c:v>
                </c:pt>
                <c:pt idx="192">
                  <c:v>29860</c:v>
                </c:pt>
                <c:pt idx="193">
                  <c:v>29891</c:v>
                </c:pt>
                <c:pt idx="194">
                  <c:v>29921</c:v>
                </c:pt>
                <c:pt idx="195">
                  <c:v>29952</c:v>
                </c:pt>
                <c:pt idx="196">
                  <c:v>29983</c:v>
                </c:pt>
                <c:pt idx="197">
                  <c:v>30011</c:v>
                </c:pt>
                <c:pt idx="198">
                  <c:v>30042</c:v>
                </c:pt>
                <c:pt idx="199">
                  <c:v>30072</c:v>
                </c:pt>
                <c:pt idx="200">
                  <c:v>30103</c:v>
                </c:pt>
                <c:pt idx="201">
                  <c:v>30133</c:v>
                </c:pt>
                <c:pt idx="202">
                  <c:v>30164</c:v>
                </c:pt>
                <c:pt idx="203">
                  <c:v>30195</c:v>
                </c:pt>
                <c:pt idx="204">
                  <c:v>30225</c:v>
                </c:pt>
                <c:pt idx="205">
                  <c:v>30256</c:v>
                </c:pt>
                <c:pt idx="206">
                  <c:v>30286</c:v>
                </c:pt>
                <c:pt idx="207">
                  <c:v>30317</c:v>
                </c:pt>
                <c:pt idx="208">
                  <c:v>30348</c:v>
                </c:pt>
                <c:pt idx="209">
                  <c:v>30376</c:v>
                </c:pt>
                <c:pt idx="210">
                  <c:v>30407</c:v>
                </c:pt>
                <c:pt idx="211">
                  <c:v>30437</c:v>
                </c:pt>
                <c:pt idx="212">
                  <c:v>30468</c:v>
                </c:pt>
                <c:pt idx="213">
                  <c:v>30498</c:v>
                </c:pt>
                <c:pt idx="214">
                  <c:v>30529</c:v>
                </c:pt>
                <c:pt idx="215">
                  <c:v>30560</c:v>
                </c:pt>
                <c:pt idx="216">
                  <c:v>30590</c:v>
                </c:pt>
                <c:pt idx="217">
                  <c:v>30621</c:v>
                </c:pt>
                <c:pt idx="218">
                  <c:v>30651</c:v>
                </c:pt>
                <c:pt idx="219">
                  <c:v>30682</c:v>
                </c:pt>
                <c:pt idx="220">
                  <c:v>30713</c:v>
                </c:pt>
                <c:pt idx="221">
                  <c:v>30742</c:v>
                </c:pt>
                <c:pt idx="222">
                  <c:v>30773</c:v>
                </c:pt>
                <c:pt idx="223">
                  <c:v>30803</c:v>
                </c:pt>
                <c:pt idx="224">
                  <c:v>30834</c:v>
                </c:pt>
                <c:pt idx="225">
                  <c:v>30864</c:v>
                </c:pt>
                <c:pt idx="226">
                  <c:v>30895</c:v>
                </c:pt>
                <c:pt idx="227">
                  <c:v>30926</c:v>
                </c:pt>
                <c:pt idx="228">
                  <c:v>30956</c:v>
                </c:pt>
                <c:pt idx="229">
                  <c:v>30987</c:v>
                </c:pt>
                <c:pt idx="230">
                  <c:v>31017</c:v>
                </c:pt>
                <c:pt idx="231">
                  <c:v>31048</c:v>
                </c:pt>
                <c:pt idx="232">
                  <c:v>31079</c:v>
                </c:pt>
                <c:pt idx="233">
                  <c:v>31107</c:v>
                </c:pt>
                <c:pt idx="234">
                  <c:v>31138</c:v>
                </c:pt>
                <c:pt idx="235">
                  <c:v>31168</c:v>
                </c:pt>
                <c:pt idx="236">
                  <c:v>31199</c:v>
                </c:pt>
                <c:pt idx="237">
                  <c:v>31229</c:v>
                </c:pt>
                <c:pt idx="238">
                  <c:v>31260</c:v>
                </c:pt>
                <c:pt idx="239">
                  <c:v>31291</c:v>
                </c:pt>
                <c:pt idx="240">
                  <c:v>31321</c:v>
                </c:pt>
                <c:pt idx="241">
                  <c:v>31352</c:v>
                </c:pt>
                <c:pt idx="242">
                  <c:v>31382</c:v>
                </c:pt>
                <c:pt idx="243">
                  <c:v>31413</c:v>
                </c:pt>
                <c:pt idx="244">
                  <c:v>31444</c:v>
                </c:pt>
                <c:pt idx="245">
                  <c:v>31472</c:v>
                </c:pt>
                <c:pt idx="246">
                  <c:v>31503</c:v>
                </c:pt>
                <c:pt idx="247">
                  <c:v>31533</c:v>
                </c:pt>
                <c:pt idx="248">
                  <c:v>31564</c:v>
                </c:pt>
                <c:pt idx="249">
                  <c:v>31594</c:v>
                </c:pt>
                <c:pt idx="250">
                  <c:v>31625</c:v>
                </c:pt>
                <c:pt idx="251">
                  <c:v>31656</c:v>
                </c:pt>
                <c:pt idx="252">
                  <c:v>31686</c:v>
                </c:pt>
                <c:pt idx="253">
                  <c:v>31717</c:v>
                </c:pt>
                <c:pt idx="254">
                  <c:v>31747</c:v>
                </c:pt>
                <c:pt idx="255">
                  <c:v>31778</c:v>
                </c:pt>
                <c:pt idx="256">
                  <c:v>31809</c:v>
                </c:pt>
                <c:pt idx="257">
                  <c:v>31837</c:v>
                </c:pt>
                <c:pt idx="258">
                  <c:v>31868</c:v>
                </c:pt>
                <c:pt idx="259">
                  <c:v>31898</c:v>
                </c:pt>
                <c:pt idx="260">
                  <c:v>31929</c:v>
                </c:pt>
                <c:pt idx="261">
                  <c:v>31959</c:v>
                </c:pt>
                <c:pt idx="262">
                  <c:v>31990</c:v>
                </c:pt>
                <c:pt idx="263">
                  <c:v>32021</c:v>
                </c:pt>
                <c:pt idx="264">
                  <c:v>32051</c:v>
                </c:pt>
                <c:pt idx="265">
                  <c:v>32082</c:v>
                </c:pt>
                <c:pt idx="266">
                  <c:v>32112</c:v>
                </c:pt>
                <c:pt idx="267">
                  <c:v>32143</c:v>
                </c:pt>
                <c:pt idx="268">
                  <c:v>32174</c:v>
                </c:pt>
                <c:pt idx="269">
                  <c:v>32203</c:v>
                </c:pt>
                <c:pt idx="270">
                  <c:v>32234</c:v>
                </c:pt>
                <c:pt idx="271">
                  <c:v>32264</c:v>
                </c:pt>
                <c:pt idx="272">
                  <c:v>32295</c:v>
                </c:pt>
                <c:pt idx="273">
                  <c:v>32325</c:v>
                </c:pt>
                <c:pt idx="274">
                  <c:v>32356</c:v>
                </c:pt>
                <c:pt idx="275">
                  <c:v>32387</c:v>
                </c:pt>
                <c:pt idx="276">
                  <c:v>32417</c:v>
                </c:pt>
                <c:pt idx="277">
                  <c:v>32448</c:v>
                </c:pt>
                <c:pt idx="278">
                  <c:v>32478</c:v>
                </c:pt>
                <c:pt idx="279">
                  <c:v>32509</c:v>
                </c:pt>
                <c:pt idx="280">
                  <c:v>32540</c:v>
                </c:pt>
                <c:pt idx="281">
                  <c:v>32568</c:v>
                </c:pt>
                <c:pt idx="282">
                  <c:v>32599</c:v>
                </c:pt>
                <c:pt idx="283">
                  <c:v>32629</c:v>
                </c:pt>
                <c:pt idx="284">
                  <c:v>32660</c:v>
                </c:pt>
                <c:pt idx="285">
                  <c:v>32690</c:v>
                </c:pt>
                <c:pt idx="286">
                  <c:v>32721</c:v>
                </c:pt>
                <c:pt idx="287">
                  <c:v>32752</c:v>
                </c:pt>
                <c:pt idx="288">
                  <c:v>32782</c:v>
                </c:pt>
                <c:pt idx="289">
                  <c:v>32813</c:v>
                </c:pt>
                <c:pt idx="290">
                  <c:v>32843</c:v>
                </c:pt>
                <c:pt idx="291">
                  <c:v>32874</c:v>
                </c:pt>
                <c:pt idx="292">
                  <c:v>32905</c:v>
                </c:pt>
                <c:pt idx="293">
                  <c:v>32933</c:v>
                </c:pt>
                <c:pt idx="294">
                  <c:v>32964</c:v>
                </c:pt>
                <c:pt idx="295">
                  <c:v>32994</c:v>
                </c:pt>
                <c:pt idx="296">
                  <c:v>33025</c:v>
                </c:pt>
                <c:pt idx="297">
                  <c:v>33055</c:v>
                </c:pt>
                <c:pt idx="298">
                  <c:v>33086</c:v>
                </c:pt>
                <c:pt idx="299">
                  <c:v>33117</c:v>
                </c:pt>
                <c:pt idx="300">
                  <c:v>33147</c:v>
                </c:pt>
                <c:pt idx="301">
                  <c:v>33178</c:v>
                </c:pt>
                <c:pt idx="302">
                  <c:v>33208</c:v>
                </c:pt>
                <c:pt idx="303">
                  <c:v>33239</c:v>
                </c:pt>
                <c:pt idx="304">
                  <c:v>33270</c:v>
                </c:pt>
                <c:pt idx="305">
                  <c:v>33298</c:v>
                </c:pt>
                <c:pt idx="306">
                  <c:v>33329</c:v>
                </c:pt>
                <c:pt idx="307">
                  <c:v>33359</c:v>
                </c:pt>
                <c:pt idx="308">
                  <c:v>33390</c:v>
                </c:pt>
                <c:pt idx="309">
                  <c:v>33420</c:v>
                </c:pt>
                <c:pt idx="310">
                  <c:v>33451</c:v>
                </c:pt>
                <c:pt idx="311">
                  <c:v>33482</c:v>
                </c:pt>
                <c:pt idx="312">
                  <c:v>33512</c:v>
                </c:pt>
                <c:pt idx="313">
                  <c:v>33543</c:v>
                </c:pt>
                <c:pt idx="314">
                  <c:v>33573</c:v>
                </c:pt>
                <c:pt idx="315">
                  <c:v>33604</c:v>
                </c:pt>
                <c:pt idx="316">
                  <c:v>33635</c:v>
                </c:pt>
                <c:pt idx="317">
                  <c:v>33664</c:v>
                </c:pt>
                <c:pt idx="318">
                  <c:v>33695</c:v>
                </c:pt>
                <c:pt idx="319">
                  <c:v>33725</c:v>
                </c:pt>
                <c:pt idx="320">
                  <c:v>33756</c:v>
                </c:pt>
                <c:pt idx="321">
                  <c:v>33786</c:v>
                </c:pt>
                <c:pt idx="322">
                  <c:v>33817</c:v>
                </c:pt>
                <c:pt idx="323">
                  <c:v>33848</c:v>
                </c:pt>
                <c:pt idx="324">
                  <c:v>33878</c:v>
                </c:pt>
                <c:pt idx="325">
                  <c:v>33909</c:v>
                </c:pt>
                <c:pt idx="326">
                  <c:v>33939</c:v>
                </c:pt>
                <c:pt idx="327">
                  <c:v>33970</c:v>
                </c:pt>
                <c:pt idx="328">
                  <c:v>34001</c:v>
                </c:pt>
                <c:pt idx="329">
                  <c:v>34029</c:v>
                </c:pt>
                <c:pt idx="330">
                  <c:v>34060</c:v>
                </c:pt>
                <c:pt idx="331">
                  <c:v>34090</c:v>
                </c:pt>
                <c:pt idx="332">
                  <c:v>34121</c:v>
                </c:pt>
                <c:pt idx="333">
                  <c:v>34151</c:v>
                </c:pt>
                <c:pt idx="334">
                  <c:v>34182</c:v>
                </c:pt>
                <c:pt idx="335">
                  <c:v>34213</c:v>
                </c:pt>
                <c:pt idx="336">
                  <c:v>34243</c:v>
                </c:pt>
                <c:pt idx="337">
                  <c:v>34274</c:v>
                </c:pt>
                <c:pt idx="338">
                  <c:v>34304</c:v>
                </c:pt>
                <c:pt idx="339">
                  <c:v>34335</c:v>
                </c:pt>
                <c:pt idx="340">
                  <c:v>34366</c:v>
                </c:pt>
                <c:pt idx="341">
                  <c:v>34394</c:v>
                </c:pt>
                <c:pt idx="342">
                  <c:v>34425</c:v>
                </c:pt>
                <c:pt idx="343">
                  <c:v>34455</c:v>
                </c:pt>
                <c:pt idx="344">
                  <c:v>34486</c:v>
                </c:pt>
                <c:pt idx="345">
                  <c:v>34516</c:v>
                </c:pt>
                <c:pt idx="346">
                  <c:v>34547</c:v>
                </c:pt>
                <c:pt idx="347">
                  <c:v>34578</c:v>
                </c:pt>
                <c:pt idx="348">
                  <c:v>34608</c:v>
                </c:pt>
                <c:pt idx="349">
                  <c:v>34639</c:v>
                </c:pt>
                <c:pt idx="350">
                  <c:v>34669</c:v>
                </c:pt>
                <c:pt idx="351">
                  <c:v>34700</c:v>
                </c:pt>
                <c:pt idx="352">
                  <c:v>34731</c:v>
                </c:pt>
                <c:pt idx="353">
                  <c:v>34759</c:v>
                </c:pt>
                <c:pt idx="354">
                  <c:v>34790</c:v>
                </c:pt>
                <c:pt idx="355">
                  <c:v>34820</c:v>
                </c:pt>
                <c:pt idx="356">
                  <c:v>34851</c:v>
                </c:pt>
                <c:pt idx="357">
                  <c:v>34881</c:v>
                </c:pt>
                <c:pt idx="358">
                  <c:v>34912</c:v>
                </c:pt>
                <c:pt idx="359">
                  <c:v>34943</c:v>
                </c:pt>
                <c:pt idx="360">
                  <c:v>34973</c:v>
                </c:pt>
                <c:pt idx="361">
                  <c:v>35004</c:v>
                </c:pt>
                <c:pt idx="362">
                  <c:v>35034</c:v>
                </c:pt>
                <c:pt idx="363">
                  <c:v>35065</c:v>
                </c:pt>
                <c:pt idx="364">
                  <c:v>35096</c:v>
                </c:pt>
                <c:pt idx="365">
                  <c:v>35125</c:v>
                </c:pt>
                <c:pt idx="366">
                  <c:v>35156</c:v>
                </c:pt>
                <c:pt idx="367">
                  <c:v>35186</c:v>
                </c:pt>
                <c:pt idx="368">
                  <c:v>35217</c:v>
                </c:pt>
                <c:pt idx="369">
                  <c:v>35247</c:v>
                </c:pt>
                <c:pt idx="370">
                  <c:v>35278</c:v>
                </c:pt>
                <c:pt idx="371">
                  <c:v>35309</c:v>
                </c:pt>
                <c:pt idx="372">
                  <c:v>35339</c:v>
                </c:pt>
                <c:pt idx="373">
                  <c:v>35370</c:v>
                </c:pt>
                <c:pt idx="374">
                  <c:v>35400</c:v>
                </c:pt>
                <c:pt idx="375">
                  <c:v>35431</c:v>
                </c:pt>
                <c:pt idx="376">
                  <c:v>35462</c:v>
                </c:pt>
                <c:pt idx="377">
                  <c:v>35490</c:v>
                </c:pt>
                <c:pt idx="378">
                  <c:v>35521</c:v>
                </c:pt>
                <c:pt idx="379">
                  <c:v>35551</c:v>
                </c:pt>
                <c:pt idx="380">
                  <c:v>35582</c:v>
                </c:pt>
                <c:pt idx="381">
                  <c:v>35612</c:v>
                </c:pt>
                <c:pt idx="382">
                  <c:v>35643</c:v>
                </c:pt>
                <c:pt idx="383">
                  <c:v>35674</c:v>
                </c:pt>
                <c:pt idx="384">
                  <c:v>35704</c:v>
                </c:pt>
                <c:pt idx="385">
                  <c:v>35735</c:v>
                </c:pt>
                <c:pt idx="386">
                  <c:v>35765</c:v>
                </c:pt>
                <c:pt idx="387">
                  <c:v>35796</c:v>
                </c:pt>
                <c:pt idx="388">
                  <c:v>35827</c:v>
                </c:pt>
                <c:pt idx="389">
                  <c:v>35855</c:v>
                </c:pt>
                <c:pt idx="390">
                  <c:v>35886</c:v>
                </c:pt>
                <c:pt idx="391">
                  <c:v>35916</c:v>
                </c:pt>
                <c:pt idx="392">
                  <c:v>35947</c:v>
                </c:pt>
                <c:pt idx="393">
                  <c:v>35977</c:v>
                </c:pt>
                <c:pt idx="394">
                  <c:v>36008</c:v>
                </c:pt>
                <c:pt idx="395">
                  <c:v>36039</c:v>
                </c:pt>
                <c:pt idx="396">
                  <c:v>36069</c:v>
                </c:pt>
                <c:pt idx="397">
                  <c:v>36100</c:v>
                </c:pt>
                <c:pt idx="398">
                  <c:v>36130</c:v>
                </c:pt>
                <c:pt idx="399">
                  <c:v>36161</c:v>
                </c:pt>
                <c:pt idx="400">
                  <c:v>36192</c:v>
                </c:pt>
                <c:pt idx="401">
                  <c:v>36220</c:v>
                </c:pt>
                <c:pt idx="402">
                  <c:v>36251</c:v>
                </c:pt>
                <c:pt idx="403">
                  <c:v>36281</c:v>
                </c:pt>
                <c:pt idx="404">
                  <c:v>36312</c:v>
                </c:pt>
                <c:pt idx="405">
                  <c:v>36342</c:v>
                </c:pt>
                <c:pt idx="406">
                  <c:v>36373</c:v>
                </c:pt>
                <c:pt idx="407">
                  <c:v>36404</c:v>
                </c:pt>
                <c:pt idx="408">
                  <c:v>36434</c:v>
                </c:pt>
                <c:pt idx="409">
                  <c:v>36465</c:v>
                </c:pt>
                <c:pt idx="410">
                  <c:v>36495</c:v>
                </c:pt>
                <c:pt idx="411">
                  <c:v>36526</c:v>
                </c:pt>
                <c:pt idx="412">
                  <c:v>36557</c:v>
                </c:pt>
                <c:pt idx="413">
                  <c:v>36586</c:v>
                </c:pt>
                <c:pt idx="414">
                  <c:v>36617</c:v>
                </c:pt>
                <c:pt idx="415">
                  <c:v>36647</c:v>
                </c:pt>
                <c:pt idx="416">
                  <c:v>36678</c:v>
                </c:pt>
                <c:pt idx="417">
                  <c:v>36708</c:v>
                </c:pt>
                <c:pt idx="418">
                  <c:v>36739</c:v>
                </c:pt>
                <c:pt idx="419">
                  <c:v>36770</c:v>
                </c:pt>
                <c:pt idx="420">
                  <c:v>36800</c:v>
                </c:pt>
                <c:pt idx="421">
                  <c:v>36831</c:v>
                </c:pt>
                <c:pt idx="422">
                  <c:v>36861</c:v>
                </c:pt>
                <c:pt idx="423">
                  <c:v>36892</c:v>
                </c:pt>
                <c:pt idx="424">
                  <c:v>36923</c:v>
                </c:pt>
                <c:pt idx="425">
                  <c:v>36951</c:v>
                </c:pt>
                <c:pt idx="426">
                  <c:v>36982</c:v>
                </c:pt>
                <c:pt idx="427">
                  <c:v>37012</c:v>
                </c:pt>
                <c:pt idx="428">
                  <c:v>37043</c:v>
                </c:pt>
                <c:pt idx="429">
                  <c:v>37073</c:v>
                </c:pt>
                <c:pt idx="430">
                  <c:v>37104</c:v>
                </c:pt>
                <c:pt idx="431">
                  <c:v>37135</c:v>
                </c:pt>
                <c:pt idx="432">
                  <c:v>37165</c:v>
                </c:pt>
                <c:pt idx="433">
                  <c:v>37196</c:v>
                </c:pt>
                <c:pt idx="434">
                  <c:v>37226</c:v>
                </c:pt>
                <c:pt idx="435">
                  <c:v>37257</c:v>
                </c:pt>
                <c:pt idx="436">
                  <c:v>37288</c:v>
                </c:pt>
                <c:pt idx="437">
                  <c:v>37316</c:v>
                </c:pt>
                <c:pt idx="438">
                  <c:v>37347</c:v>
                </c:pt>
                <c:pt idx="439">
                  <c:v>37377</c:v>
                </c:pt>
                <c:pt idx="440">
                  <c:v>37408</c:v>
                </c:pt>
                <c:pt idx="441">
                  <c:v>37438</c:v>
                </c:pt>
                <c:pt idx="442">
                  <c:v>37469</c:v>
                </c:pt>
                <c:pt idx="443">
                  <c:v>37500</c:v>
                </c:pt>
                <c:pt idx="444">
                  <c:v>37530</c:v>
                </c:pt>
                <c:pt idx="445">
                  <c:v>37561</c:v>
                </c:pt>
                <c:pt idx="446">
                  <c:v>37591</c:v>
                </c:pt>
                <c:pt idx="447">
                  <c:v>37622</c:v>
                </c:pt>
                <c:pt idx="448">
                  <c:v>37653</c:v>
                </c:pt>
                <c:pt idx="449">
                  <c:v>37681</c:v>
                </c:pt>
                <c:pt idx="450">
                  <c:v>37712</c:v>
                </c:pt>
                <c:pt idx="451">
                  <c:v>37742</c:v>
                </c:pt>
                <c:pt idx="452">
                  <c:v>37773</c:v>
                </c:pt>
                <c:pt idx="453">
                  <c:v>37803</c:v>
                </c:pt>
                <c:pt idx="454">
                  <c:v>37834</c:v>
                </c:pt>
                <c:pt idx="455">
                  <c:v>37865</c:v>
                </c:pt>
                <c:pt idx="456">
                  <c:v>37895</c:v>
                </c:pt>
                <c:pt idx="457">
                  <c:v>37926</c:v>
                </c:pt>
                <c:pt idx="458">
                  <c:v>37956</c:v>
                </c:pt>
                <c:pt idx="459">
                  <c:v>37987</c:v>
                </c:pt>
                <c:pt idx="460">
                  <c:v>38018</c:v>
                </c:pt>
                <c:pt idx="461">
                  <c:v>38047</c:v>
                </c:pt>
                <c:pt idx="462">
                  <c:v>38078</c:v>
                </c:pt>
                <c:pt idx="463">
                  <c:v>38108</c:v>
                </c:pt>
                <c:pt idx="464">
                  <c:v>38139</c:v>
                </c:pt>
                <c:pt idx="465">
                  <c:v>38169</c:v>
                </c:pt>
                <c:pt idx="466">
                  <c:v>38200</c:v>
                </c:pt>
                <c:pt idx="467">
                  <c:v>38231</c:v>
                </c:pt>
                <c:pt idx="468">
                  <c:v>38261</c:v>
                </c:pt>
                <c:pt idx="469">
                  <c:v>38292</c:v>
                </c:pt>
                <c:pt idx="470">
                  <c:v>38322</c:v>
                </c:pt>
                <c:pt idx="471">
                  <c:v>38353</c:v>
                </c:pt>
                <c:pt idx="472">
                  <c:v>38384</c:v>
                </c:pt>
                <c:pt idx="473">
                  <c:v>38412</c:v>
                </c:pt>
                <c:pt idx="474">
                  <c:v>38443</c:v>
                </c:pt>
                <c:pt idx="475">
                  <c:v>38473</c:v>
                </c:pt>
                <c:pt idx="476">
                  <c:v>38504</c:v>
                </c:pt>
                <c:pt idx="477">
                  <c:v>38534</c:v>
                </c:pt>
                <c:pt idx="478">
                  <c:v>38565</c:v>
                </c:pt>
                <c:pt idx="479">
                  <c:v>38596</c:v>
                </c:pt>
                <c:pt idx="480">
                  <c:v>38626</c:v>
                </c:pt>
                <c:pt idx="481">
                  <c:v>38657</c:v>
                </c:pt>
                <c:pt idx="482">
                  <c:v>38687</c:v>
                </c:pt>
                <c:pt idx="483">
                  <c:v>38718</c:v>
                </c:pt>
                <c:pt idx="484">
                  <c:v>38749</c:v>
                </c:pt>
                <c:pt idx="485">
                  <c:v>38777</c:v>
                </c:pt>
                <c:pt idx="486">
                  <c:v>38808</c:v>
                </c:pt>
                <c:pt idx="487">
                  <c:v>38838</c:v>
                </c:pt>
                <c:pt idx="488">
                  <c:v>38869</c:v>
                </c:pt>
                <c:pt idx="489">
                  <c:v>38899</c:v>
                </c:pt>
                <c:pt idx="490">
                  <c:v>38930</c:v>
                </c:pt>
                <c:pt idx="491">
                  <c:v>38961</c:v>
                </c:pt>
                <c:pt idx="492">
                  <c:v>38991</c:v>
                </c:pt>
                <c:pt idx="493">
                  <c:v>39022</c:v>
                </c:pt>
                <c:pt idx="494">
                  <c:v>39052</c:v>
                </c:pt>
                <c:pt idx="495">
                  <c:v>39083</c:v>
                </c:pt>
                <c:pt idx="496">
                  <c:v>39114</c:v>
                </c:pt>
                <c:pt idx="497">
                  <c:v>39142</c:v>
                </c:pt>
                <c:pt idx="498">
                  <c:v>39173</c:v>
                </c:pt>
                <c:pt idx="499">
                  <c:v>39203</c:v>
                </c:pt>
                <c:pt idx="500">
                  <c:v>39234</c:v>
                </c:pt>
                <c:pt idx="501">
                  <c:v>39264</c:v>
                </c:pt>
                <c:pt idx="502">
                  <c:v>39295</c:v>
                </c:pt>
                <c:pt idx="503">
                  <c:v>39326</c:v>
                </c:pt>
                <c:pt idx="504">
                  <c:v>39356</c:v>
                </c:pt>
                <c:pt idx="505">
                  <c:v>39387</c:v>
                </c:pt>
                <c:pt idx="506">
                  <c:v>39417</c:v>
                </c:pt>
                <c:pt idx="507">
                  <c:v>39448</c:v>
                </c:pt>
                <c:pt idx="508">
                  <c:v>39479</c:v>
                </c:pt>
                <c:pt idx="509">
                  <c:v>39508</c:v>
                </c:pt>
                <c:pt idx="510">
                  <c:v>39539</c:v>
                </c:pt>
                <c:pt idx="511">
                  <c:v>39569</c:v>
                </c:pt>
                <c:pt idx="512">
                  <c:v>39600</c:v>
                </c:pt>
                <c:pt idx="513">
                  <c:v>39630</c:v>
                </c:pt>
                <c:pt idx="514">
                  <c:v>39661</c:v>
                </c:pt>
                <c:pt idx="515">
                  <c:v>39692</c:v>
                </c:pt>
                <c:pt idx="516">
                  <c:v>39722</c:v>
                </c:pt>
                <c:pt idx="517">
                  <c:v>39753</c:v>
                </c:pt>
                <c:pt idx="518">
                  <c:v>39783</c:v>
                </c:pt>
                <c:pt idx="519">
                  <c:v>39814</c:v>
                </c:pt>
                <c:pt idx="520">
                  <c:v>39845</c:v>
                </c:pt>
                <c:pt idx="521">
                  <c:v>39873</c:v>
                </c:pt>
                <c:pt idx="522">
                  <c:v>39904</c:v>
                </c:pt>
                <c:pt idx="523">
                  <c:v>39934</c:v>
                </c:pt>
                <c:pt idx="524">
                  <c:v>39965</c:v>
                </c:pt>
                <c:pt idx="525">
                  <c:v>39995</c:v>
                </c:pt>
                <c:pt idx="526">
                  <c:v>40026</c:v>
                </c:pt>
                <c:pt idx="527">
                  <c:v>40057</c:v>
                </c:pt>
                <c:pt idx="528">
                  <c:v>40087</c:v>
                </c:pt>
                <c:pt idx="529">
                  <c:v>40118</c:v>
                </c:pt>
                <c:pt idx="530">
                  <c:v>40148</c:v>
                </c:pt>
                <c:pt idx="531">
                  <c:v>40179</c:v>
                </c:pt>
                <c:pt idx="532">
                  <c:v>40210</c:v>
                </c:pt>
                <c:pt idx="533">
                  <c:v>40238</c:v>
                </c:pt>
                <c:pt idx="534">
                  <c:v>40269</c:v>
                </c:pt>
                <c:pt idx="535">
                  <c:v>40299</c:v>
                </c:pt>
                <c:pt idx="536">
                  <c:v>40330</c:v>
                </c:pt>
                <c:pt idx="537">
                  <c:v>40360</c:v>
                </c:pt>
                <c:pt idx="538">
                  <c:v>40391</c:v>
                </c:pt>
                <c:pt idx="539">
                  <c:v>40422</c:v>
                </c:pt>
                <c:pt idx="540">
                  <c:v>40452</c:v>
                </c:pt>
                <c:pt idx="541">
                  <c:v>40483</c:v>
                </c:pt>
                <c:pt idx="542">
                  <c:v>40513</c:v>
                </c:pt>
                <c:pt idx="543">
                  <c:v>40544</c:v>
                </c:pt>
                <c:pt idx="544">
                  <c:v>40575</c:v>
                </c:pt>
                <c:pt idx="545">
                  <c:v>40603</c:v>
                </c:pt>
                <c:pt idx="546">
                  <c:v>40634</c:v>
                </c:pt>
                <c:pt idx="547">
                  <c:v>40664</c:v>
                </c:pt>
                <c:pt idx="548">
                  <c:v>40695</c:v>
                </c:pt>
                <c:pt idx="549">
                  <c:v>40725</c:v>
                </c:pt>
                <c:pt idx="550">
                  <c:v>40756</c:v>
                </c:pt>
                <c:pt idx="551">
                  <c:v>40787</c:v>
                </c:pt>
                <c:pt idx="552">
                  <c:v>40817</c:v>
                </c:pt>
                <c:pt idx="553">
                  <c:v>40848</c:v>
                </c:pt>
                <c:pt idx="554">
                  <c:v>40878</c:v>
                </c:pt>
                <c:pt idx="555">
                  <c:v>40909</c:v>
                </c:pt>
                <c:pt idx="556">
                  <c:v>40940</c:v>
                </c:pt>
                <c:pt idx="557">
                  <c:v>40969</c:v>
                </c:pt>
                <c:pt idx="558">
                  <c:v>41000</c:v>
                </c:pt>
                <c:pt idx="559">
                  <c:v>41030</c:v>
                </c:pt>
                <c:pt idx="560">
                  <c:v>41061</c:v>
                </c:pt>
                <c:pt idx="561">
                  <c:v>41091</c:v>
                </c:pt>
                <c:pt idx="562">
                  <c:v>41122</c:v>
                </c:pt>
                <c:pt idx="563">
                  <c:v>41153</c:v>
                </c:pt>
                <c:pt idx="564">
                  <c:v>41183</c:v>
                </c:pt>
                <c:pt idx="565">
                  <c:v>41214</c:v>
                </c:pt>
                <c:pt idx="566">
                  <c:v>41244</c:v>
                </c:pt>
                <c:pt idx="567">
                  <c:v>41275</c:v>
                </c:pt>
                <c:pt idx="568">
                  <c:v>41306</c:v>
                </c:pt>
                <c:pt idx="569">
                  <c:v>41334</c:v>
                </c:pt>
                <c:pt idx="570">
                  <c:v>41365</c:v>
                </c:pt>
                <c:pt idx="571">
                  <c:v>41395</c:v>
                </c:pt>
                <c:pt idx="572">
                  <c:v>41426</c:v>
                </c:pt>
                <c:pt idx="573">
                  <c:v>41456</c:v>
                </c:pt>
                <c:pt idx="574">
                  <c:v>41487</c:v>
                </c:pt>
                <c:pt idx="575">
                  <c:v>41518</c:v>
                </c:pt>
                <c:pt idx="576">
                  <c:v>41548</c:v>
                </c:pt>
                <c:pt idx="577">
                  <c:v>41579</c:v>
                </c:pt>
                <c:pt idx="578">
                  <c:v>41609</c:v>
                </c:pt>
                <c:pt idx="579">
                  <c:v>41640</c:v>
                </c:pt>
                <c:pt idx="580">
                  <c:v>41671</c:v>
                </c:pt>
                <c:pt idx="581">
                  <c:v>41699</c:v>
                </c:pt>
                <c:pt idx="582">
                  <c:v>41730</c:v>
                </c:pt>
                <c:pt idx="583">
                  <c:v>41760</c:v>
                </c:pt>
                <c:pt idx="584">
                  <c:v>41791</c:v>
                </c:pt>
                <c:pt idx="585">
                  <c:v>41821</c:v>
                </c:pt>
                <c:pt idx="586">
                  <c:v>41852</c:v>
                </c:pt>
                <c:pt idx="587">
                  <c:v>41883</c:v>
                </c:pt>
                <c:pt idx="588">
                  <c:v>41913</c:v>
                </c:pt>
                <c:pt idx="589">
                  <c:v>41944</c:v>
                </c:pt>
                <c:pt idx="590">
                  <c:v>41974</c:v>
                </c:pt>
                <c:pt idx="591">
                  <c:v>42005</c:v>
                </c:pt>
                <c:pt idx="592">
                  <c:v>42036</c:v>
                </c:pt>
                <c:pt idx="593">
                  <c:v>42064</c:v>
                </c:pt>
                <c:pt idx="594">
                  <c:v>42095</c:v>
                </c:pt>
                <c:pt idx="595">
                  <c:v>42125</c:v>
                </c:pt>
                <c:pt idx="596">
                  <c:v>42156</c:v>
                </c:pt>
                <c:pt idx="597">
                  <c:v>42186</c:v>
                </c:pt>
                <c:pt idx="598">
                  <c:v>42217</c:v>
                </c:pt>
                <c:pt idx="599">
                  <c:v>42248</c:v>
                </c:pt>
                <c:pt idx="600">
                  <c:v>42278</c:v>
                </c:pt>
                <c:pt idx="601">
                  <c:v>42309</c:v>
                </c:pt>
                <c:pt idx="602">
                  <c:v>42339</c:v>
                </c:pt>
                <c:pt idx="603">
                  <c:v>42370</c:v>
                </c:pt>
                <c:pt idx="604">
                  <c:v>42401</c:v>
                </c:pt>
                <c:pt idx="605">
                  <c:v>42430</c:v>
                </c:pt>
                <c:pt idx="606">
                  <c:v>42461</c:v>
                </c:pt>
                <c:pt idx="607">
                  <c:v>42491</c:v>
                </c:pt>
                <c:pt idx="608">
                  <c:v>42522</c:v>
                </c:pt>
                <c:pt idx="609">
                  <c:v>42552</c:v>
                </c:pt>
                <c:pt idx="610">
                  <c:v>42583</c:v>
                </c:pt>
                <c:pt idx="611">
                  <c:v>42614</c:v>
                </c:pt>
                <c:pt idx="612">
                  <c:v>42644</c:v>
                </c:pt>
                <c:pt idx="613">
                  <c:v>42675</c:v>
                </c:pt>
                <c:pt idx="614">
                  <c:v>42705</c:v>
                </c:pt>
                <c:pt idx="615">
                  <c:v>42736</c:v>
                </c:pt>
                <c:pt idx="616">
                  <c:v>42767</c:v>
                </c:pt>
                <c:pt idx="617">
                  <c:v>42795</c:v>
                </c:pt>
                <c:pt idx="618">
                  <c:v>42826</c:v>
                </c:pt>
                <c:pt idx="619">
                  <c:v>42856</c:v>
                </c:pt>
                <c:pt idx="620">
                  <c:v>42887</c:v>
                </c:pt>
                <c:pt idx="621">
                  <c:v>42917</c:v>
                </c:pt>
                <c:pt idx="622">
                  <c:v>42948</c:v>
                </c:pt>
                <c:pt idx="623">
                  <c:v>42979</c:v>
                </c:pt>
                <c:pt idx="624">
                  <c:v>43009</c:v>
                </c:pt>
                <c:pt idx="625">
                  <c:v>43040</c:v>
                </c:pt>
                <c:pt idx="626">
                  <c:v>43070</c:v>
                </c:pt>
                <c:pt idx="627">
                  <c:v>43101</c:v>
                </c:pt>
                <c:pt idx="628">
                  <c:v>43132</c:v>
                </c:pt>
                <c:pt idx="629">
                  <c:v>43160</c:v>
                </c:pt>
                <c:pt idx="630">
                  <c:v>43191</c:v>
                </c:pt>
                <c:pt idx="631">
                  <c:v>43221</c:v>
                </c:pt>
                <c:pt idx="632">
                  <c:v>43252</c:v>
                </c:pt>
                <c:pt idx="633">
                  <c:v>43282</c:v>
                </c:pt>
                <c:pt idx="634">
                  <c:v>43313</c:v>
                </c:pt>
                <c:pt idx="635">
                  <c:v>43344</c:v>
                </c:pt>
                <c:pt idx="636">
                  <c:v>43374</c:v>
                </c:pt>
                <c:pt idx="637">
                  <c:v>43405</c:v>
                </c:pt>
                <c:pt idx="638">
                  <c:v>43435</c:v>
                </c:pt>
                <c:pt idx="639">
                  <c:v>43466</c:v>
                </c:pt>
                <c:pt idx="640">
                  <c:v>43497</c:v>
                </c:pt>
                <c:pt idx="641">
                  <c:v>43525</c:v>
                </c:pt>
                <c:pt idx="642">
                  <c:v>43556</c:v>
                </c:pt>
                <c:pt idx="643">
                  <c:v>43586</c:v>
                </c:pt>
                <c:pt idx="644">
                  <c:v>43617</c:v>
                </c:pt>
                <c:pt idx="645">
                  <c:v>43647</c:v>
                </c:pt>
                <c:pt idx="646">
                  <c:v>43678</c:v>
                </c:pt>
                <c:pt idx="647">
                  <c:v>43709</c:v>
                </c:pt>
                <c:pt idx="648">
                  <c:v>43739</c:v>
                </c:pt>
                <c:pt idx="649">
                  <c:v>43770</c:v>
                </c:pt>
                <c:pt idx="650">
                  <c:v>43800</c:v>
                </c:pt>
                <c:pt idx="651">
                  <c:v>43831</c:v>
                </c:pt>
                <c:pt idx="652">
                  <c:v>43862</c:v>
                </c:pt>
                <c:pt idx="653">
                  <c:v>43891</c:v>
                </c:pt>
                <c:pt idx="654">
                  <c:v>43922</c:v>
                </c:pt>
                <c:pt idx="655">
                  <c:v>43952</c:v>
                </c:pt>
                <c:pt idx="656">
                  <c:v>43983</c:v>
                </c:pt>
                <c:pt idx="657">
                  <c:v>44013</c:v>
                </c:pt>
                <c:pt idx="658">
                  <c:v>44044</c:v>
                </c:pt>
                <c:pt idx="659">
                  <c:v>44075</c:v>
                </c:pt>
                <c:pt idx="660">
                  <c:v>44105</c:v>
                </c:pt>
                <c:pt idx="661">
                  <c:v>44136</c:v>
                </c:pt>
                <c:pt idx="662">
                  <c:v>44166</c:v>
                </c:pt>
                <c:pt idx="663">
                  <c:v>44197</c:v>
                </c:pt>
                <c:pt idx="664">
                  <c:v>44228</c:v>
                </c:pt>
                <c:pt idx="665">
                  <c:v>44256</c:v>
                </c:pt>
                <c:pt idx="666">
                  <c:v>44287</c:v>
                </c:pt>
                <c:pt idx="667">
                  <c:v>44317</c:v>
                </c:pt>
                <c:pt idx="668">
                  <c:v>44348</c:v>
                </c:pt>
                <c:pt idx="669">
                  <c:v>44378</c:v>
                </c:pt>
                <c:pt idx="670">
                  <c:v>44409</c:v>
                </c:pt>
                <c:pt idx="671">
                  <c:v>44440</c:v>
                </c:pt>
                <c:pt idx="672">
                  <c:v>44470</c:v>
                </c:pt>
                <c:pt idx="673">
                  <c:v>44501</c:v>
                </c:pt>
                <c:pt idx="674">
                  <c:v>44531</c:v>
                </c:pt>
                <c:pt idx="675">
                  <c:v>44562</c:v>
                </c:pt>
                <c:pt idx="676">
                  <c:v>44593</c:v>
                </c:pt>
                <c:pt idx="677">
                  <c:v>44621</c:v>
                </c:pt>
                <c:pt idx="678">
                  <c:v>44652</c:v>
                </c:pt>
                <c:pt idx="679">
                  <c:v>44682</c:v>
                </c:pt>
                <c:pt idx="680">
                  <c:v>44713</c:v>
                </c:pt>
                <c:pt idx="681">
                  <c:v>44743</c:v>
                </c:pt>
                <c:pt idx="682">
                  <c:v>44774</c:v>
                </c:pt>
                <c:pt idx="683">
                  <c:v>44805</c:v>
                </c:pt>
                <c:pt idx="684">
                  <c:v>44835</c:v>
                </c:pt>
                <c:pt idx="685">
                  <c:v>44866</c:v>
                </c:pt>
                <c:pt idx="686">
                  <c:v>44896</c:v>
                </c:pt>
                <c:pt idx="687">
                  <c:v>44927</c:v>
                </c:pt>
                <c:pt idx="688">
                  <c:v>44958</c:v>
                </c:pt>
                <c:pt idx="689">
                  <c:v>44986</c:v>
                </c:pt>
                <c:pt idx="690">
                  <c:v>45017</c:v>
                </c:pt>
                <c:pt idx="691">
                  <c:v>45047</c:v>
                </c:pt>
                <c:pt idx="692">
                  <c:v>45078</c:v>
                </c:pt>
                <c:pt idx="693">
                  <c:v>45108</c:v>
                </c:pt>
                <c:pt idx="694">
                  <c:v>45139</c:v>
                </c:pt>
                <c:pt idx="695">
                  <c:v>45170</c:v>
                </c:pt>
                <c:pt idx="696">
                  <c:v>45200</c:v>
                </c:pt>
                <c:pt idx="697">
                  <c:v>45231</c:v>
                </c:pt>
                <c:pt idx="698">
                  <c:v>45261</c:v>
                </c:pt>
                <c:pt idx="699">
                  <c:v>45292</c:v>
                </c:pt>
                <c:pt idx="700">
                  <c:v>45323</c:v>
                </c:pt>
                <c:pt idx="701">
                  <c:v>45352</c:v>
                </c:pt>
                <c:pt idx="702">
                  <c:v>45383</c:v>
                </c:pt>
                <c:pt idx="703">
                  <c:v>45413</c:v>
                </c:pt>
                <c:pt idx="704">
                  <c:v>45444</c:v>
                </c:pt>
                <c:pt idx="705">
                  <c:v>45474</c:v>
                </c:pt>
                <c:pt idx="706">
                  <c:v>45505</c:v>
                </c:pt>
                <c:pt idx="707">
                  <c:v>45536</c:v>
                </c:pt>
                <c:pt idx="708">
                  <c:v>45566</c:v>
                </c:pt>
                <c:pt idx="709">
                  <c:v>45597</c:v>
                </c:pt>
                <c:pt idx="710">
                  <c:v>45627</c:v>
                </c:pt>
                <c:pt idx="711">
                  <c:v>45658</c:v>
                </c:pt>
                <c:pt idx="712">
                  <c:v>45689</c:v>
                </c:pt>
                <c:pt idx="713">
                  <c:v>45717</c:v>
                </c:pt>
                <c:pt idx="714">
                  <c:v>45748</c:v>
                </c:pt>
              </c:numCache>
            </c:numRef>
          </c:xVal>
          <c:yVal>
            <c:numRef>
              <c:f>(ACV!$E$8:$P$8,ACV!$E$9:$P$9,ACV!$E$10:$P$10,ACV!$E$11:$P$11,ACV!$E$12:$P$12,ACV!$E$13:$P$13,ACV!$E$14:$P$14,ACV!$E$15:$P$15,ACV!$E$16:$P$16,ACV!$E$17:$P$17,ACV!$E$18:$P$18,ACV!$E$19:$P$19,ACV!$E$20:$P$20,ACV!$E$21:$P$21,ACV!$E$22:$P$22,ACV!$E$23:$P$23,ACV!$E$24:$P$24,ACV!$E$25:$P$25,ACV!$E$26:$P$26,ACV!$E$27:$P$27,ACV!$E$28:$P$28,ACV!$E$29:$P$29,ACV!$E$30:$P$30,ACV!$E$31:$P$31,ACV!$E$32:$P$32,ACV!$E$33:$P$33,ACV!$E$34:$P$34,ACV!$E$35:$P$35,ACV!$E$36:$P$36,ACV!$E$37:$P$37,ACV!$E$38:$P$38,ACV!$E$39:$P$39,ACV!$E$40:$P$40,ACV!$E$41:$P$41,ACV!$E$42:$P$42,ACV!$E$43:$P$43,ACV!$E$44:$P$44,ACV!$E$45:$P$45,ACV!$E$46:$P$46,ACV!$E$47:$P$47,ACV!$E$48:$P$48,ACV!$E$49:$P$49,ACV!$E$50:$P$50,ACV!$E$51:$P$51,ACV!$E$52:$P$52,ACV!$E$53:$P$53,ACV!$E$54:$P$54,ACV!$E$55:$P$55,ACV!$E$56:$P$56,ACV!$E$57:$P$57,ACV!$E$58:$P$58,ACV!$E$59:$P$59,ACV!$E$60:$P$60,ACV!$E$61:$P$61,ACV!$E$62:$P$62,ACV!$E$63:$P$63,ACV!$E$64:$P$64,ACV!$E$65:$P$65,ACV!$E$66:$P$66,ACV!$E$67:$P$67)</c:f>
              <c:numCache>
                <c:formatCode>0.00</c:formatCode>
                <c:ptCount val="720"/>
                <c:pt idx="0">
                  <c:v>13.9</c:v>
                </c:pt>
                <c:pt idx="1">
                  <c:v>21.9</c:v>
                </c:pt>
                <c:pt idx="2">
                  <c:v>12.7</c:v>
                </c:pt>
                <c:pt idx="3">
                  <c:v>21.5</c:v>
                </c:pt>
                <c:pt idx="4">
                  <c:v>12</c:v>
                </c:pt>
                <c:pt idx="5">
                  <c:v>5.5</c:v>
                </c:pt>
                <c:pt idx="6">
                  <c:v>13.6</c:v>
                </c:pt>
                <c:pt idx="7">
                  <c:v>12.3</c:v>
                </c:pt>
                <c:pt idx="8">
                  <c:v>17.3</c:v>
                </c:pt>
                <c:pt idx="9">
                  <c:v>21.9</c:v>
                </c:pt>
                <c:pt idx="10">
                  <c:v>13</c:v>
                </c:pt>
                <c:pt idx="12">
                  <c:v>21.9</c:v>
                </c:pt>
                <c:pt idx="13">
                  <c:v>17.600000000000001</c:v>
                </c:pt>
                <c:pt idx="14">
                  <c:v>14</c:v>
                </c:pt>
                <c:pt idx="15">
                  <c:v>18.600000000000001</c:v>
                </c:pt>
                <c:pt idx="16">
                  <c:v>7.4</c:v>
                </c:pt>
                <c:pt idx="17">
                  <c:v>8</c:v>
                </c:pt>
                <c:pt idx="18">
                  <c:v>3.6</c:v>
                </c:pt>
                <c:pt idx="19">
                  <c:v>2.2000000000000002</c:v>
                </c:pt>
                <c:pt idx="20">
                  <c:v>10.7</c:v>
                </c:pt>
                <c:pt idx="21">
                  <c:v>9.6999999999999993</c:v>
                </c:pt>
                <c:pt idx="22">
                  <c:v>8.2000000000000011</c:v>
                </c:pt>
                <c:pt idx="23">
                  <c:v>23.200000000000003</c:v>
                </c:pt>
                <c:pt idx="24">
                  <c:v>11.9</c:v>
                </c:pt>
                <c:pt idx="25">
                  <c:v>25</c:v>
                </c:pt>
                <c:pt idx="26">
                  <c:v>21.099999999999998</c:v>
                </c:pt>
                <c:pt idx="27">
                  <c:v>9.5</c:v>
                </c:pt>
                <c:pt idx="28">
                  <c:v>3</c:v>
                </c:pt>
                <c:pt idx="29">
                  <c:v>1</c:v>
                </c:pt>
                <c:pt idx="30">
                  <c:v>2.9</c:v>
                </c:pt>
                <c:pt idx="31">
                  <c:v>1.7</c:v>
                </c:pt>
                <c:pt idx="32">
                  <c:v>7.4</c:v>
                </c:pt>
                <c:pt idx="33">
                  <c:v>21.2</c:v>
                </c:pt>
                <c:pt idx="34">
                  <c:v>10.9</c:v>
                </c:pt>
                <c:pt idx="35">
                  <c:v>17.600000000000001</c:v>
                </c:pt>
                <c:pt idx="36">
                  <c:v>16.5</c:v>
                </c:pt>
                <c:pt idx="37">
                  <c:v>19.7</c:v>
                </c:pt>
                <c:pt idx="38">
                  <c:v>19.099999999999998</c:v>
                </c:pt>
                <c:pt idx="39">
                  <c:v>12.8</c:v>
                </c:pt>
                <c:pt idx="40">
                  <c:v>2</c:v>
                </c:pt>
                <c:pt idx="41">
                  <c:v>14</c:v>
                </c:pt>
                <c:pt idx="42">
                  <c:v>19</c:v>
                </c:pt>
                <c:pt idx="43">
                  <c:v>2.9000000000000004</c:v>
                </c:pt>
                <c:pt idx="44">
                  <c:v>13.7</c:v>
                </c:pt>
                <c:pt idx="45">
                  <c:v>8.4</c:v>
                </c:pt>
                <c:pt idx="46">
                  <c:v>16.100000000000001</c:v>
                </c:pt>
                <c:pt idx="47">
                  <c:v>16.7</c:v>
                </c:pt>
                <c:pt idx="48">
                  <c:v>27.5</c:v>
                </c:pt>
                <c:pt idx="49">
                  <c:v>17.7</c:v>
                </c:pt>
                <c:pt idx="50">
                  <c:v>15.299999999999999</c:v>
                </c:pt>
                <c:pt idx="51">
                  <c:v>10.6</c:v>
                </c:pt>
                <c:pt idx="52">
                  <c:v>14.8</c:v>
                </c:pt>
                <c:pt idx="53">
                  <c:v>10.1</c:v>
                </c:pt>
                <c:pt idx="54">
                  <c:v>6.1</c:v>
                </c:pt>
                <c:pt idx="55">
                  <c:v>6.3000000000000007</c:v>
                </c:pt>
                <c:pt idx="56">
                  <c:v>19.600000000000001</c:v>
                </c:pt>
                <c:pt idx="57">
                  <c:v>13.2</c:v>
                </c:pt>
                <c:pt idx="58">
                  <c:v>8.1</c:v>
                </c:pt>
                <c:pt idx="59">
                  <c:v>16.700000000000003</c:v>
                </c:pt>
                <c:pt idx="60">
                  <c:v>15</c:v>
                </c:pt>
                <c:pt idx="61">
                  <c:v>35</c:v>
                </c:pt>
                <c:pt idx="62">
                  <c:v>15.100000000000001</c:v>
                </c:pt>
                <c:pt idx="63">
                  <c:v>12.9</c:v>
                </c:pt>
                <c:pt idx="64">
                  <c:v>1.1000000000000001</c:v>
                </c:pt>
                <c:pt idx="65">
                  <c:v>1.8</c:v>
                </c:pt>
                <c:pt idx="66">
                  <c:v>2.5</c:v>
                </c:pt>
                <c:pt idx="67">
                  <c:v>17.399999999999999</c:v>
                </c:pt>
                <c:pt idx="68">
                  <c:v>11.399999999999999</c:v>
                </c:pt>
                <c:pt idx="69">
                  <c:v>4.5</c:v>
                </c:pt>
                <c:pt idx="70">
                  <c:v>5.2</c:v>
                </c:pt>
                <c:pt idx="71">
                  <c:v>8</c:v>
                </c:pt>
                <c:pt idx="72">
                  <c:v>15.399999999999999</c:v>
                </c:pt>
                <c:pt idx="73">
                  <c:v>29.400000000000002</c:v>
                </c:pt>
                <c:pt idx="74">
                  <c:v>20</c:v>
                </c:pt>
                <c:pt idx="75">
                  <c:v>13.9</c:v>
                </c:pt>
                <c:pt idx="76">
                  <c:v>29.9</c:v>
                </c:pt>
                <c:pt idx="77">
                  <c:v>18.899999999999999</c:v>
                </c:pt>
                <c:pt idx="78">
                  <c:v>0</c:v>
                </c:pt>
                <c:pt idx="79">
                  <c:v>15.5</c:v>
                </c:pt>
                <c:pt idx="80">
                  <c:v>10.899999999999999</c:v>
                </c:pt>
                <c:pt idx="81">
                  <c:v>17.100000000000001</c:v>
                </c:pt>
                <c:pt idx="82">
                  <c:v>21.2</c:v>
                </c:pt>
                <c:pt idx="83">
                  <c:v>33.400000000000006</c:v>
                </c:pt>
                <c:pt idx="84">
                  <c:v>28</c:v>
                </c:pt>
                <c:pt idx="85">
                  <c:v>23.2</c:v>
                </c:pt>
                <c:pt idx="86">
                  <c:v>23.5</c:v>
                </c:pt>
                <c:pt idx="87">
                  <c:v>28.5</c:v>
                </c:pt>
                <c:pt idx="88">
                  <c:v>10.6</c:v>
                </c:pt>
                <c:pt idx="89">
                  <c:v>4.2</c:v>
                </c:pt>
                <c:pt idx="90">
                  <c:v>5.8</c:v>
                </c:pt>
                <c:pt idx="91">
                  <c:v>3.6</c:v>
                </c:pt>
                <c:pt idx="92">
                  <c:v>10.1</c:v>
                </c:pt>
                <c:pt idx="93">
                  <c:v>7.3999999999999995</c:v>
                </c:pt>
                <c:pt idx="94">
                  <c:v>7</c:v>
                </c:pt>
                <c:pt idx="95">
                  <c:v>11.2</c:v>
                </c:pt>
                <c:pt idx="96">
                  <c:v>13.4</c:v>
                </c:pt>
                <c:pt idx="97">
                  <c:v>13</c:v>
                </c:pt>
                <c:pt idx="98">
                  <c:v>8.6</c:v>
                </c:pt>
                <c:pt idx="99">
                  <c:v>14.1</c:v>
                </c:pt>
                <c:pt idx="100">
                  <c:v>10.199999999999999</c:v>
                </c:pt>
                <c:pt idx="101">
                  <c:v>0</c:v>
                </c:pt>
                <c:pt idx="102">
                  <c:v>2.0999999999999996</c:v>
                </c:pt>
                <c:pt idx="103">
                  <c:v>0.7</c:v>
                </c:pt>
                <c:pt idx="104">
                  <c:v>7.3000000000000007</c:v>
                </c:pt>
                <c:pt idx="105">
                  <c:v>13.600000000000001</c:v>
                </c:pt>
                <c:pt idx="106">
                  <c:v>15.1</c:v>
                </c:pt>
                <c:pt idx="107">
                  <c:v>11.7</c:v>
                </c:pt>
                <c:pt idx="108">
                  <c:v>18.399999999999999</c:v>
                </c:pt>
                <c:pt idx="109">
                  <c:v>17.899999999999999</c:v>
                </c:pt>
                <c:pt idx="110">
                  <c:v>15</c:v>
                </c:pt>
                <c:pt idx="111">
                  <c:v>4.7</c:v>
                </c:pt>
                <c:pt idx="112">
                  <c:v>2</c:v>
                </c:pt>
                <c:pt idx="113">
                  <c:v>8.5</c:v>
                </c:pt>
                <c:pt idx="114">
                  <c:v>9</c:v>
                </c:pt>
                <c:pt idx="115">
                  <c:v>27</c:v>
                </c:pt>
                <c:pt idx="116">
                  <c:v>15.799999999999999</c:v>
                </c:pt>
                <c:pt idx="117">
                  <c:v>9.3999999999999986</c:v>
                </c:pt>
                <c:pt idx="118">
                  <c:v>14.5</c:v>
                </c:pt>
                <c:pt idx="119">
                  <c:v>16.3</c:v>
                </c:pt>
                <c:pt idx="120">
                  <c:v>11.5</c:v>
                </c:pt>
                <c:pt idx="121">
                  <c:v>19</c:v>
                </c:pt>
                <c:pt idx="122">
                  <c:v>23.1</c:v>
                </c:pt>
                <c:pt idx="123">
                  <c:v>8.5</c:v>
                </c:pt>
                <c:pt idx="124">
                  <c:v>9.6999999999999993</c:v>
                </c:pt>
                <c:pt idx="125">
                  <c:v>2.8</c:v>
                </c:pt>
                <c:pt idx="126">
                  <c:v>8.9</c:v>
                </c:pt>
                <c:pt idx="127">
                  <c:v>5</c:v>
                </c:pt>
                <c:pt idx="128">
                  <c:v>9</c:v>
                </c:pt>
                <c:pt idx="129">
                  <c:v>2.9000000000000004</c:v>
                </c:pt>
                <c:pt idx="130">
                  <c:v>10.3</c:v>
                </c:pt>
                <c:pt idx="131">
                  <c:v>8.4</c:v>
                </c:pt>
                <c:pt idx="132">
                  <c:v>10.7</c:v>
                </c:pt>
                <c:pt idx="133">
                  <c:v>12.2</c:v>
                </c:pt>
                <c:pt idx="134">
                  <c:v>25.2</c:v>
                </c:pt>
                <c:pt idx="135">
                  <c:v>6.3000000000000007</c:v>
                </c:pt>
                <c:pt idx="136">
                  <c:v>10</c:v>
                </c:pt>
                <c:pt idx="137">
                  <c:v>2.7</c:v>
                </c:pt>
                <c:pt idx="138">
                  <c:v>5.9</c:v>
                </c:pt>
                <c:pt idx="139">
                  <c:v>2.2000000000000002</c:v>
                </c:pt>
                <c:pt idx="140">
                  <c:v>9.6999999999999993</c:v>
                </c:pt>
                <c:pt idx="141">
                  <c:v>14.5</c:v>
                </c:pt>
                <c:pt idx="142">
                  <c:v>11.4</c:v>
                </c:pt>
                <c:pt idx="143">
                  <c:v>10.600000000000001</c:v>
                </c:pt>
                <c:pt idx="144">
                  <c:v>31.4</c:v>
                </c:pt>
                <c:pt idx="145">
                  <c:v>18.5</c:v>
                </c:pt>
                <c:pt idx="146">
                  <c:v>18</c:v>
                </c:pt>
                <c:pt idx="147">
                  <c:v>16.2</c:v>
                </c:pt>
                <c:pt idx="148">
                  <c:v>3.9</c:v>
                </c:pt>
                <c:pt idx="149">
                  <c:v>4.3000000000000007</c:v>
                </c:pt>
                <c:pt idx="150">
                  <c:v>1.6</c:v>
                </c:pt>
                <c:pt idx="151">
                  <c:v>5.5</c:v>
                </c:pt>
                <c:pt idx="152">
                  <c:v>8</c:v>
                </c:pt>
                <c:pt idx="153">
                  <c:v>5.8</c:v>
                </c:pt>
                <c:pt idx="154">
                  <c:v>6.7</c:v>
                </c:pt>
                <c:pt idx="156">
                  <c:v>8.8000000000000007</c:v>
                </c:pt>
                <c:pt idx="157">
                  <c:v>12.3</c:v>
                </c:pt>
                <c:pt idx="158">
                  <c:v>9</c:v>
                </c:pt>
                <c:pt idx="159">
                  <c:v>8.1</c:v>
                </c:pt>
                <c:pt idx="160">
                  <c:v>1.7999999999999998</c:v>
                </c:pt>
                <c:pt idx="161">
                  <c:v>0.4</c:v>
                </c:pt>
                <c:pt idx="162">
                  <c:v>5.7</c:v>
                </c:pt>
                <c:pt idx="163">
                  <c:v>6.1</c:v>
                </c:pt>
                <c:pt idx="164">
                  <c:v>7.1</c:v>
                </c:pt>
                <c:pt idx="165">
                  <c:v>8.6999999999999993</c:v>
                </c:pt>
                <c:pt idx="166">
                  <c:v>11.100000000000001</c:v>
                </c:pt>
                <c:pt idx="167">
                  <c:v>10.600000000000001</c:v>
                </c:pt>
                <c:pt idx="168">
                  <c:v>11.1</c:v>
                </c:pt>
                <c:pt idx="169">
                  <c:v>10.199999999999999</c:v>
                </c:pt>
                <c:pt idx="170">
                  <c:v>15.3</c:v>
                </c:pt>
                <c:pt idx="171">
                  <c:v>6</c:v>
                </c:pt>
                <c:pt idx="172">
                  <c:v>4.7</c:v>
                </c:pt>
                <c:pt idx="173">
                  <c:v>8.5</c:v>
                </c:pt>
                <c:pt idx="174">
                  <c:v>0</c:v>
                </c:pt>
                <c:pt idx="175">
                  <c:v>1.4</c:v>
                </c:pt>
                <c:pt idx="176">
                  <c:v>4</c:v>
                </c:pt>
                <c:pt idx="177">
                  <c:v>5.1999999999999993</c:v>
                </c:pt>
                <c:pt idx="178">
                  <c:v>9.1999999999999993</c:v>
                </c:pt>
                <c:pt idx="179">
                  <c:v>13.100000000000001</c:v>
                </c:pt>
                <c:pt idx="180">
                  <c:v>11.2</c:v>
                </c:pt>
                <c:pt idx="181">
                  <c:v>16.7</c:v>
                </c:pt>
                <c:pt idx="182">
                  <c:v>16.5</c:v>
                </c:pt>
                <c:pt idx="183">
                  <c:v>8.6999999999999993</c:v>
                </c:pt>
                <c:pt idx="184">
                  <c:v>3.9</c:v>
                </c:pt>
                <c:pt idx="185">
                  <c:v>2.1</c:v>
                </c:pt>
                <c:pt idx="186">
                  <c:v>1.2</c:v>
                </c:pt>
                <c:pt idx="187">
                  <c:v>3.5</c:v>
                </c:pt>
                <c:pt idx="188">
                  <c:v>5.9</c:v>
                </c:pt>
                <c:pt idx="189">
                  <c:v>4.9000000000000004</c:v>
                </c:pt>
                <c:pt idx="190">
                  <c:v>6.5</c:v>
                </c:pt>
                <c:pt idx="191">
                  <c:v>3.9</c:v>
                </c:pt>
                <c:pt idx="192">
                  <c:v>6.8</c:v>
                </c:pt>
                <c:pt idx="193">
                  <c:v>9.8000000000000007</c:v>
                </c:pt>
                <c:pt idx="194">
                  <c:v>7.8000000000000007</c:v>
                </c:pt>
                <c:pt idx="195">
                  <c:v>9.5</c:v>
                </c:pt>
                <c:pt idx="196">
                  <c:v>10</c:v>
                </c:pt>
                <c:pt idx="197">
                  <c:v>4.5999999999999996</c:v>
                </c:pt>
                <c:pt idx="198">
                  <c:v>1.5</c:v>
                </c:pt>
                <c:pt idx="199">
                  <c:v>2.5</c:v>
                </c:pt>
                <c:pt idx="200">
                  <c:v>6.6</c:v>
                </c:pt>
                <c:pt idx="201">
                  <c:v>0</c:v>
                </c:pt>
                <c:pt idx="202">
                  <c:v>8</c:v>
                </c:pt>
                <c:pt idx="203">
                  <c:v>6.2</c:v>
                </c:pt>
                <c:pt idx="204">
                  <c:v>7.5</c:v>
                </c:pt>
                <c:pt idx="205">
                  <c:v>8.5</c:v>
                </c:pt>
                <c:pt idx="206">
                  <c:v>10.5</c:v>
                </c:pt>
                <c:pt idx="207">
                  <c:v>9.6000000000000014</c:v>
                </c:pt>
                <c:pt idx="208">
                  <c:v>12.399999999999999</c:v>
                </c:pt>
                <c:pt idx="209">
                  <c:v>0</c:v>
                </c:pt>
                <c:pt idx="210">
                  <c:v>6.3999999999999995</c:v>
                </c:pt>
                <c:pt idx="211">
                  <c:v>4.3000000000000007</c:v>
                </c:pt>
                <c:pt idx="212">
                  <c:v>3.1</c:v>
                </c:pt>
                <c:pt idx="213">
                  <c:v>5.7</c:v>
                </c:pt>
                <c:pt idx="214">
                  <c:v>7.3</c:v>
                </c:pt>
                <c:pt idx="215">
                  <c:v>10.100000000000001</c:v>
                </c:pt>
                <c:pt idx="216">
                  <c:v>10.5</c:v>
                </c:pt>
                <c:pt idx="217">
                  <c:v>10.7</c:v>
                </c:pt>
                <c:pt idx="218">
                  <c:v>5.6</c:v>
                </c:pt>
                <c:pt idx="219">
                  <c:v>3.6</c:v>
                </c:pt>
                <c:pt idx="220">
                  <c:v>2.4</c:v>
                </c:pt>
                <c:pt idx="221">
                  <c:v>1.3</c:v>
                </c:pt>
                <c:pt idx="222">
                  <c:v>3.9</c:v>
                </c:pt>
                <c:pt idx="223">
                  <c:v>5.0999999999999996</c:v>
                </c:pt>
                <c:pt idx="224">
                  <c:v>7.1</c:v>
                </c:pt>
                <c:pt idx="225">
                  <c:v>3.9</c:v>
                </c:pt>
                <c:pt idx="226">
                  <c:v>4.5</c:v>
                </c:pt>
                <c:pt idx="227">
                  <c:v>5.5</c:v>
                </c:pt>
                <c:pt idx="228">
                  <c:v>9.3000000000000007</c:v>
                </c:pt>
                <c:pt idx="229">
                  <c:v>13.5</c:v>
                </c:pt>
                <c:pt idx="230">
                  <c:v>7.1</c:v>
                </c:pt>
                <c:pt idx="231">
                  <c:v>8.5</c:v>
                </c:pt>
                <c:pt idx="232">
                  <c:v>3.3000000000000003</c:v>
                </c:pt>
                <c:pt idx="233">
                  <c:v>0</c:v>
                </c:pt>
                <c:pt idx="234">
                  <c:v>0.4</c:v>
                </c:pt>
                <c:pt idx="235">
                  <c:v>1.4000000000000001</c:v>
                </c:pt>
                <c:pt idx="236">
                  <c:v>1.7</c:v>
                </c:pt>
                <c:pt idx="237">
                  <c:v>6.5</c:v>
                </c:pt>
                <c:pt idx="238">
                  <c:v>5.9</c:v>
                </c:pt>
                <c:pt idx="239">
                  <c:v>8.8000000000000007</c:v>
                </c:pt>
                <c:pt idx="240">
                  <c:v>7.3999999999999995</c:v>
                </c:pt>
                <c:pt idx="241">
                  <c:v>9.3000000000000007</c:v>
                </c:pt>
                <c:pt idx="242">
                  <c:v>9.9</c:v>
                </c:pt>
                <c:pt idx="243">
                  <c:v>5.6</c:v>
                </c:pt>
                <c:pt idx="244">
                  <c:v>5.3000000000000007</c:v>
                </c:pt>
                <c:pt idx="245">
                  <c:v>5.5</c:v>
                </c:pt>
                <c:pt idx="246">
                  <c:v>7.1</c:v>
                </c:pt>
                <c:pt idx="247">
                  <c:v>6</c:v>
                </c:pt>
                <c:pt idx="248">
                  <c:v>6.1</c:v>
                </c:pt>
                <c:pt idx="249">
                  <c:v>9.8999999999999986</c:v>
                </c:pt>
                <c:pt idx="250">
                  <c:v>6.8</c:v>
                </c:pt>
                <c:pt idx="251">
                  <c:v>8.1999999999999993</c:v>
                </c:pt>
                <c:pt idx="252">
                  <c:v>8.8000000000000007</c:v>
                </c:pt>
                <c:pt idx="253">
                  <c:v>5.0999999999999996</c:v>
                </c:pt>
                <c:pt idx="254">
                  <c:v>12.7</c:v>
                </c:pt>
                <c:pt idx="255">
                  <c:v>5.0999999999999996</c:v>
                </c:pt>
                <c:pt idx="256">
                  <c:v>9.8999999999999986</c:v>
                </c:pt>
                <c:pt idx="257">
                  <c:v>27.2</c:v>
                </c:pt>
                <c:pt idx="258">
                  <c:v>2.1</c:v>
                </c:pt>
                <c:pt idx="259">
                  <c:v>6.4</c:v>
                </c:pt>
                <c:pt idx="260">
                  <c:v>8.1</c:v>
                </c:pt>
                <c:pt idx="261">
                  <c:v>10</c:v>
                </c:pt>
                <c:pt idx="262">
                  <c:v>8.9</c:v>
                </c:pt>
                <c:pt idx="263">
                  <c:v>7.1999999999999993</c:v>
                </c:pt>
                <c:pt idx="264">
                  <c:v>6.3999999999999995</c:v>
                </c:pt>
                <c:pt idx="265">
                  <c:v>7.1</c:v>
                </c:pt>
                <c:pt idx="266">
                  <c:v>10.3</c:v>
                </c:pt>
                <c:pt idx="267">
                  <c:v>6.4</c:v>
                </c:pt>
                <c:pt idx="268">
                  <c:v>10.8</c:v>
                </c:pt>
                <c:pt idx="269">
                  <c:v>5.5</c:v>
                </c:pt>
                <c:pt idx="270">
                  <c:v>5.7</c:v>
                </c:pt>
                <c:pt idx="271">
                  <c:v>0.2</c:v>
                </c:pt>
                <c:pt idx="272">
                  <c:v>6.6999999999999993</c:v>
                </c:pt>
                <c:pt idx="273">
                  <c:v>9</c:v>
                </c:pt>
                <c:pt idx="274">
                  <c:v>8</c:v>
                </c:pt>
                <c:pt idx="275">
                  <c:v>6</c:v>
                </c:pt>
                <c:pt idx="276">
                  <c:v>6.8000000000000007</c:v>
                </c:pt>
                <c:pt idx="277">
                  <c:v>9.6000000000000014</c:v>
                </c:pt>
                <c:pt idx="278">
                  <c:v>10.100000000000001</c:v>
                </c:pt>
                <c:pt idx="279">
                  <c:v>8.6</c:v>
                </c:pt>
                <c:pt idx="280">
                  <c:v>5.5</c:v>
                </c:pt>
                <c:pt idx="281">
                  <c:v>3.4</c:v>
                </c:pt>
                <c:pt idx="282">
                  <c:v>5.3999999999999995</c:v>
                </c:pt>
                <c:pt idx="283">
                  <c:v>4.8</c:v>
                </c:pt>
                <c:pt idx="284">
                  <c:v>2.9000000000000004</c:v>
                </c:pt>
                <c:pt idx="285">
                  <c:v>8.1</c:v>
                </c:pt>
                <c:pt idx="286">
                  <c:v>7.7</c:v>
                </c:pt>
                <c:pt idx="287">
                  <c:v>2.4000000000000004</c:v>
                </c:pt>
                <c:pt idx="288">
                  <c:v>11.2</c:v>
                </c:pt>
                <c:pt idx="289">
                  <c:v>9.5</c:v>
                </c:pt>
                <c:pt idx="290">
                  <c:v>8.6000000000000014</c:v>
                </c:pt>
                <c:pt idx="291">
                  <c:v>7.6999999999999993</c:v>
                </c:pt>
                <c:pt idx="292">
                  <c:v>6</c:v>
                </c:pt>
                <c:pt idx="293">
                  <c:v>4.0999999999999996</c:v>
                </c:pt>
                <c:pt idx="294">
                  <c:v>3.7</c:v>
                </c:pt>
                <c:pt idx="295">
                  <c:v>8.3000000000000007</c:v>
                </c:pt>
                <c:pt idx="296">
                  <c:v>1.6</c:v>
                </c:pt>
                <c:pt idx="297">
                  <c:v>4.5999999999999996</c:v>
                </c:pt>
                <c:pt idx="298">
                  <c:v>15.2</c:v>
                </c:pt>
                <c:pt idx="299">
                  <c:v>8.1999999999999993</c:v>
                </c:pt>
                <c:pt idx="300">
                  <c:v>10.4</c:v>
                </c:pt>
                <c:pt idx="301">
                  <c:v>13.1</c:v>
                </c:pt>
                <c:pt idx="302">
                  <c:v>18</c:v>
                </c:pt>
                <c:pt idx="303">
                  <c:v>9.8999999999999986</c:v>
                </c:pt>
                <c:pt idx="304">
                  <c:v>8</c:v>
                </c:pt>
                <c:pt idx="305">
                  <c:v>3.2</c:v>
                </c:pt>
                <c:pt idx="306">
                  <c:v>7.8000000000000007</c:v>
                </c:pt>
                <c:pt idx="307">
                  <c:v>6</c:v>
                </c:pt>
                <c:pt idx="308">
                  <c:v>6</c:v>
                </c:pt>
                <c:pt idx="309">
                  <c:v>15.6</c:v>
                </c:pt>
                <c:pt idx="310">
                  <c:v>12</c:v>
                </c:pt>
                <c:pt idx="311">
                  <c:v>8.3000000000000007</c:v>
                </c:pt>
                <c:pt idx="312">
                  <c:v>10.9</c:v>
                </c:pt>
                <c:pt idx="313">
                  <c:v>7.6</c:v>
                </c:pt>
                <c:pt idx="314">
                  <c:v>14.1</c:v>
                </c:pt>
                <c:pt idx="315">
                  <c:v>5.4</c:v>
                </c:pt>
                <c:pt idx="316">
                  <c:v>8.5</c:v>
                </c:pt>
                <c:pt idx="317">
                  <c:v>3.5</c:v>
                </c:pt>
                <c:pt idx="318">
                  <c:v>3.4</c:v>
                </c:pt>
                <c:pt idx="319">
                  <c:v>9.3000000000000007</c:v>
                </c:pt>
                <c:pt idx="320">
                  <c:v>8.9</c:v>
                </c:pt>
                <c:pt idx="321">
                  <c:v>11.9</c:v>
                </c:pt>
                <c:pt idx="322">
                  <c:v>19.7</c:v>
                </c:pt>
                <c:pt idx="323">
                  <c:v>12.3</c:v>
                </c:pt>
                <c:pt idx="324">
                  <c:v>17.7</c:v>
                </c:pt>
                <c:pt idx="325">
                  <c:v>16.399999999999999</c:v>
                </c:pt>
                <c:pt idx="326">
                  <c:v>17.2</c:v>
                </c:pt>
                <c:pt idx="327">
                  <c:v>8.9</c:v>
                </c:pt>
                <c:pt idx="328">
                  <c:v>5.0999999999999996</c:v>
                </c:pt>
                <c:pt idx="329">
                  <c:v>0.5</c:v>
                </c:pt>
                <c:pt idx="330">
                  <c:v>1.1000000000000001</c:v>
                </c:pt>
                <c:pt idx="331">
                  <c:v>5.5</c:v>
                </c:pt>
                <c:pt idx="332">
                  <c:v>7.6000000000000005</c:v>
                </c:pt>
                <c:pt idx="333">
                  <c:v>9.1</c:v>
                </c:pt>
                <c:pt idx="334">
                  <c:v>11.5</c:v>
                </c:pt>
                <c:pt idx="335">
                  <c:v>15.399999999999999</c:v>
                </c:pt>
                <c:pt idx="336">
                  <c:v>20.5</c:v>
                </c:pt>
                <c:pt idx="337">
                  <c:v>19.399999999999999</c:v>
                </c:pt>
                <c:pt idx="338">
                  <c:v>10.200000000000001</c:v>
                </c:pt>
                <c:pt idx="339">
                  <c:v>10.100000000000001</c:v>
                </c:pt>
                <c:pt idx="340">
                  <c:v>6.2</c:v>
                </c:pt>
                <c:pt idx="341">
                  <c:v>0</c:v>
                </c:pt>
                <c:pt idx="342">
                  <c:v>6.1</c:v>
                </c:pt>
                <c:pt idx="343">
                  <c:v>11.2</c:v>
                </c:pt>
                <c:pt idx="344">
                  <c:v>17.799999999999997</c:v>
                </c:pt>
                <c:pt idx="345">
                  <c:v>8.3000000000000007</c:v>
                </c:pt>
                <c:pt idx="346">
                  <c:v>26.200000000000003</c:v>
                </c:pt>
                <c:pt idx="347">
                  <c:v>19</c:v>
                </c:pt>
                <c:pt idx="348">
                  <c:v>28.599999999999998</c:v>
                </c:pt>
                <c:pt idx="349">
                  <c:v>18.299999999999997</c:v>
                </c:pt>
                <c:pt idx="350">
                  <c:v>11.8</c:v>
                </c:pt>
                <c:pt idx="351">
                  <c:v>7.3999999999999995</c:v>
                </c:pt>
                <c:pt idx="352">
                  <c:v>5.3</c:v>
                </c:pt>
                <c:pt idx="353">
                  <c:v>10</c:v>
                </c:pt>
                <c:pt idx="354">
                  <c:v>0</c:v>
                </c:pt>
                <c:pt idx="355">
                  <c:v>12.7</c:v>
                </c:pt>
                <c:pt idx="356">
                  <c:v>10.3</c:v>
                </c:pt>
                <c:pt idx="357">
                  <c:v>13.9</c:v>
                </c:pt>
                <c:pt idx="358">
                  <c:v>9.3000000000000007</c:v>
                </c:pt>
                <c:pt idx="359">
                  <c:v>10.399999999999999</c:v>
                </c:pt>
                <c:pt idx="360">
                  <c:v>12.7</c:v>
                </c:pt>
                <c:pt idx="361">
                  <c:v>18</c:v>
                </c:pt>
                <c:pt idx="362">
                  <c:v>15.7</c:v>
                </c:pt>
                <c:pt idx="363">
                  <c:v>14.8</c:v>
                </c:pt>
                <c:pt idx="364">
                  <c:v>8.1000000000000014</c:v>
                </c:pt>
                <c:pt idx="365">
                  <c:v>9.4</c:v>
                </c:pt>
                <c:pt idx="366">
                  <c:v>9.6999999999999993</c:v>
                </c:pt>
                <c:pt idx="367">
                  <c:v>2</c:v>
                </c:pt>
                <c:pt idx="368">
                  <c:v>8.8000000000000007</c:v>
                </c:pt>
                <c:pt idx="369">
                  <c:v>15.899999999999999</c:v>
                </c:pt>
                <c:pt idx="370">
                  <c:v>24.9</c:v>
                </c:pt>
                <c:pt idx="371">
                  <c:v>20.2</c:v>
                </c:pt>
                <c:pt idx="372">
                  <c:v>35.599999999999994</c:v>
                </c:pt>
                <c:pt idx="373">
                  <c:v>23.299999999999997</c:v>
                </c:pt>
                <c:pt idx="374">
                  <c:v>24.1</c:v>
                </c:pt>
                <c:pt idx="375">
                  <c:v>6.9</c:v>
                </c:pt>
                <c:pt idx="376">
                  <c:v>10</c:v>
                </c:pt>
                <c:pt idx="377">
                  <c:v>0.7</c:v>
                </c:pt>
                <c:pt idx="378">
                  <c:v>4.3999999999999995</c:v>
                </c:pt>
                <c:pt idx="379">
                  <c:v>8.6</c:v>
                </c:pt>
                <c:pt idx="380">
                  <c:v>18.3</c:v>
                </c:pt>
                <c:pt idx="381">
                  <c:v>15.700000000000001</c:v>
                </c:pt>
                <c:pt idx="382">
                  <c:v>20.3</c:v>
                </c:pt>
                <c:pt idx="383">
                  <c:v>17.899999999999999</c:v>
                </c:pt>
                <c:pt idx="384">
                  <c:v>19.100000000000001</c:v>
                </c:pt>
                <c:pt idx="385">
                  <c:v>28.1</c:v>
                </c:pt>
                <c:pt idx="386">
                  <c:v>19.399999999999999</c:v>
                </c:pt>
                <c:pt idx="387">
                  <c:v>13.899999999999999</c:v>
                </c:pt>
                <c:pt idx="388">
                  <c:v>11.4</c:v>
                </c:pt>
                <c:pt idx="389">
                  <c:v>5.0999999999999996</c:v>
                </c:pt>
                <c:pt idx="390">
                  <c:v>10.4</c:v>
                </c:pt>
                <c:pt idx="391">
                  <c:v>21.5</c:v>
                </c:pt>
                <c:pt idx="392">
                  <c:v>8.1</c:v>
                </c:pt>
                <c:pt idx="393">
                  <c:v>13.1</c:v>
                </c:pt>
                <c:pt idx="394">
                  <c:v>12.799999999999999</c:v>
                </c:pt>
                <c:pt idx="395">
                  <c:v>9.4</c:v>
                </c:pt>
                <c:pt idx="396">
                  <c:v>16.8</c:v>
                </c:pt>
                <c:pt idx="397">
                  <c:v>10.8</c:v>
                </c:pt>
                <c:pt idx="398">
                  <c:v>18.8</c:v>
                </c:pt>
                <c:pt idx="399">
                  <c:v>10.8</c:v>
                </c:pt>
                <c:pt idx="400">
                  <c:v>5.4</c:v>
                </c:pt>
                <c:pt idx="401">
                  <c:v>5.2</c:v>
                </c:pt>
                <c:pt idx="402">
                  <c:v>7.8000000000000007</c:v>
                </c:pt>
                <c:pt idx="403">
                  <c:v>7.1</c:v>
                </c:pt>
                <c:pt idx="404">
                  <c:v>11.3</c:v>
                </c:pt>
                <c:pt idx="405">
                  <c:v>19.5</c:v>
                </c:pt>
                <c:pt idx="406">
                  <c:v>17.7</c:v>
                </c:pt>
                <c:pt idx="407">
                  <c:v>12.299999999999999</c:v>
                </c:pt>
                <c:pt idx="408">
                  <c:v>13.9</c:v>
                </c:pt>
                <c:pt idx="409">
                  <c:v>15.9</c:v>
                </c:pt>
                <c:pt idx="410">
                  <c:v>29.299999999999997</c:v>
                </c:pt>
                <c:pt idx="411">
                  <c:v>14.700000000000001</c:v>
                </c:pt>
                <c:pt idx="412">
                  <c:v>10.8</c:v>
                </c:pt>
                <c:pt idx="413">
                  <c:v>4.9000000000000004</c:v>
                </c:pt>
                <c:pt idx="414">
                  <c:v>4.5999999999999996</c:v>
                </c:pt>
                <c:pt idx="415">
                  <c:v>12</c:v>
                </c:pt>
                <c:pt idx="416">
                  <c:v>3.5</c:v>
                </c:pt>
                <c:pt idx="417">
                  <c:v>9.6999999999999993</c:v>
                </c:pt>
                <c:pt idx="418">
                  <c:v>17.100000000000001</c:v>
                </c:pt>
                <c:pt idx="419">
                  <c:v>18.299999999999997</c:v>
                </c:pt>
                <c:pt idx="420">
                  <c:v>7.8999999999999995</c:v>
                </c:pt>
                <c:pt idx="421">
                  <c:v>13</c:v>
                </c:pt>
                <c:pt idx="422">
                  <c:v>14.899999999999999</c:v>
                </c:pt>
                <c:pt idx="423">
                  <c:v>4.2</c:v>
                </c:pt>
                <c:pt idx="424">
                  <c:v>8</c:v>
                </c:pt>
                <c:pt idx="426">
                  <c:v>2.8</c:v>
                </c:pt>
                <c:pt idx="427">
                  <c:v>7.3</c:v>
                </c:pt>
                <c:pt idx="428">
                  <c:v>12.4</c:v>
                </c:pt>
                <c:pt idx="429">
                  <c:v>16.5</c:v>
                </c:pt>
                <c:pt idx="430">
                  <c:v>15.5</c:v>
                </c:pt>
                <c:pt idx="431">
                  <c:v>12.100000000000001</c:v>
                </c:pt>
                <c:pt idx="432">
                  <c:v>7.7</c:v>
                </c:pt>
                <c:pt idx="433">
                  <c:v>9.4</c:v>
                </c:pt>
                <c:pt idx="434">
                  <c:v>10.7</c:v>
                </c:pt>
                <c:pt idx="435">
                  <c:v>7.5</c:v>
                </c:pt>
                <c:pt idx="436">
                  <c:v>7.5</c:v>
                </c:pt>
                <c:pt idx="437">
                  <c:v>6.1000000000000005</c:v>
                </c:pt>
                <c:pt idx="438">
                  <c:v>1.8</c:v>
                </c:pt>
                <c:pt idx="439">
                  <c:v>10.899999999999999</c:v>
                </c:pt>
                <c:pt idx="440">
                  <c:v>5</c:v>
                </c:pt>
                <c:pt idx="441">
                  <c:v>4.8000000000000007</c:v>
                </c:pt>
                <c:pt idx="442">
                  <c:v>11.3</c:v>
                </c:pt>
                <c:pt idx="443">
                  <c:v>12.3</c:v>
                </c:pt>
                <c:pt idx="444">
                  <c:v>18.799999999999997</c:v>
                </c:pt>
                <c:pt idx="445">
                  <c:v>13.399999999999999</c:v>
                </c:pt>
                <c:pt idx="446">
                  <c:v>31.6</c:v>
                </c:pt>
                <c:pt idx="447">
                  <c:v>15.899999999999999</c:v>
                </c:pt>
                <c:pt idx="448">
                  <c:v>1.1000000000000001</c:v>
                </c:pt>
                <c:pt idx="449">
                  <c:v>5.0999999999999996</c:v>
                </c:pt>
                <c:pt idx="450">
                  <c:v>4.2</c:v>
                </c:pt>
                <c:pt idx="451">
                  <c:v>11.2</c:v>
                </c:pt>
                <c:pt idx="452">
                  <c:v>8.8000000000000007</c:v>
                </c:pt>
                <c:pt idx="453">
                  <c:v>16.5</c:v>
                </c:pt>
                <c:pt idx="454">
                  <c:v>14.5</c:v>
                </c:pt>
                <c:pt idx="455">
                  <c:v>15.5</c:v>
                </c:pt>
                <c:pt idx="456">
                  <c:v>12.899999999999999</c:v>
                </c:pt>
                <c:pt idx="457">
                  <c:v>10.399999999999999</c:v>
                </c:pt>
                <c:pt idx="458">
                  <c:v>11.5</c:v>
                </c:pt>
                <c:pt idx="459">
                  <c:v>11</c:v>
                </c:pt>
                <c:pt idx="460">
                  <c:v>6.1</c:v>
                </c:pt>
                <c:pt idx="461">
                  <c:v>2.7</c:v>
                </c:pt>
                <c:pt idx="462">
                  <c:v>2.9000000000000004</c:v>
                </c:pt>
                <c:pt idx="463">
                  <c:v>3</c:v>
                </c:pt>
                <c:pt idx="464">
                  <c:v>7.6</c:v>
                </c:pt>
                <c:pt idx="465">
                  <c:v>14.1</c:v>
                </c:pt>
                <c:pt idx="466">
                  <c:v>11.2</c:v>
                </c:pt>
                <c:pt idx="467">
                  <c:v>8.1</c:v>
                </c:pt>
                <c:pt idx="468">
                  <c:v>17.5</c:v>
                </c:pt>
                <c:pt idx="469">
                  <c:v>16.600000000000001</c:v>
                </c:pt>
                <c:pt idx="470">
                  <c:v>17.200000000000003</c:v>
                </c:pt>
                <c:pt idx="471">
                  <c:v>12.1</c:v>
                </c:pt>
                <c:pt idx="472">
                  <c:v>3.7</c:v>
                </c:pt>
                <c:pt idx="473">
                  <c:v>10.199999999999999</c:v>
                </c:pt>
                <c:pt idx="474">
                  <c:v>8</c:v>
                </c:pt>
                <c:pt idx="475">
                  <c:v>3.6</c:v>
                </c:pt>
                <c:pt idx="476">
                  <c:v>5.3000000000000007</c:v>
                </c:pt>
                <c:pt idx="477">
                  <c:v>14.7</c:v>
                </c:pt>
                <c:pt idx="478">
                  <c:v>9.8000000000000007</c:v>
                </c:pt>
                <c:pt idx="479">
                  <c:v>9.6999999999999993</c:v>
                </c:pt>
                <c:pt idx="480">
                  <c:v>10.3</c:v>
                </c:pt>
                <c:pt idx="481">
                  <c:v>13.7</c:v>
                </c:pt>
                <c:pt idx="482">
                  <c:v>12.7</c:v>
                </c:pt>
                <c:pt idx="483">
                  <c:v>11.9</c:v>
                </c:pt>
                <c:pt idx="484">
                  <c:v>9.9</c:v>
                </c:pt>
                <c:pt idx="485">
                  <c:v>1.9</c:v>
                </c:pt>
                <c:pt idx="486">
                  <c:v>4.2</c:v>
                </c:pt>
                <c:pt idx="487">
                  <c:v>6.6999999999999993</c:v>
                </c:pt>
                <c:pt idx="488">
                  <c:v>8.3000000000000007</c:v>
                </c:pt>
                <c:pt idx="489">
                  <c:v>18.899999999999999</c:v>
                </c:pt>
                <c:pt idx="490">
                  <c:v>13</c:v>
                </c:pt>
                <c:pt idx="491">
                  <c:v>25.5</c:v>
                </c:pt>
                <c:pt idx="492">
                  <c:v>19</c:v>
                </c:pt>
                <c:pt idx="493">
                  <c:v>16.600000000000001</c:v>
                </c:pt>
                <c:pt idx="494">
                  <c:v>17.2</c:v>
                </c:pt>
                <c:pt idx="495">
                  <c:v>19.100000000000001</c:v>
                </c:pt>
                <c:pt idx="496">
                  <c:v>2.9000000000000004</c:v>
                </c:pt>
                <c:pt idx="497">
                  <c:v>3</c:v>
                </c:pt>
                <c:pt idx="498">
                  <c:v>4</c:v>
                </c:pt>
                <c:pt idx="499">
                  <c:v>5.9</c:v>
                </c:pt>
                <c:pt idx="500">
                  <c:v>6.6</c:v>
                </c:pt>
                <c:pt idx="501">
                  <c:v>10.9</c:v>
                </c:pt>
                <c:pt idx="502">
                  <c:v>17.5</c:v>
                </c:pt>
                <c:pt idx="503">
                  <c:v>12.600000000000001</c:v>
                </c:pt>
                <c:pt idx="504">
                  <c:v>15.8</c:v>
                </c:pt>
                <c:pt idx="505">
                  <c:v>15.7</c:v>
                </c:pt>
                <c:pt idx="506">
                  <c:v>15.100000000000001</c:v>
                </c:pt>
                <c:pt idx="507">
                  <c:v>8.4</c:v>
                </c:pt>
                <c:pt idx="508">
                  <c:v>4.5</c:v>
                </c:pt>
                <c:pt idx="509">
                  <c:v>0</c:v>
                </c:pt>
                <c:pt idx="510">
                  <c:v>8</c:v>
                </c:pt>
                <c:pt idx="511">
                  <c:v>4.4000000000000004</c:v>
                </c:pt>
                <c:pt idx="512">
                  <c:v>9</c:v>
                </c:pt>
                <c:pt idx="513">
                  <c:v>7.8</c:v>
                </c:pt>
                <c:pt idx="514">
                  <c:v>9.3999999999999986</c:v>
                </c:pt>
                <c:pt idx="515">
                  <c:v>11.2</c:v>
                </c:pt>
                <c:pt idx="516">
                  <c:v>9.3000000000000007</c:v>
                </c:pt>
                <c:pt idx="517">
                  <c:v>8.5</c:v>
                </c:pt>
                <c:pt idx="518">
                  <c:v>8.3000000000000007</c:v>
                </c:pt>
                <c:pt idx="519">
                  <c:v>9.9</c:v>
                </c:pt>
                <c:pt idx="520">
                  <c:v>4.0999999999999996</c:v>
                </c:pt>
                <c:pt idx="521">
                  <c:v>5.2</c:v>
                </c:pt>
                <c:pt idx="522">
                  <c:v>6.4</c:v>
                </c:pt>
                <c:pt idx="523">
                  <c:v>0</c:v>
                </c:pt>
                <c:pt idx="524">
                  <c:v>9.1999999999999993</c:v>
                </c:pt>
                <c:pt idx="525">
                  <c:v>8.1</c:v>
                </c:pt>
                <c:pt idx="526">
                  <c:v>6.7</c:v>
                </c:pt>
                <c:pt idx="527">
                  <c:v>8.1999999999999993</c:v>
                </c:pt>
                <c:pt idx="528">
                  <c:v>10.7</c:v>
                </c:pt>
                <c:pt idx="529">
                  <c:v>8.3999999999999986</c:v>
                </c:pt>
                <c:pt idx="530">
                  <c:v>9.1</c:v>
                </c:pt>
                <c:pt idx="531">
                  <c:v>6</c:v>
                </c:pt>
                <c:pt idx="532">
                  <c:v>6.5</c:v>
                </c:pt>
                <c:pt idx="533">
                  <c:v>6.2</c:v>
                </c:pt>
                <c:pt idx="534">
                  <c:v>6.8999999999999995</c:v>
                </c:pt>
                <c:pt idx="535">
                  <c:v>6.1</c:v>
                </c:pt>
                <c:pt idx="536">
                  <c:v>6.5</c:v>
                </c:pt>
                <c:pt idx="537">
                  <c:v>8.6</c:v>
                </c:pt>
                <c:pt idx="538">
                  <c:v>6.1999999999999993</c:v>
                </c:pt>
                <c:pt idx="539">
                  <c:v>8.5</c:v>
                </c:pt>
                <c:pt idx="540">
                  <c:v>11</c:v>
                </c:pt>
                <c:pt idx="541">
                  <c:v>8.5</c:v>
                </c:pt>
                <c:pt idx="542">
                  <c:v>8.6000000000000014</c:v>
                </c:pt>
                <c:pt idx="543">
                  <c:v>6.1</c:v>
                </c:pt>
                <c:pt idx="544">
                  <c:v>8</c:v>
                </c:pt>
                <c:pt idx="545">
                  <c:v>2.6</c:v>
                </c:pt>
                <c:pt idx="546">
                  <c:v>8.5</c:v>
                </c:pt>
                <c:pt idx="547">
                  <c:v>3.6</c:v>
                </c:pt>
                <c:pt idx="548">
                  <c:v>10</c:v>
                </c:pt>
                <c:pt idx="549">
                  <c:v>12.3</c:v>
                </c:pt>
                <c:pt idx="550">
                  <c:v>8.6</c:v>
                </c:pt>
                <c:pt idx="551">
                  <c:v>11.1</c:v>
                </c:pt>
                <c:pt idx="552">
                  <c:v>9.3999999999999986</c:v>
                </c:pt>
                <c:pt idx="553">
                  <c:v>9.5</c:v>
                </c:pt>
                <c:pt idx="554">
                  <c:v>10.399999999999999</c:v>
                </c:pt>
                <c:pt idx="555">
                  <c:v>8.5</c:v>
                </c:pt>
                <c:pt idx="556">
                  <c:v>9</c:v>
                </c:pt>
                <c:pt idx="557">
                  <c:v>4.5999999999999996</c:v>
                </c:pt>
                <c:pt idx="558">
                  <c:v>4.0999999999999996</c:v>
                </c:pt>
                <c:pt idx="559">
                  <c:v>8.1999999999999993</c:v>
                </c:pt>
                <c:pt idx="560">
                  <c:v>12.2</c:v>
                </c:pt>
                <c:pt idx="561">
                  <c:v>11.600000000000001</c:v>
                </c:pt>
                <c:pt idx="562">
                  <c:v>14.1</c:v>
                </c:pt>
                <c:pt idx="563">
                  <c:v>15.7</c:v>
                </c:pt>
                <c:pt idx="564">
                  <c:v>7.1</c:v>
                </c:pt>
                <c:pt idx="565">
                  <c:v>15.3</c:v>
                </c:pt>
                <c:pt idx="566">
                  <c:v>11.7</c:v>
                </c:pt>
                <c:pt idx="567">
                  <c:v>10.100000000000001</c:v>
                </c:pt>
                <c:pt idx="568">
                  <c:v>9.9</c:v>
                </c:pt>
                <c:pt idx="569">
                  <c:v>3.8</c:v>
                </c:pt>
                <c:pt idx="570">
                  <c:v>7.1</c:v>
                </c:pt>
                <c:pt idx="571">
                  <c:v>3.1</c:v>
                </c:pt>
                <c:pt idx="572">
                  <c:v>10.1</c:v>
                </c:pt>
                <c:pt idx="573">
                  <c:v>10</c:v>
                </c:pt>
                <c:pt idx="574">
                  <c:v>5.7</c:v>
                </c:pt>
                <c:pt idx="575">
                  <c:v>14.200000000000001</c:v>
                </c:pt>
                <c:pt idx="576">
                  <c:v>14.6</c:v>
                </c:pt>
                <c:pt idx="577">
                  <c:v>14.8</c:v>
                </c:pt>
                <c:pt idx="578">
                  <c:v>13.2</c:v>
                </c:pt>
                <c:pt idx="579">
                  <c:v>9.8000000000000007</c:v>
                </c:pt>
                <c:pt idx="580">
                  <c:v>12.100000000000001</c:v>
                </c:pt>
                <c:pt idx="581">
                  <c:v>4.0999999999999996</c:v>
                </c:pt>
                <c:pt idx="582">
                  <c:v>2.4000000000000004</c:v>
                </c:pt>
                <c:pt idx="583">
                  <c:v>12.899999999999999</c:v>
                </c:pt>
                <c:pt idx="584">
                  <c:v>8.4</c:v>
                </c:pt>
                <c:pt idx="585">
                  <c:v>12.4</c:v>
                </c:pt>
                <c:pt idx="586">
                  <c:v>9.4</c:v>
                </c:pt>
                <c:pt idx="587">
                  <c:v>10.100000000000001</c:v>
                </c:pt>
                <c:pt idx="588">
                  <c:v>12.799999999999999</c:v>
                </c:pt>
                <c:pt idx="589">
                  <c:v>9.3000000000000007</c:v>
                </c:pt>
                <c:pt idx="590">
                  <c:v>13</c:v>
                </c:pt>
                <c:pt idx="591">
                  <c:v>12.1</c:v>
                </c:pt>
                <c:pt idx="592">
                  <c:v>10.5</c:v>
                </c:pt>
                <c:pt idx="593">
                  <c:v>11.6</c:v>
                </c:pt>
                <c:pt idx="594">
                  <c:v>12.4</c:v>
                </c:pt>
                <c:pt idx="595">
                  <c:v>11.4</c:v>
                </c:pt>
                <c:pt idx="596">
                  <c:v>11.2</c:v>
                </c:pt>
                <c:pt idx="597">
                  <c:v>18.8</c:v>
                </c:pt>
                <c:pt idx="598">
                  <c:v>10.3</c:v>
                </c:pt>
                <c:pt idx="599">
                  <c:v>9.4</c:v>
                </c:pt>
                <c:pt idx="600">
                  <c:v>11.2</c:v>
                </c:pt>
                <c:pt idx="601">
                  <c:v>10.1</c:v>
                </c:pt>
                <c:pt idx="602">
                  <c:v>9.5</c:v>
                </c:pt>
                <c:pt idx="603">
                  <c:v>6.2</c:v>
                </c:pt>
                <c:pt idx="604">
                  <c:v>6.1</c:v>
                </c:pt>
                <c:pt idx="605">
                  <c:v>4.2</c:v>
                </c:pt>
                <c:pt idx="606">
                  <c:v>4.8</c:v>
                </c:pt>
                <c:pt idx="607">
                  <c:v>0</c:v>
                </c:pt>
                <c:pt idx="608">
                  <c:v>8</c:v>
                </c:pt>
                <c:pt idx="609">
                  <c:v>11.7</c:v>
                </c:pt>
                <c:pt idx="610">
                  <c:v>11.5</c:v>
                </c:pt>
                <c:pt idx="611">
                  <c:v>11.4</c:v>
                </c:pt>
                <c:pt idx="612">
                  <c:v>20.9</c:v>
                </c:pt>
                <c:pt idx="613">
                  <c:v>10.1</c:v>
                </c:pt>
                <c:pt idx="614">
                  <c:v>7</c:v>
                </c:pt>
                <c:pt idx="624">
                  <c:v>9.6999999999999993</c:v>
                </c:pt>
                <c:pt idx="625">
                  <c:v>10.199999999999999</c:v>
                </c:pt>
                <c:pt idx="626">
                  <c:v>9.3000000000000007</c:v>
                </c:pt>
                <c:pt idx="627">
                  <c:v>7.6</c:v>
                </c:pt>
                <c:pt idx="628">
                  <c:v>7.5</c:v>
                </c:pt>
                <c:pt idx="629">
                  <c:v>0</c:v>
                </c:pt>
                <c:pt idx="630">
                  <c:v>0</c:v>
                </c:pt>
                <c:pt idx="634">
                  <c:v>8.1999999999999993</c:v>
                </c:pt>
                <c:pt idx="635">
                  <c:v>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83-405B-83C0-C69350B44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16128"/>
        <c:axId val="-18920480"/>
      </c:scatterChart>
      <c:valAx>
        <c:axId val="-18916128"/>
        <c:scaling>
          <c:orientation val="minMax"/>
          <c:max val="45748"/>
          <c:min val="23377"/>
        </c:scaling>
        <c:delete val="0"/>
        <c:axPos val="b"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050" b="1"/>
                </a:pPr>
                <a:r>
                  <a:rPr lang="es-PE" sz="1050"/>
                  <a:t>Tiempo (mes)</a:t>
                </a:r>
              </a:p>
            </c:rich>
          </c:tx>
          <c:overlay val="0"/>
        </c:title>
        <c:numFmt formatCode="mmm\-yyyy" sourceLinked="0"/>
        <c:majorTickMark val="in"/>
        <c:minorTickMark val="none"/>
        <c:tickLblPos val="nextTo"/>
        <c:spPr>
          <a:ln w="28575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050" b="0"/>
            </a:pPr>
            <a:endParaRPr lang="es-PE"/>
          </a:p>
        </c:txPr>
        <c:crossAx val="-18920480"/>
        <c:crosses val="autoZero"/>
        <c:crossBetween val="midCat"/>
      </c:valAx>
      <c:valAx>
        <c:axId val="-18920480"/>
        <c:scaling>
          <c:orientation val="minMax"/>
          <c:max val="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1"/>
                </a:pPr>
                <a:r>
                  <a:rPr lang="es-PE" sz="1050"/>
                  <a:t>Pmax</a:t>
                </a:r>
                <a:r>
                  <a:rPr lang="es-PE" sz="1050" baseline="0"/>
                  <a:t> 24h (mm)</a:t>
                </a:r>
                <a:endParaRPr lang="es-PE" sz="1050"/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050" b="0"/>
            </a:pPr>
            <a:endParaRPr lang="es-PE"/>
          </a:p>
        </c:txPr>
        <c:crossAx val="-1891612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900" b="1">
          <a:latin typeface="Arial" panose="020B0604020202020204" pitchFamily="34" charset="0"/>
          <a:cs typeface="Arial" panose="020B0604020202020204" pitchFamily="34" charset="0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PE"/>
              <a:t>Pmax24h (Máximos Anuales) - Serie Histórica </a:t>
            </a:r>
          </a:p>
          <a:p>
            <a:pPr>
              <a:defRPr/>
            </a:pPr>
            <a:r>
              <a:rPr lang="es-PE"/>
              <a:t>Estación</a:t>
            </a:r>
            <a:r>
              <a:rPr lang="es-PE" sz="16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: Yantac</a:t>
            </a:r>
          </a:p>
        </c:rich>
      </c:tx>
      <c:layout>
        <c:manualLayout>
          <c:xMode val="edge"/>
          <c:yMode val="edge"/>
          <c:x val="0.36593337967992134"/>
          <c:y val="2.16669898266105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 w="26670"/>
          </c:spPr>
          <c:invertIfNegative val="0"/>
          <c:cat>
            <c:numRef>
              <c:f>ACV!$AI$1:$AI$55</c:f>
              <c:numCache>
                <c:formatCode>General</c:formatCode>
                <c:ptCount val="55"/>
                <c:pt idx="0">
                  <c:v>1969</c:v>
                </c:pt>
                <c:pt idx="1">
                  <c:v>1970</c:v>
                </c:pt>
                <c:pt idx="2">
                  <c:v>1971</c:v>
                </c:pt>
                <c:pt idx="3">
                  <c:v>1972</c:v>
                </c:pt>
                <c:pt idx="4">
                  <c:v>1973</c:v>
                </c:pt>
                <c:pt idx="5">
                  <c:v>1974</c:v>
                </c:pt>
                <c:pt idx="6">
                  <c:v>1975</c:v>
                </c:pt>
                <c:pt idx="7">
                  <c:v>1976</c:v>
                </c:pt>
                <c:pt idx="8">
                  <c:v>1977</c:v>
                </c:pt>
                <c:pt idx="9">
                  <c:v>1978</c:v>
                </c:pt>
                <c:pt idx="10">
                  <c:v>1979</c:v>
                </c:pt>
                <c:pt idx="11">
                  <c:v>1980</c:v>
                </c:pt>
                <c:pt idx="12">
                  <c:v>1981</c:v>
                </c:pt>
                <c:pt idx="13">
                  <c:v>1982</c:v>
                </c:pt>
                <c:pt idx="14">
                  <c:v>1983</c:v>
                </c:pt>
                <c:pt idx="15">
                  <c:v>1984</c:v>
                </c:pt>
                <c:pt idx="16">
                  <c:v>1985</c:v>
                </c:pt>
                <c:pt idx="17">
                  <c:v>1986</c:v>
                </c:pt>
                <c:pt idx="18">
                  <c:v>1987</c:v>
                </c:pt>
                <c:pt idx="19">
                  <c:v>1988</c:v>
                </c:pt>
                <c:pt idx="20">
                  <c:v>1989</c:v>
                </c:pt>
                <c:pt idx="21">
                  <c:v>1990</c:v>
                </c:pt>
                <c:pt idx="22">
                  <c:v>1991</c:v>
                </c:pt>
                <c:pt idx="23">
                  <c:v>1992</c:v>
                </c:pt>
                <c:pt idx="24">
                  <c:v>1993</c:v>
                </c:pt>
                <c:pt idx="25">
                  <c:v>1994</c:v>
                </c:pt>
                <c:pt idx="26">
                  <c:v>1995</c:v>
                </c:pt>
                <c:pt idx="27">
                  <c:v>1996</c:v>
                </c:pt>
                <c:pt idx="28">
                  <c:v>1997</c:v>
                </c:pt>
                <c:pt idx="29">
                  <c:v>1998</c:v>
                </c:pt>
                <c:pt idx="30">
                  <c:v>1999</c:v>
                </c:pt>
                <c:pt idx="31">
                  <c:v>2000</c:v>
                </c:pt>
                <c:pt idx="32">
                  <c:v>2001</c:v>
                </c:pt>
                <c:pt idx="33">
                  <c:v>2002</c:v>
                </c:pt>
                <c:pt idx="34">
                  <c:v>2003</c:v>
                </c:pt>
                <c:pt idx="35">
                  <c:v>2004</c:v>
                </c:pt>
                <c:pt idx="36">
                  <c:v>2005</c:v>
                </c:pt>
                <c:pt idx="37">
                  <c:v>2006</c:v>
                </c:pt>
                <c:pt idx="38">
                  <c:v>2007</c:v>
                </c:pt>
                <c:pt idx="39">
                  <c:v>2008</c:v>
                </c:pt>
                <c:pt idx="40">
                  <c:v>2009</c:v>
                </c:pt>
                <c:pt idx="41">
                  <c:v>2010</c:v>
                </c:pt>
                <c:pt idx="42">
                  <c:v>2011</c:v>
                </c:pt>
                <c:pt idx="43">
                  <c:v>2012</c:v>
                </c:pt>
                <c:pt idx="44">
                  <c:v>2013</c:v>
                </c:pt>
                <c:pt idx="45">
                  <c:v>2014</c:v>
                </c:pt>
                <c:pt idx="46">
                  <c:v>2015</c:v>
                </c:pt>
                <c:pt idx="47">
                  <c:v>2016</c:v>
                </c:pt>
                <c:pt idx="48">
                  <c:v>2017</c:v>
                </c:pt>
                <c:pt idx="49">
                  <c:v>2018</c:v>
                </c:pt>
                <c:pt idx="50">
                  <c:v>2019</c:v>
                </c:pt>
                <c:pt idx="51">
                  <c:v>2020</c:v>
                </c:pt>
                <c:pt idx="52">
                  <c:v>2021</c:v>
                </c:pt>
                <c:pt idx="53">
                  <c:v>2022</c:v>
                </c:pt>
                <c:pt idx="54">
                  <c:v>2023</c:v>
                </c:pt>
              </c:numCache>
            </c:numRef>
          </c:cat>
          <c:val>
            <c:numRef>
              <c:f>ACV!$AJ$1:$AJ$55</c:f>
              <c:numCache>
                <c:formatCode>0.0</c:formatCode>
                <c:ptCount val="55"/>
                <c:pt idx="0">
                  <c:v>21.9</c:v>
                </c:pt>
                <c:pt idx="1">
                  <c:v>23.200000000000003</c:v>
                </c:pt>
                <c:pt idx="2">
                  <c:v>25</c:v>
                </c:pt>
                <c:pt idx="3">
                  <c:v>19.7</c:v>
                </c:pt>
                <c:pt idx="4">
                  <c:v>27.5</c:v>
                </c:pt>
                <c:pt idx="5">
                  <c:v>35</c:v>
                </c:pt>
                <c:pt idx="6">
                  <c:v>33.400000000000006</c:v>
                </c:pt>
                <c:pt idx="7">
                  <c:v>28.5</c:v>
                </c:pt>
                <c:pt idx="8">
                  <c:v>15.1</c:v>
                </c:pt>
                <c:pt idx="9">
                  <c:v>27</c:v>
                </c:pt>
                <c:pt idx="10">
                  <c:v>23.1</c:v>
                </c:pt>
                <c:pt idx="11">
                  <c:v>25.2</c:v>
                </c:pt>
                <c:pt idx="12">
                  <c:v>31.4</c:v>
                </c:pt>
                <c:pt idx="13">
                  <c:v>12.3</c:v>
                </c:pt>
                <c:pt idx="14">
                  <c:v>15.3</c:v>
                </c:pt>
                <c:pt idx="15">
                  <c:v>16.7</c:v>
                </c:pt>
                <c:pt idx="16">
                  <c:v>10</c:v>
                </c:pt>
                <c:pt idx="17">
                  <c:v>12.399999999999999</c:v>
                </c:pt>
                <c:pt idx="18">
                  <c:v>10.7</c:v>
                </c:pt>
                <c:pt idx="19">
                  <c:v>13.5</c:v>
                </c:pt>
                <c:pt idx="20">
                  <c:v>9.9</c:v>
                </c:pt>
                <c:pt idx="21">
                  <c:v>27.2</c:v>
                </c:pt>
                <c:pt idx="22">
                  <c:v>10.8</c:v>
                </c:pt>
                <c:pt idx="23">
                  <c:v>10.100000000000001</c:v>
                </c:pt>
                <c:pt idx="24">
                  <c:v>15.2</c:v>
                </c:pt>
                <c:pt idx="25">
                  <c:v>18</c:v>
                </c:pt>
                <c:pt idx="26">
                  <c:v>19.7</c:v>
                </c:pt>
                <c:pt idx="27">
                  <c:v>17.7</c:v>
                </c:pt>
                <c:pt idx="28">
                  <c:v>26.200000000000003</c:v>
                </c:pt>
                <c:pt idx="29">
                  <c:v>28.599999999999998</c:v>
                </c:pt>
                <c:pt idx="30">
                  <c:v>24.9</c:v>
                </c:pt>
                <c:pt idx="31">
                  <c:v>35.599999999999994</c:v>
                </c:pt>
                <c:pt idx="32">
                  <c:v>28.1</c:v>
                </c:pt>
                <c:pt idx="33">
                  <c:v>19.5</c:v>
                </c:pt>
                <c:pt idx="34">
                  <c:v>29.299999999999997</c:v>
                </c:pt>
                <c:pt idx="35">
                  <c:v>16.5</c:v>
                </c:pt>
                <c:pt idx="36">
                  <c:v>12.3</c:v>
                </c:pt>
                <c:pt idx="37">
                  <c:v>31.6</c:v>
                </c:pt>
                <c:pt idx="38">
                  <c:v>14.1</c:v>
                </c:pt>
                <c:pt idx="39">
                  <c:v>17.5</c:v>
                </c:pt>
                <c:pt idx="40">
                  <c:v>25.5</c:v>
                </c:pt>
                <c:pt idx="41">
                  <c:v>19.100000000000001</c:v>
                </c:pt>
                <c:pt idx="42">
                  <c:v>15.8</c:v>
                </c:pt>
                <c:pt idx="43">
                  <c:v>9.9</c:v>
                </c:pt>
                <c:pt idx="44">
                  <c:v>10.7</c:v>
                </c:pt>
                <c:pt idx="45">
                  <c:v>12.3</c:v>
                </c:pt>
                <c:pt idx="46">
                  <c:v>15.7</c:v>
                </c:pt>
                <c:pt idx="47">
                  <c:v>15.3</c:v>
                </c:pt>
                <c:pt idx="48">
                  <c:v>14.8</c:v>
                </c:pt>
                <c:pt idx="49">
                  <c:v>18.8</c:v>
                </c:pt>
                <c:pt idx="50">
                  <c:v>11.7</c:v>
                </c:pt>
                <c:pt idx="51">
                  <c:v>20.9</c:v>
                </c:pt>
                <c:pt idx="52">
                  <c:v>0</c:v>
                </c:pt>
                <c:pt idx="53">
                  <c:v>0</c:v>
                </c:pt>
                <c:pt idx="54">
                  <c:v>16.5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9-4944-A973-75D44D89D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858329840"/>
        <c:axId val="-1858320048"/>
      </c:barChart>
      <c:catAx>
        <c:axId val="-1858329840"/>
        <c:scaling>
          <c:orientation val="minMax"/>
        </c:scaling>
        <c:delete val="0"/>
        <c:axPos val="b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</c:majorGridlines>
        <c:minorGridlines>
          <c:spPr>
            <a:ln w="0"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Tiempo (años)</a:t>
                </a:r>
              </a:p>
            </c:rich>
          </c:tx>
          <c:overlay val="0"/>
        </c:title>
        <c:numFmt formatCode="General" sourceLinked="1"/>
        <c:majorTickMark val="in"/>
        <c:minorTickMark val="in"/>
        <c:tickLblPos val="nextTo"/>
        <c:spPr>
          <a:ln w="285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/>
            </a:pPr>
            <a:endParaRPr lang="es-PE"/>
          </a:p>
        </c:txPr>
        <c:crossAx val="-1858320048"/>
        <c:crossesAt val="0"/>
        <c:auto val="0"/>
        <c:lblAlgn val="ctr"/>
        <c:lblOffset val="100"/>
        <c:noMultiLvlLbl val="1"/>
      </c:catAx>
      <c:valAx>
        <c:axId val="-1858320048"/>
        <c:scaling>
          <c:orientation val="minMax"/>
          <c:min val="0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PE"/>
                  <a:t>Pmax 24h (mm)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crossAx val="-1858329840"/>
        <c:crosses val="autoZero"/>
        <c:crossBetween val="between"/>
      </c:valAx>
      <c:spPr>
        <a:ln w="6350"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</c:spPr>
  <c:txPr>
    <a:bodyPr/>
    <a:lstStyle/>
    <a:p>
      <a:pPr>
        <a:defRPr sz="1400"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PE"/>
              <a:t>Límite Superior e Inferior de dato dudoso - Estación Yantac</a:t>
            </a:r>
          </a:p>
        </c:rich>
      </c:tx>
      <c:layout>
        <c:manualLayout>
          <c:xMode val="edge"/>
          <c:yMode val="edge"/>
          <c:x val="0.17821066965647298"/>
          <c:y val="2.909482569541397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Pmax24h MaximosAnuales</c:v>
          </c:tx>
          <c:spPr>
            <a:ln w="25400"/>
          </c:spPr>
          <c:invertIfNegative val="0"/>
          <c:cat>
            <c:numRef>
              <c:f>ACV!$AI$1:$AI$55</c:f>
              <c:numCache>
                <c:formatCode>General</c:formatCode>
                <c:ptCount val="55"/>
                <c:pt idx="0">
                  <c:v>1969</c:v>
                </c:pt>
                <c:pt idx="1">
                  <c:v>1970</c:v>
                </c:pt>
                <c:pt idx="2">
                  <c:v>1971</c:v>
                </c:pt>
                <c:pt idx="3">
                  <c:v>1972</c:v>
                </c:pt>
                <c:pt idx="4">
                  <c:v>1973</c:v>
                </c:pt>
                <c:pt idx="5">
                  <c:v>1974</c:v>
                </c:pt>
                <c:pt idx="6">
                  <c:v>1975</c:v>
                </c:pt>
                <c:pt idx="7">
                  <c:v>1976</c:v>
                </c:pt>
                <c:pt idx="8">
                  <c:v>1977</c:v>
                </c:pt>
                <c:pt idx="9">
                  <c:v>1978</c:v>
                </c:pt>
                <c:pt idx="10">
                  <c:v>1979</c:v>
                </c:pt>
                <c:pt idx="11">
                  <c:v>1980</c:v>
                </c:pt>
                <c:pt idx="12">
                  <c:v>1981</c:v>
                </c:pt>
                <c:pt idx="13">
                  <c:v>1982</c:v>
                </c:pt>
                <c:pt idx="14">
                  <c:v>1983</c:v>
                </c:pt>
                <c:pt idx="15">
                  <c:v>1984</c:v>
                </c:pt>
                <c:pt idx="16">
                  <c:v>1985</c:v>
                </c:pt>
                <c:pt idx="17">
                  <c:v>1986</c:v>
                </c:pt>
                <c:pt idx="18">
                  <c:v>1987</c:v>
                </c:pt>
                <c:pt idx="19">
                  <c:v>1988</c:v>
                </c:pt>
                <c:pt idx="20">
                  <c:v>1989</c:v>
                </c:pt>
                <c:pt idx="21">
                  <c:v>1990</c:v>
                </c:pt>
                <c:pt idx="22">
                  <c:v>1991</c:v>
                </c:pt>
                <c:pt idx="23">
                  <c:v>1992</c:v>
                </c:pt>
                <c:pt idx="24">
                  <c:v>1993</c:v>
                </c:pt>
                <c:pt idx="25">
                  <c:v>1994</c:v>
                </c:pt>
                <c:pt idx="26">
                  <c:v>1995</c:v>
                </c:pt>
                <c:pt idx="27">
                  <c:v>1996</c:v>
                </c:pt>
                <c:pt idx="28">
                  <c:v>1997</c:v>
                </c:pt>
                <c:pt idx="29">
                  <c:v>1998</c:v>
                </c:pt>
                <c:pt idx="30">
                  <c:v>1999</c:v>
                </c:pt>
                <c:pt idx="31">
                  <c:v>2000</c:v>
                </c:pt>
                <c:pt idx="32">
                  <c:v>2001</c:v>
                </c:pt>
                <c:pt idx="33">
                  <c:v>2002</c:v>
                </c:pt>
                <c:pt idx="34">
                  <c:v>2003</c:v>
                </c:pt>
                <c:pt idx="35">
                  <c:v>2004</c:v>
                </c:pt>
                <c:pt idx="36">
                  <c:v>2005</c:v>
                </c:pt>
                <c:pt idx="37">
                  <c:v>2006</c:v>
                </c:pt>
                <c:pt idx="38">
                  <c:v>2007</c:v>
                </c:pt>
                <c:pt idx="39">
                  <c:v>2008</c:v>
                </c:pt>
                <c:pt idx="40">
                  <c:v>2009</c:v>
                </c:pt>
                <c:pt idx="41">
                  <c:v>2010</c:v>
                </c:pt>
                <c:pt idx="42">
                  <c:v>2011</c:v>
                </c:pt>
                <c:pt idx="43">
                  <c:v>2012</c:v>
                </c:pt>
                <c:pt idx="44">
                  <c:v>2013</c:v>
                </c:pt>
                <c:pt idx="45">
                  <c:v>2014</c:v>
                </c:pt>
                <c:pt idx="46">
                  <c:v>2015</c:v>
                </c:pt>
                <c:pt idx="47">
                  <c:v>2016</c:v>
                </c:pt>
                <c:pt idx="48">
                  <c:v>2017</c:v>
                </c:pt>
                <c:pt idx="49">
                  <c:v>2018</c:v>
                </c:pt>
                <c:pt idx="50">
                  <c:v>2019</c:v>
                </c:pt>
                <c:pt idx="51">
                  <c:v>2020</c:v>
                </c:pt>
                <c:pt idx="52">
                  <c:v>2021</c:v>
                </c:pt>
                <c:pt idx="53">
                  <c:v>2022</c:v>
                </c:pt>
                <c:pt idx="54">
                  <c:v>2023</c:v>
                </c:pt>
              </c:numCache>
            </c:numRef>
          </c:cat>
          <c:val>
            <c:numRef>
              <c:f>ACV!$AJ$1:$AJ$55</c:f>
              <c:numCache>
                <c:formatCode>0.0</c:formatCode>
                <c:ptCount val="55"/>
                <c:pt idx="0">
                  <c:v>21.9</c:v>
                </c:pt>
                <c:pt idx="1">
                  <c:v>23.200000000000003</c:v>
                </c:pt>
                <c:pt idx="2">
                  <c:v>25</c:v>
                </c:pt>
                <c:pt idx="3">
                  <c:v>19.7</c:v>
                </c:pt>
                <c:pt idx="4">
                  <c:v>27.5</c:v>
                </c:pt>
                <c:pt idx="5">
                  <c:v>35</c:v>
                </c:pt>
                <c:pt idx="6">
                  <c:v>33.400000000000006</c:v>
                </c:pt>
                <c:pt idx="7">
                  <c:v>28.5</c:v>
                </c:pt>
                <c:pt idx="8">
                  <c:v>15.1</c:v>
                </c:pt>
                <c:pt idx="9">
                  <c:v>27</c:v>
                </c:pt>
                <c:pt idx="10">
                  <c:v>23.1</c:v>
                </c:pt>
                <c:pt idx="11">
                  <c:v>25.2</c:v>
                </c:pt>
                <c:pt idx="12">
                  <c:v>31.4</c:v>
                </c:pt>
                <c:pt idx="13">
                  <c:v>12.3</c:v>
                </c:pt>
                <c:pt idx="14">
                  <c:v>15.3</c:v>
                </c:pt>
                <c:pt idx="15">
                  <c:v>16.7</c:v>
                </c:pt>
                <c:pt idx="16">
                  <c:v>10</c:v>
                </c:pt>
                <c:pt idx="17">
                  <c:v>12.399999999999999</c:v>
                </c:pt>
                <c:pt idx="18">
                  <c:v>10.7</c:v>
                </c:pt>
                <c:pt idx="19">
                  <c:v>13.5</c:v>
                </c:pt>
                <c:pt idx="20">
                  <c:v>9.9</c:v>
                </c:pt>
                <c:pt idx="21">
                  <c:v>27.2</c:v>
                </c:pt>
                <c:pt idx="22">
                  <c:v>10.8</c:v>
                </c:pt>
                <c:pt idx="23">
                  <c:v>10.100000000000001</c:v>
                </c:pt>
                <c:pt idx="24">
                  <c:v>15.2</c:v>
                </c:pt>
                <c:pt idx="25">
                  <c:v>18</c:v>
                </c:pt>
                <c:pt idx="26">
                  <c:v>19.7</c:v>
                </c:pt>
                <c:pt idx="27">
                  <c:v>17.7</c:v>
                </c:pt>
                <c:pt idx="28">
                  <c:v>26.200000000000003</c:v>
                </c:pt>
                <c:pt idx="29">
                  <c:v>28.599999999999998</c:v>
                </c:pt>
                <c:pt idx="30">
                  <c:v>24.9</c:v>
                </c:pt>
                <c:pt idx="31">
                  <c:v>35.599999999999994</c:v>
                </c:pt>
                <c:pt idx="32">
                  <c:v>28.1</c:v>
                </c:pt>
                <c:pt idx="33">
                  <c:v>19.5</c:v>
                </c:pt>
                <c:pt idx="34">
                  <c:v>29.299999999999997</c:v>
                </c:pt>
                <c:pt idx="35">
                  <c:v>16.5</c:v>
                </c:pt>
                <c:pt idx="36">
                  <c:v>12.3</c:v>
                </c:pt>
                <c:pt idx="37">
                  <c:v>31.6</c:v>
                </c:pt>
                <c:pt idx="38">
                  <c:v>14.1</c:v>
                </c:pt>
                <c:pt idx="39">
                  <c:v>17.5</c:v>
                </c:pt>
                <c:pt idx="40">
                  <c:v>25.5</c:v>
                </c:pt>
                <c:pt idx="41">
                  <c:v>19.100000000000001</c:v>
                </c:pt>
                <c:pt idx="42">
                  <c:v>15.8</c:v>
                </c:pt>
                <c:pt idx="43">
                  <c:v>9.9</c:v>
                </c:pt>
                <c:pt idx="44">
                  <c:v>10.7</c:v>
                </c:pt>
                <c:pt idx="45">
                  <c:v>12.3</c:v>
                </c:pt>
                <c:pt idx="46">
                  <c:v>15.7</c:v>
                </c:pt>
                <c:pt idx="47">
                  <c:v>15.3</c:v>
                </c:pt>
                <c:pt idx="48">
                  <c:v>14.8</c:v>
                </c:pt>
                <c:pt idx="49">
                  <c:v>18.8</c:v>
                </c:pt>
                <c:pt idx="50">
                  <c:v>11.7</c:v>
                </c:pt>
                <c:pt idx="51">
                  <c:v>20.9</c:v>
                </c:pt>
                <c:pt idx="52">
                  <c:v>0</c:v>
                </c:pt>
                <c:pt idx="53">
                  <c:v>0</c:v>
                </c:pt>
                <c:pt idx="54">
                  <c:v>16.5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7-40A5-821E-465B98B1F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858317328"/>
        <c:axId val="-1858327664"/>
      </c:barChart>
      <c:scatterChart>
        <c:scatterStyle val="smoothMarker"/>
        <c:varyColors val="0"/>
        <c:ser>
          <c:idx val="1"/>
          <c:order val="1"/>
          <c:tx>
            <c:v>Umbral Superior</c:v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P24h_real!$A$7:$A$8</c:f>
              <c:numCache>
                <c:formatCode>General</c:formatCode>
                <c:ptCount val="2"/>
                <c:pt idx="0">
                  <c:v>1969</c:v>
                </c:pt>
                <c:pt idx="1">
                  <c:v>2023</c:v>
                </c:pt>
              </c:numCache>
            </c:numRef>
          </c:xVal>
          <c:yVal>
            <c:numRef>
              <c:f>P24h_real!$A$9:$A$10</c:f>
              <c:numCache>
                <c:formatCode>0</c:formatCode>
                <c:ptCount val="2"/>
                <c:pt idx="0">
                  <c:v>52.725884964060548</c:v>
                </c:pt>
                <c:pt idx="1">
                  <c:v>52.725884964060548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557-40A5-821E-465B98B1F6E7}"/>
            </c:ext>
          </c:extLst>
        </c:ser>
        <c:ser>
          <c:idx val="2"/>
          <c:order val="2"/>
          <c:tx>
            <c:v>Umbral Inferior</c:v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P24h_real!$A$7:$A$8</c:f>
              <c:numCache>
                <c:formatCode>General</c:formatCode>
                <c:ptCount val="2"/>
                <c:pt idx="0">
                  <c:v>1969</c:v>
                </c:pt>
                <c:pt idx="1">
                  <c:v>2023</c:v>
                </c:pt>
              </c:numCache>
            </c:numRef>
          </c:xVal>
          <c:yVal>
            <c:numRef>
              <c:f>P24h_real!$A$11:$A$12</c:f>
              <c:numCache>
                <c:formatCode>0</c:formatCode>
                <c:ptCount val="2"/>
                <c:pt idx="0">
                  <c:v>6.4515947166017718</c:v>
                </c:pt>
                <c:pt idx="1">
                  <c:v>6.4515947166017718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57-40A5-821E-465B98B1F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8317328"/>
        <c:axId val="-1858327664"/>
      </c:scatterChart>
      <c:dateAx>
        <c:axId val="-1858317328"/>
        <c:scaling>
          <c:orientation val="minMax"/>
        </c:scaling>
        <c:delete val="0"/>
        <c:axPos val="b"/>
        <c:majorGridlines>
          <c:spPr>
            <a:ln w="6350">
              <a:solidFill>
                <a:sysClr val="window" lastClr="FFFFFF">
                  <a:lumMod val="50000"/>
                </a:sysClr>
              </a:solidFill>
              <a:prstDash val="sysDash"/>
            </a:ln>
          </c:spPr>
        </c:majorGridlines>
        <c:minorGridlines>
          <c:spPr>
            <a:ln w="0"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Tiempo (años)</a:t>
                </a:r>
              </a:p>
            </c:rich>
          </c:tx>
          <c:overlay val="0"/>
        </c:title>
        <c:numFmt formatCode="General" sourceLinked="1"/>
        <c:majorTickMark val="in"/>
        <c:minorTickMark val="in"/>
        <c:tickLblPos val="nextTo"/>
        <c:spPr>
          <a:ln w="19050">
            <a:solidFill>
              <a:sysClr val="windowText" lastClr="000000"/>
            </a:solidFill>
          </a:ln>
        </c:spPr>
        <c:crossAx val="-1858327664"/>
        <c:crossesAt val="0"/>
        <c:auto val="0"/>
        <c:lblOffset val="100"/>
        <c:baseTimeUnit val="days"/>
        <c:majorUnit val="2"/>
        <c:majorTimeUnit val="days"/>
      </c:dateAx>
      <c:valAx>
        <c:axId val="-1858327664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ysClr val="window" lastClr="FFFFFF">
                  <a:lumMod val="50000"/>
                </a:sysClr>
              </a:solidFill>
              <a:prstDash val="sysDash"/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PE"/>
                  <a:t>Pmax 24h (mm)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crossAx val="-1858317328"/>
        <c:crosses val="autoZero"/>
        <c:crossBetween val="between"/>
      </c:valAx>
      <c:spPr>
        <a:ln w="6350"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</c:spPr>
  <c:txPr>
    <a:bodyPr/>
    <a:lstStyle/>
    <a:p>
      <a:pPr>
        <a:defRPr sz="1050"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Distribución Normal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Distribucion Normal</c:v>
          </c:tx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</c:spPr>
          </c:marker>
          <c:xVal>
            <c:numRef>
              <c:f>P24h_1!$B$6:$B$17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150</c:v>
                </c:pt>
                <c:pt idx="9">
                  <c:v>200</c:v>
                </c:pt>
                <c:pt idx="10">
                  <c:v>500</c:v>
                </c:pt>
                <c:pt idx="11">
                  <c:v>1000</c:v>
                </c:pt>
              </c:numCache>
            </c:numRef>
          </c:xVal>
          <c:yVal>
            <c:numRef>
              <c:f>P24h_1!$F$6:$F$17</c:f>
              <c:numCache>
                <c:formatCode>0.0</c:formatCode>
                <c:ptCount val="12"/>
                <c:pt idx="0">
                  <c:v>22.316433962264139</c:v>
                </c:pt>
                <c:pt idx="1">
                  <c:v>29.273573959995453</c:v>
                </c:pt>
                <c:pt idx="2">
                  <c:v>32.910194314477359</c:v>
                </c:pt>
                <c:pt idx="3">
                  <c:v>35.913378171830693</c:v>
                </c:pt>
                <c:pt idx="4">
                  <c:v>36.788226740201878</c:v>
                </c:pt>
                <c:pt idx="5">
                  <c:v>39.293451795804685</c:v>
                </c:pt>
                <c:pt idx="6">
                  <c:v>40.637675781894529</c:v>
                </c:pt>
                <c:pt idx="7">
                  <c:v>41.546851634140239</c:v>
                </c:pt>
                <c:pt idx="8">
                  <c:v>42.773510745444888</c:v>
                </c:pt>
                <c:pt idx="9">
                  <c:v>43.60915372762863</c:v>
                </c:pt>
                <c:pt idx="10">
                  <c:v>46.108341005762369</c:v>
                </c:pt>
                <c:pt idx="11">
                  <c:v>47.8613916248122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77-458A-851A-C7986BE17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8321680"/>
        <c:axId val="-1858323312"/>
      </c:scatterChart>
      <c:valAx>
        <c:axId val="-1858321680"/>
        <c:scaling>
          <c:orientation val="minMax"/>
          <c:max val="1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s-PE">
                    <a:latin typeface="Arial" panose="020B0604020202020204" pitchFamily="34" charset="0"/>
                    <a:cs typeface="Arial" panose="020B0604020202020204" pitchFamily="34" charset="0"/>
                  </a:rPr>
                  <a:t>Tr</a:t>
                </a:r>
                <a:r>
                  <a:rPr lang="es-PE" baseline="0">
                    <a:latin typeface="Arial" panose="020B0604020202020204" pitchFamily="34" charset="0"/>
                    <a:cs typeface="Arial" panose="020B0604020202020204" pitchFamily="34" charset="0"/>
                  </a:rPr>
                  <a:t> (años)</a:t>
                </a:r>
                <a:endParaRPr lang="es-PE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858323312"/>
        <c:crosses val="autoZero"/>
        <c:crossBetween val="midCat"/>
      </c:valAx>
      <c:valAx>
        <c:axId val="-1858323312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s-PE">
                    <a:latin typeface="Arial" panose="020B0604020202020204" pitchFamily="34" charset="0"/>
                    <a:cs typeface="Arial" panose="020B0604020202020204" pitchFamily="34" charset="0"/>
                  </a:rPr>
                  <a:t>Pmax24h</a:t>
                </a:r>
                <a:r>
                  <a:rPr lang="es-PE" baseline="0">
                    <a:latin typeface="Arial" panose="020B0604020202020204" pitchFamily="34" charset="0"/>
                    <a:cs typeface="Arial" panose="020B0604020202020204" pitchFamily="34" charset="0"/>
                  </a:rPr>
                  <a:t> (mm)</a:t>
                </a:r>
                <a:endParaRPr lang="es-PE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8583216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600"/>
          </a:pPr>
          <a:endParaRPr lang="es-P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Distribución Log Normal</c:v>
          </c:tx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</c:spPr>
          </c:marker>
          <c:xVal>
            <c:numRef>
              <c:f>P24h_1!$J$6:$J$17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150</c:v>
                </c:pt>
                <c:pt idx="9">
                  <c:v>200</c:v>
                </c:pt>
                <c:pt idx="10">
                  <c:v>500</c:v>
                </c:pt>
                <c:pt idx="11">
                  <c:v>1000</c:v>
                </c:pt>
              </c:numCache>
            </c:numRef>
          </c:xVal>
          <c:yVal>
            <c:numRef>
              <c:f>P24h_1!$N$6:$N$17</c:f>
              <c:numCache>
                <c:formatCode>0.0</c:formatCode>
                <c:ptCount val="12"/>
                <c:pt idx="0">
                  <c:v>20.841257581466909</c:v>
                </c:pt>
                <c:pt idx="1">
                  <c:v>28.610999849993888</c:v>
                </c:pt>
                <c:pt idx="2">
                  <c:v>33.764767012389399</c:v>
                </c:pt>
                <c:pt idx="3">
                  <c:v>38.713763195862036</c:v>
                </c:pt>
                <c:pt idx="4">
                  <c:v>40.287424272579784</c:v>
                </c:pt>
                <c:pt idx="5">
                  <c:v>45.156651685825246</c:v>
                </c:pt>
                <c:pt idx="6">
                  <c:v>48.007587322504463</c:v>
                </c:pt>
                <c:pt idx="7">
                  <c:v>50.037196831456612</c:v>
                </c:pt>
                <c:pt idx="8">
                  <c:v>52.912190326773818</c:v>
                </c:pt>
                <c:pt idx="9">
                  <c:v>54.964766044322992</c:v>
                </c:pt>
                <c:pt idx="10">
                  <c:v>61.590990586329291</c:v>
                </c:pt>
                <c:pt idx="11">
                  <c:v>66.710123599111071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52-4107-97C4-5822E619B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34576"/>
        <c:axId val="-1854925328"/>
      </c:scatterChart>
      <c:valAx>
        <c:axId val="-1854934576"/>
        <c:scaling>
          <c:orientation val="minMax"/>
          <c:max val="1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s-PE">
                    <a:latin typeface="Arial" panose="020B0604020202020204" pitchFamily="34" charset="0"/>
                    <a:cs typeface="Arial" panose="020B0604020202020204" pitchFamily="34" charset="0"/>
                  </a:rPr>
                  <a:t>Tr (años)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854925328"/>
        <c:crosses val="autoZero"/>
        <c:crossBetween val="midCat"/>
      </c:valAx>
      <c:valAx>
        <c:axId val="-1854925328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s-PE">
                    <a:latin typeface="Arial" panose="020B0604020202020204" pitchFamily="34" charset="0"/>
                    <a:cs typeface="Arial" panose="020B0604020202020204" pitchFamily="34" charset="0"/>
                  </a:rPr>
                  <a:t>Pmax24h</a:t>
                </a:r>
                <a:r>
                  <a:rPr lang="es-PE" baseline="0">
                    <a:latin typeface="Arial" panose="020B0604020202020204" pitchFamily="34" charset="0"/>
                    <a:cs typeface="Arial" panose="020B0604020202020204" pitchFamily="34" charset="0"/>
                  </a:rPr>
                  <a:t> (mm)</a:t>
                </a:r>
                <a:endParaRPr lang="es-PE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 algn="ctr">
              <a:defRPr lang="es-PE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18549345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600"/>
          </a:pPr>
          <a:endParaRPr lang="es-P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Distribución Gumbel</c:v>
          </c:tx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</c:spPr>
          </c:marker>
          <c:xVal>
            <c:numRef>
              <c:f>P24h_1!$Q$6:$Q$17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150</c:v>
                </c:pt>
                <c:pt idx="9">
                  <c:v>200</c:v>
                </c:pt>
                <c:pt idx="10">
                  <c:v>500</c:v>
                </c:pt>
                <c:pt idx="11">
                  <c:v>1000</c:v>
                </c:pt>
              </c:numCache>
            </c:numRef>
          </c:xVal>
          <c:yVal>
            <c:numRef>
              <c:f>P24h_1!$S$6:$S$17</c:f>
              <c:numCache>
                <c:formatCode>0.0</c:formatCode>
                <c:ptCount val="12"/>
                <c:pt idx="0">
                  <c:v>20.958933578516763</c:v>
                </c:pt>
                <c:pt idx="1">
                  <c:v>28.264438949032247</c:v>
                </c:pt>
                <c:pt idx="2">
                  <c:v>33.101319177310501</c:v>
                </c:pt>
                <c:pt idx="3">
                  <c:v>37.740970818749503</c:v>
                </c:pt>
                <c:pt idx="4">
                  <c:v>39.212730168060986</c:v>
                </c:pt>
                <c:pt idx="5">
                  <c:v>43.746523959957983</c:v>
                </c:pt>
                <c:pt idx="6">
                  <c:v>46.381737764534165</c:v>
                </c:pt>
                <c:pt idx="7">
                  <c:v>48.246840930169057</c:v>
                </c:pt>
                <c:pt idx="8">
                  <c:v>50.871084393298034</c:v>
                </c:pt>
                <c:pt idx="9">
                  <c:v>52.730736999706117</c:v>
                </c:pt>
                <c:pt idx="10">
                  <c:v>58.646386439898791</c:v>
                </c:pt>
                <c:pt idx="11">
                  <c:v>63.117294120138702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1-4145-808A-8B5B38F29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38384"/>
        <c:axId val="-1854938928"/>
      </c:scatterChart>
      <c:valAx>
        <c:axId val="-1854938384"/>
        <c:scaling>
          <c:orientation val="minMax"/>
          <c:max val="1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s-PE">
                    <a:latin typeface="Arial" panose="020B0604020202020204" pitchFamily="34" charset="0"/>
                    <a:cs typeface="Arial" panose="020B0604020202020204" pitchFamily="34" charset="0"/>
                  </a:rPr>
                  <a:t>Tr (años)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854938928"/>
        <c:crosses val="autoZero"/>
        <c:crossBetween val="midCat"/>
      </c:valAx>
      <c:valAx>
        <c:axId val="-1854938928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s-PE">
                    <a:latin typeface="Arial" panose="020B0604020202020204" pitchFamily="34" charset="0"/>
                    <a:cs typeface="Arial" panose="020B0604020202020204" pitchFamily="34" charset="0"/>
                  </a:rPr>
                  <a:t>Pmax24h</a:t>
                </a:r>
                <a:r>
                  <a:rPr lang="es-PE" baseline="0">
                    <a:latin typeface="Arial" panose="020B0604020202020204" pitchFamily="34" charset="0"/>
                    <a:cs typeface="Arial" panose="020B0604020202020204" pitchFamily="34" charset="0"/>
                  </a:rPr>
                  <a:t> (mm)</a:t>
                </a:r>
                <a:endParaRPr lang="es-PE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8549383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600"/>
          </a:pPr>
          <a:endParaRPr lang="es-P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Distribución Pearson III</c:v>
          </c:tx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</c:spPr>
          </c:marker>
          <c:xVal>
            <c:numRef>
              <c:f>P24h_1!$X$6:$X$17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150</c:v>
                </c:pt>
                <c:pt idx="9">
                  <c:v>200</c:v>
                </c:pt>
                <c:pt idx="10">
                  <c:v>500</c:v>
                </c:pt>
                <c:pt idx="11">
                  <c:v>1000</c:v>
                </c:pt>
              </c:numCache>
            </c:numRef>
          </c:xVal>
          <c:yVal>
            <c:numRef>
              <c:f>P24h_1!$AC$6:$AC$17</c:f>
              <c:numCache>
                <c:formatCode>0.0</c:formatCode>
                <c:ptCount val="12"/>
                <c:pt idx="0">
                  <c:v>21.678240799372862</c:v>
                </c:pt>
                <c:pt idx="1">
                  <c:v>29.012126430950175</c:v>
                </c:pt>
                <c:pt idx="2">
                  <c:v>33.229465718568122</c:v>
                </c:pt>
                <c:pt idx="3">
                  <c:v>36.915997161120472</c:v>
                </c:pt>
                <c:pt idx="4">
                  <c:v>38.025281803448721</c:v>
                </c:pt>
                <c:pt idx="5">
                  <c:v>41.291723892266013</c:v>
                </c:pt>
                <c:pt idx="6">
                  <c:v>43.100058851484796</c:v>
                </c:pt>
                <c:pt idx="7">
                  <c:v>44.345476961094342</c:v>
                </c:pt>
                <c:pt idx="8">
                  <c:v>46.05463834635961</c:v>
                </c:pt>
                <c:pt idx="9">
                  <c:v>47.238109107904457</c:v>
                </c:pt>
                <c:pt idx="10">
                  <c:v>50.871238809632288</c:v>
                </c:pt>
                <c:pt idx="11">
                  <c:v>53.504639886556831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7-4570-A96F-4052DD0E1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37296"/>
        <c:axId val="-1854930768"/>
      </c:scatterChart>
      <c:valAx>
        <c:axId val="-1854937296"/>
        <c:scaling>
          <c:orientation val="minMax"/>
          <c:max val="1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s-PE">
                    <a:latin typeface="Arial" panose="020B0604020202020204" pitchFamily="34" charset="0"/>
                    <a:cs typeface="Arial" panose="020B0604020202020204" pitchFamily="34" charset="0"/>
                  </a:rPr>
                  <a:t>Tr</a:t>
                </a:r>
                <a:r>
                  <a:rPr lang="es-PE" baseline="0">
                    <a:latin typeface="Arial" panose="020B0604020202020204" pitchFamily="34" charset="0"/>
                    <a:cs typeface="Arial" panose="020B0604020202020204" pitchFamily="34" charset="0"/>
                  </a:rPr>
                  <a:t> (años)</a:t>
                </a:r>
                <a:endParaRPr lang="es-PE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854930768"/>
        <c:crosses val="autoZero"/>
        <c:crossBetween val="midCat"/>
      </c:valAx>
      <c:valAx>
        <c:axId val="-1854930768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s-PE">
                    <a:latin typeface="Arial" panose="020B0604020202020204" pitchFamily="34" charset="0"/>
                    <a:cs typeface="Arial" panose="020B0604020202020204" pitchFamily="34" charset="0"/>
                  </a:rPr>
                  <a:t>Pmax24h</a:t>
                </a:r>
                <a:r>
                  <a:rPr lang="es-PE" baseline="0">
                    <a:latin typeface="Arial" panose="020B0604020202020204" pitchFamily="34" charset="0"/>
                    <a:cs typeface="Arial" panose="020B0604020202020204" pitchFamily="34" charset="0"/>
                  </a:rPr>
                  <a:t> (mm)</a:t>
                </a:r>
                <a:endParaRPr lang="es-PE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8549372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600"/>
          </a:pPr>
          <a:endParaRPr lang="es-P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Distribución Log Pearson III</c:v>
          </c:tx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</c:spPr>
          </c:marker>
          <c:xVal>
            <c:numRef>
              <c:f>P24h_1!$AF$6:$AF$17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150</c:v>
                </c:pt>
                <c:pt idx="9">
                  <c:v>200</c:v>
                </c:pt>
                <c:pt idx="10">
                  <c:v>500</c:v>
                </c:pt>
                <c:pt idx="11">
                  <c:v>1000</c:v>
                </c:pt>
              </c:numCache>
            </c:numRef>
          </c:xVal>
          <c:yVal>
            <c:numRef>
              <c:f>P24h_1!$AL$6:$AL$17</c:f>
              <c:numCache>
                <c:formatCode>0.0</c:formatCode>
                <c:ptCount val="12"/>
                <c:pt idx="0">
                  <c:v>20.883593188994208</c:v>
                </c:pt>
                <c:pt idx="1">
                  <c:v>28.625717846142461</c:v>
                </c:pt>
                <c:pt idx="2">
                  <c:v>33.722312414884307</c:v>
                </c:pt>
                <c:pt idx="3">
                  <c:v>38.584346282933019</c:v>
                </c:pt>
                <c:pt idx="4">
                  <c:v>40.123994779525454</c:v>
                </c:pt>
                <c:pt idx="5">
                  <c:v>44.86939903514893</c:v>
                </c:pt>
                <c:pt idx="6">
                  <c:v>47.635287879048313</c:v>
                </c:pt>
                <c:pt idx="7">
                  <c:v>49.598923964213839</c:v>
                </c:pt>
                <c:pt idx="8">
                  <c:v>52.372970413729718</c:v>
                </c:pt>
                <c:pt idx="9">
                  <c:v>54.348241827541692</c:v>
                </c:pt>
                <c:pt idx="10">
                  <c:v>60.696380869278961</c:v>
                </c:pt>
                <c:pt idx="11">
                  <c:v>65.572248178475988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0-4AB5-96D7-544E72171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34032"/>
        <c:axId val="-1854930224"/>
      </c:scatterChart>
      <c:valAx>
        <c:axId val="-1854934032"/>
        <c:scaling>
          <c:orientation val="minMax"/>
          <c:max val="1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s-PE">
                    <a:latin typeface="Arial" panose="020B0604020202020204" pitchFamily="34" charset="0"/>
                    <a:cs typeface="Arial" panose="020B0604020202020204" pitchFamily="34" charset="0"/>
                  </a:rPr>
                  <a:t>Tr</a:t>
                </a:r>
                <a:r>
                  <a:rPr lang="es-PE" baseline="0">
                    <a:latin typeface="Arial" panose="020B0604020202020204" pitchFamily="34" charset="0"/>
                    <a:cs typeface="Arial" panose="020B0604020202020204" pitchFamily="34" charset="0"/>
                  </a:rPr>
                  <a:t> (años)</a:t>
                </a:r>
                <a:endParaRPr lang="es-PE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854930224"/>
        <c:crosses val="autoZero"/>
        <c:crossBetween val="midCat"/>
      </c:valAx>
      <c:valAx>
        <c:axId val="-1854930224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s-PE">
                    <a:latin typeface="Arial" panose="020B0604020202020204" pitchFamily="34" charset="0"/>
                    <a:cs typeface="Arial" panose="020B0604020202020204" pitchFamily="34" charset="0"/>
                  </a:rPr>
                  <a:t>Pmax24h</a:t>
                </a:r>
                <a:r>
                  <a:rPr lang="es-PE" baseline="0">
                    <a:latin typeface="Arial" panose="020B0604020202020204" pitchFamily="34" charset="0"/>
                    <a:cs typeface="Arial" panose="020B0604020202020204" pitchFamily="34" charset="0"/>
                  </a:rPr>
                  <a:t> (mm)</a:t>
                </a:r>
                <a:endParaRPr lang="es-PE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8549340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s-PE" sz="1100">
                <a:latin typeface="Arial" pitchFamily="34" charset="0"/>
                <a:cs typeface="Arial" pitchFamily="34" charset="0"/>
              </a:rPr>
              <a:t>Prueba</a:t>
            </a:r>
            <a:r>
              <a:rPr lang="es-PE" sz="1100" baseline="0">
                <a:latin typeface="Arial" pitchFamily="34" charset="0"/>
                <a:cs typeface="Arial" pitchFamily="34" charset="0"/>
              </a:rPr>
              <a:t> de Bondad de Ajuste: Análisis Gráfico - Estación Pluviométrica Yantac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5"/>
          <c:order val="0"/>
          <c:tx>
            <c:v>Registrados</c:v>
          </c:tx>
          <c:spPr>
            <a:ln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(P24h_1!$AW$34:$AW$53,P24h_1!$BA$34:$BA$53,P24h_1!$BE$34:$BE$46)</c:f>
              <c:numCache>
                <c:formatCode>0.00</c:formatCode>
                <c:ptCount val="53"/>
                <c:pt idx="0">
                  <c:v>1.0188679245283019</c:v>
                </c:pt>
                <c:pt idx="1">
                  <c:v>1.0384615384615385</c:v>
                </c:pt>
                <c:pt idx="2">
                  <c:v>1.0588235294117647</c:v>
                </c:pt>
                <c:pt idx="3">
                  <c:v>1.08</c:v>
                </c:pt>
                <c:pt idx="4">
                  <c:v>1.1020408163265305</c:v>
                </c:pt>
                <c:pt idx="5">
                  <c:v>1.125</c:v>
                </c:pt>
                <c:pt idx="6">
                  <c:v>1.1489361702127661</c:v>
                </c:pt>
                <c:pt idx="7">
                  <c:v>1.173913043478261</c:v>
                </c:pt>
                <c:pt idx="8">
                  <c:v>1.2</c:v>
                </c:pt>
                <c:pt idx="9">
                  <c:v>1.2272727272727273</c:v>
                </c:pt>
                <c:pt idx="10">
                  <c:v>1.2558139534883721</c:v>
                </c:pt>
                <c:pt idx="11">
                  <c:v>1.2857142857142858</c:v>
                </c:pt>
                <c:pt idx="12">
                  <c:v>1.3170731707317074</c:v>
                </c:pt>
                <c:pt idx="13">
                  <c:v>1.35</c:v>
                </c:pt>
                <c:pt idx="14">
                  <c:v>1.3846153846153846</c:v>
                </c:pt>
                <c:pt idx="15">
                  <c:v>1.4210526315789473</c:v>
                </c:pt>
                <c:pt idx="16">
                  <c:v>1.4594594594594594</c:v>
                </c:pt>
                <c:pt idx="17">
                  <c:v>1.5</c:v>
                </c:pt>
                <c:pt idx="18">
                  <c:v>1.5428571428571429</c:v>
                </c:pt>
                <c:pt idx="19">
                  <c:v>1.588235294117647</c:v>
                </c:pt>
                <c:pt idx="20">
                  <c:v>1.6363636363636365</c:v>
                </c:pt>
                <c:pt idx="21">
                  <c:v>1.6875</c:v>
                </c:pt>
                <c:pt idx="22">
                  <c:v>1.7419354838709677</c:v>
                </c:pt>
                <c:pt idx="23">
                  <c:v>1.8</c:v>
                </c:pt>
                <c:pt idx="24">
                  <c:v>1.8620689655172413</c:v>
                </c:pt>
                <c:pt idx="25">
                  <c:v>1.9285714285714286</c:v>
                </c:pt>
                <c:pt idx="26">
                  <c:v>2</c:v>
                </c:pt>
                <c:pt idx="27">
                  <c:v>2.0769230769230771</c:v>
                </c:pt>
                <c:pt idx="28">
                  <c:v>2.16</c:v>
                </c:pt>
                <c:pt idx="29">
                  <c:v>2.25</c:v>
                </c:pt>
                <c:pt idx="30">
                  <c:v>2.347826086956522</c:v>
                </c:pt>
                <c:pt idx="31">
                  <c:v>2.4545454545454546</c:v>
                </c:pt>
                <c:pt idx="32">
                  <c:v>2.5714285714285716</c:v>
                </c:pt>
                <c:pt idx="33">
                  <c:v>2.7</c:v>
                </c:pt>
                <c:pt idx="34">
                  <c:v>2.8421052631578947</c:v>
                </c:pt>
                <c:pt idx="35">
                  <c:v>3</c:v>
                </c:pt>
                <c:pt idx="36">
                  <c:v>3.1764705882352939</c:v>
                </c:pt>
                <c:pt idx="37">
                  <c:v>3.375</c:v>
                </c:pt>
                <c:pt idx="38">
                  <c:v>3.6</c:v>
                </c:pt>
                <c:pt idx="39">
                  <c:v>3.8571428571428572</c:v>
                </c:pt>
                <c:pt idx="40">
                  <c:v>4.1538461538461542</c:v>
                </c:pt>
                <c:pt idx="41">
                  <c:v>4.5</c:v>
                </c:pt>
                <c:pt idx="42">
                  <c:v>4.9090909090909092</c:v>
                </c:pt>
                <c:pt idx="43">
                  <c:v>5.4</c:v>
                </c:pt>
                <c:pt idx="44">
                  <c:v>6</c:v>
                </c:pt>
                <c:pt idx="45">
                  <c:v>6.75</c:v>
                </c:pt>
                <c:pt idx="46">
                  <c:v>7.7142857142857144</c:v>
                </c:pt>
                <c:pt idx="47">
                  <c:v>9</c:v>
                </c:pt>
                <c:pt idx="48">
                  <c:v>10.8</c:v>
                </c:pt>
                <c:pt idx="49">
                  <c:v>13.5</c:v>
                </c:pt>
                <c:pt idx="50">
                  <c:v>18</c:v>
                </c:pt>
                <c:pt idx="51">
                  <c:v>27</c:v>
                </c:pt>
                <c:pt idx="52">
                  <c:v>54</c:v>
                </c:pt>
              </c:numCache>
            </c:numRef>
          </c:xVal>
          <c:yVal>
            <c:numRef>
              <c:f>(P24h_1!$AV$34:$AV$53,P24h_1!$AZ$34:$AZ$53,P24h_1!$BD$34:$BD$46)</c:f>
              <c:numCache>
                <c:formatCode>0.0</c:formatCode>
                <c:ptCount val="53"/>
                <c:pt idx="0">
                  <c:v>11.186999999999999</c:v>
                </c:pt>
                <c:pt idx="1">
                  <c:v>11.186999999999999</c:v>
                </c:pt>
                <c:pt idx="2">
                  <c:v>11.299999999999999</c:v>
                </c:pt>
                <c:pt idx="3">
                  <c:v>11.413</c:v>
                </c:pt>
                <c:pt idx="4">
                  <c:v>12.090999999999998</c:v>
                </c:pt>
                <c:pt idx="5">
                  <c:v>12.090999999999998</c:v>
                </c:pt>
                <c:pt idx="6">
                  <c:v>12.203999999999999</c:v>
                </c:pt>
                <c:pt idx="7">
                  <c:v>13.220999999999998</c:v>
                </c:pt>
                <c:pt idx="8">
                  <c:v>13.898999999999999</c:v>
                </c:pt>
                <c:pt idx="9">
                  <c:v>13.898999999999999</c:v>
                </c:pt>
                <c:pt idx="10">
                  <c:v>13.898999999999999</c:v>
                </c:pt>
                <c:pt idx="11">
                  <c:v>14.011999999999997</c:v>
                </c:pt>
                <c:pt idx="12">
                  <c:v>15.254999999999999</c:v>
                </c:pt>
                <c:pt idx="13">
                  <c:v>15.932999999999998</c:v>
                </c:pt>
                <c:pt idx="14">
                  <c:v>16.724</c:v>
                </c:pt>
                <c:pt idx="15">
                  <c:v>17.062999999999999</c:v>
                </c:pt>
                <c:pt idx="16">
                  <c:v>17.175999999999998</c:v>
                </c:pt>
                <c:pt idx="17">
                  <c:v>17.288999999999998</c:v>
                </c:pt>
                <c:pt idx="18">
                  <c:v>17.288999999999998</c:v>
                </c:pt>
                <c:pt idx="19">
                  <c:v>17.740999999999996</c:v>
                </c:pt>
                <c:pt idx="20">
                  <c:v>17.853999999999999</c:v>
                </c:pt>
                <c:pt idx="21">
                  <c:v>17.853999999999999</c:v>
                </c:pt>
                <c:pt idx="22">
                  <c:v>17.853999999999999</c:v>
                </c:pt>
                <c:pt idx="23">
                  <c:v>17.853999999999999</c:v>
                </c:pt>
                <c:pt idx="24">
                  <c:v>19.774999999999999</c:v>
                </c:pt>
                <c:pt idx="25">
                  <c:v>20.000999999999998</c:v>
                </c:pt>
                <c:pt idx="26">
                  <c:v>20.339999999999996</c:v>
                </c:pt>
                <c:pt idx="27">
                  <c:v>21.244</c:v>
                </c:pt>
                <c:pt idx="28">
                  <c:v>21.582999999999998</c:v>
                </c:pt>
                <c:pt idx="29">
                  <c:v>22.034999999999997</c:v>
                </c:pt>
                <c:pt idx="30">
                  <c:v>22.260999999999996</c:v>
                </c:pt>
                <c:pt idx="31">
                  <c:v>22.260999999999996</c:v>
                </c:pt>
                <c:pt idx="32">
                  <c:v>23.616999999999997</c:v>
                </c:pt>
                <c:pt idx="33">
                  <c:v>24.746999999999996</c:v>
                </c:pt>
                <c:pt idx="34">
                  <c:v>26.102999999999998</c:v>
                </c:pt>
                <c:pt idx="35">
                  <c:v>26.216000000000001</c:v>
                </c:pt>
                <c:pt idx="36">
                  <c:v>28.136999999999997</c:v>
                </c:pt>
                <c:pt idx="37">
                  <c:v>28.249999999999996</c:v>
                </c:pt>
                <c:pt idx="38" formatCode="0">
                  <c:v>28.475999999999996</c:v>
                </c:pt>
                <c:pt idx="39" formatCode="0">
                  <c:v>28.814999999999998</c:v>
                </c:pt>
                <c:pt idx="40" formatCode="0">
                  <c:v>29.606000000000002</c:v>
                </c:pt>
                <c:pt idx="41" formatCode="0">
                  <c:v>30.509999999999998</c:v>
                </c:pt>
                <c:pt idx="42" formatCode="0">
                  <c:v>30.735999999999997</c:v>
                </c:pt>
                <c:pt idx="43" formatCode="0">
                  <c:v>31.074999999999996</c:v>
                </c:pt>
                <c:pt idx="44" formatCode="0">
                  <c:v>31.753</c:v>
                </c:pt>
                <c:pt idx="45" formatCode="0">
                  <c:v>32.204999999999998</c:v>
                </c:pt>
                <c:pt idx="46" formatCode="0">
                  <c:v>32.317999999999998</c:v>
                </c:pt>
                <c:pt idx="47" formatCode="0">
                  <c:v>33.108999999999995</c:v>
                </c:pt>
                <c:pt idx="48" formatCode="0">
                  <c:v>35.481999999999992</c:v>
                </c:pt>
                <c:pt idx="49" formatCode="0">
                  <c:v>35.707999999999998</c:v>
                </c:pt>
                <c:pt idx="50" formatCode="0">
                  <c:v>37.742000000000004</c:v>
                </c:pt>
                <c:pt idx="51" formatCode="0">
                  <c:v>39.549999999999997</c:v>
                </c:pt>
                <c:pt idx="52" formatCode="0">
                  <c:v>40.227999999999987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6B-4510-9A93-2C64BF0E296C}"/>
            </c:ext>
          </c:extLst>
        </c:ser>
        <c:ser>
          <c:idx val="0"/>
          <c:order val="1"/>
          <c:tx>
            <c:v>Normal</c:v>
          </c:tx>
          <c:spPr>
            <a:ln w="22225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P24h_1!$AN$8:$AN$19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 formatCode="0">
                  <c:v>100</c:v>
                </c:pt>
                <c:pt idx="8">
                  <c:v>150</c:v>
                </c:pt>
                <c:pt idx="9">
                  <c:v>200</c:v>
                </c:pt>
                <c:pt idx="10">
                  <c:v>500</c:v>
                </c:pt>
                <c:pt idx="11">
                  <c:v>1000</c:v>
                </c:pt>
              </c:numCache>
            </c:numRef>
          </c:xVal>
          <c:yVal>
            <c:numRef>
              <c:f>P24h_1!$AO$8:$AO$19</c:f>
              <c:numCache>
                <c:formatCode>0.00</c:formatCode>
                <c:ptCount val="12"/>
                <c:pt idx="0">
                  <c:v>22.316433962264139</c:v>
                </c:pt>
                <c:pt idx="1">
                  <c:v>29.273573959995453</c:v>
                </c:pt>
                <c:pt idx="2">
                  <c:v>32.910194314477359</c:v>
                </c:pt>
                <c:pt idx="3">
                  <c:v>35.913378171830693</c:v>
                </c:pt>
                <c:pt idx="4">
                  <c:v>36.788226740201878</c:v>
                </c:pt>
                <c:pt idx="5">
                  <c:v>39.293451795804685</c:v>
                </c:pt>
                <c:pt idx="6">
                  <c:v>40.637675781894529</c:v>
                </c:pt>
                <c:pt idx="7">
                  <c:v>41.546851634140239</c:v>
                </c:pt>
                <c:pt idx="8">
                  <c:v>42.773510745444888</c:v>
                </c:pt>
                <c:pt idx="9">
                  <c:v>43.60915372762863</c:v>
                </c:pt>
                <c:pt idx="10">
                  <c:v>46.108341005762369</c:v>
                </c:pt>
                <c:pt idx="11">
                  <c:v>47.8613916248122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6B-4510-9A93-2C64BF0E296C}"/>
            </c:ext>
          </c:extLst>
        </c:ser>
        <c:ser>
          <c:idx val="1"/>
          <c:order val="2"/>
          <c:tx>
            <c:v>LogNormal</c:v>
          </c:tx>
          <c:spPr>
            <a:ln w="22225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P24h_1!$AN$8:$AN$19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 formatCode="0">
                  <c:v>100</c:v>
                </c:pt>
                <c:pt idx="8">
                  <c:v>150</c:v>
                </c:pt>
                <c:pt idx="9">
                  <c:v>200</c:v>
                </c:pt>
                <c:pt idx="10">
                  <c:v>500</c:v>
                </c:pt>
                <c:pt idx="11">
                  <c:v>1000</c:v>
                </c:pt>
              </c:numCache>
            </c:numRef>
          </c:xVal>
          <c:yVal>
            <c:numRef>
              <c:f>P24h_1!$AP$8:$AP$19</c:f>
              <c:numCache>
                <c:formatCode>0.00</c:formatCode>
                <c:ptCount val="12"/>
                <c:pt idx="0">
                  <c:v>20.841257581466909</c:v>
                </c:pt>
                <c:pt idx="1">
                  <c:v>28.610999849993888</c:v>
                </c:pt>
                <c:pt idx="2">
                  <c:v>33.764767012389399</c:v>
                </c:pt>
                <c:pt idx="3">
                  <c:v>38.713763195862036</c:v>
                </c:pt>
                <c:pt idx="4">
                  <c:v>40.287424272579784</c:v>
                </c:pt>
                <c:pt idx="5">
                  <c:v>45.156651685825246</c:v>
                </c:pt>
                <c:pt idx="6">
                  <c:v>48.007587322504463</c:v>
                </c:pt>
                <c:pt idx="7">
                  <c:v>50.037196831456612</c:v>
                </c:pt>
                <c:pt idx="8">
                  <c:v>52.912190326773818</c:v>
                </c:pt>
                <c:pt idx="9">
                  <c:v>54.964766044322992</c:v>
                </c:pt>
                <c:pt idx="10">
                  <c:v>61.590990586329291</c:v>
                </c:pt>
                <c:pt idx="11">
                  <c:v>66.710123599111071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6B-4510-9A93-2C64BF0E296C}"/>
            </c:ext>
          </c:extLst>
        </c:ser>
        <c:ser>
          <c:idx val="2"/>
          <c:order val="3"/>
          <c:tx>
            <c:v>Gumbel</c:v>
          </c:tx>
          <c:spPr>
            <a:ln w="22225">
              <a:prstDash val="solid"/>
              <a:round/>
              <a:headEnd type="none"/>
            </a:ln>
          </c:spPr>
          <c:marker>
            <c:symbol val="none"/>
          </c:marker>
          <c:xVal>
            <c:numRef>
              <c:f>P24h_1!$AN$8:$AN$19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 formatCode="0">
                  <c:v>100</c:v>
                </c:pt>
                <c:pt idx="8">
                  <c:v>150</c:v>
                </c:pt>
                <c:pt idx="9">
                  <c:v>200</c:v>
                </c:pt>
                <c:pt idx="10">
                  <c:v>500</c:v>
                </c:pt>
                <c:pt idx="11">
                  <c:v>1000</c:v>
                </c:pt>
              </c:numCache>
            </c:numRef>
          </c:xVal>
          <c:yVal>
            <c:numRef>
              <c:f>P24h_1!$AQ$8:$AQ$19</c:f>
              <c:numCache>
                <c:formatCode>0.00</c:formatCode>
                <c:ptCount val="12"/>
                <c:pt idx="0">
                  <c:v>20.958933578516763</c:v>
                </c:pt>
                <c:pt idx="1">
                  <c:v>28.264438949032247</c:v>
                </c:pt>
                <c:pt idx="2">
                  <c:v>33.101319177310501</c:v>
                </c:pt>
                <c:pt idx="3">
                  <c:v>37.740970818749503</c:v>
                </c:pt>
                <c:pt idx="4">
                  <c:v>39.212730168060986</c:v>
                </c:pt>
                <c:pt idx="5">
                  <c:v>43.746523959957983</c:v>
                </c:pt>
                <c:pt idx="6">
                  <c:v>46.381737764534165</c:v>
                </c:pt>
                <c:pt idx="7">
                  <c:v>48.246840930169057</c:v>
                </c:pt>
                <c:pt idx="8">
                  <c:v>50.871084393298034</c:v>
                </c:pt>
                <c:pt idx="9">
                  <c:v>52.730736999706117</c:v>
                </c:pt>
                <c:pt idx="10">
                  <c:v>58.646386439898791</c:v>
                </c:pt>
                <c:pt idx="11">
                  <c:v>63.117294120138702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6B-4510-9A93-2C64BF0E296C}"/>
            </c:ext>
          </c:extLst>
        </c:ser>
        <c:ser>
          <c:idx val="3"/>
          <c:order val="4"/>
          <c:tx>
            <c:v>Pearson III</c:v>
          </c:tx>
          <c:spPr>
            <a:ln w="222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P24h_1!$AN$8:$AN$19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 formatCode="0">
                  <c:v>100</c:v>
                </c:pt>
                <c:pt idx="8">
                  <c:v>150</c:v>
                </c:pt>
                <c:pt idx="9">
                  <c:v>200</c:v>
                </c:pt>
                <c:pt idx="10">
                  <c:v>500</c:v>
                </c:pt>
                <c:pt idx="11">
                  <c:v>1000</c:v>
                </c:pt>
              </c:numCache>
            </c:numRef>
          </c:xVal>
          <c:yVal>
            <c:numRef>
              <c:f>P24h_1!$AR$8:$AR$19</c:f>
              <c:numCache>
                <c:formatCode>0.00</c:formatCode>
                <c:ptCount val="12"/>
                <c:pt idx="0">
                  <c:v>21.678240799372862</c:v>
                </c:pt>
                <c:pt idx="1">
                  <c:v>29.012126430950175</c:v>
                </c:pt>
                <c:pt idx="2">
                  <c:v>33.229465718568122</c:v>
                </c:pt>
                <c:pt idx="3">
                  <c:v>36.915997161120472</c:v>
                </c:pt>
                <c:pt idx="4">
                  <c:v>38.025281803448721</c:v>
                </c:pt>
                <c:pt idx="5">
                  <c:v>41.291723892266013</c:v>
                </c:pt>
                <c:pt idx="6">
                  <c:v>43.100058851484796</c:v>
                </c:pt>
                <c:pt idx="7">
                  <c:v>44.345476961094342</c:v>
                </c:pt>
                <c:pt idx="8">
                  <c:v>46.05463834635961</c:v>
                </c:pt>
                <c:pt idx="9">
                  <c:v>47.238109107904457</c:v>
                </c:pt>
                <c:pt idx="10">
                  <c:v>50.871238809632288</c:v>
                </c:pt>
                <c:pt idx="11">
                  <c:v>53.504639886556831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6B-4510-9A93-2C64BF0E296C}"/>
            </c:ext>
          </c:extLst>
        </c:ser>
        <c:ser>
          <c:idx val="4"/>
          <c:order val="5"/>
          <c:tx>
            <c:v>LogPearson III</c:v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P24h_1!$AN$8:$AN$19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 formatCode="0">
                  <c:v>100</c:v>
                </c:pt>
                <c:pt idx="8">
                  <c:v>150</c:v>
                </c:pt>
                <c:pt idx="9">
                  <c:v>200</c:v>
                </c:pt>
                <c:pt idx="10">
                  <c:v>500</c:v>
                </c:pt>
                <c:pt idx="11">
                  <c:v>1000</c:v>
                </c:pt>
              </c:numCache>
            </c:numRef>
          </c:xVal>
          <c:yVal>
            <c:numRef>
              <c:f>P24h_1!$AS$8:$AS$19</c:f>
              <c:numCache>
                <c:formatCode>0.00</c:formatCode>
                <c:ptCount val="12"/>
                <c:pt idx="0">
                  <c:v>20.883593188994208</c:v>
                </c:pt>
                <c:pt idx="1">
                  <c:v>28.625717846142461</c:v>
                </c:pt>
                <c:pt idx="2">
                  <c:v>33.722312414884307</c:v>
                </c:pt>
                <c:pt idx="3">
                  <c:v>38.584346282933019</c:v>
                </c:pt>
                <c:pt idx="4">
                  <c:v>40.123994779525454</c:v>
                </c:pt>
                <c:pt idx="5">
                  <c:v>44.86939903514893</c:v>
                </c:pt>
                <c:pt idx="6">
                  <c:v>47.635287879048313</c:v>
                </c:pt>
                <c:pt idx="7">
                  <c:v>49.598923964213839</c:v>
                </c:pt>
                <c:pt idx="8">
                  <c:v>52.372970413729718</c:v>
                </c:pt>
                <c:pt idx="9">
                  <c:v>54.348241827541692</c:v>
                </c:pt>
                <c:pt idx="10">
                  <c:v>60.696380869278961</c:v>
                </c:pt>
                <c:pt idx="11">
                  <c:v>65.572248178475988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6B-4510-9A93-2C64BF0E2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33488"/>
        <c:axId val="-1854935120"/>
      </c:scatterChart>
      <c:valAx>
        <c:axId val="-1854933488"/>
        <c:scaling>
          <c:logBase val="10"/>
          <c:orientation val="minMax"/>
          <c:max val="100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Período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de Retorno Tr (años)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5120"/>
        <c:crosses val="autoZero"/>
        <c:crossBetween val="midCat"/>
      </c:valAx>
      <c:valAx>
        <c:axId val="-1854935120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Pmax24h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3488"/>
        <c:crosses val="autoZero"/>
        <c:crossBetween val="midCat"/>
        <c:minorUnit val="5"/>
      </c:valAx>
      <c:spPr>
        <a:ln w="6350">
          <a:solidFill>
            <a:schemeClr val="tx1"/>
          </a:solidFill>
        </a:ln>
      </c:spPr>
    </c:plotArea>
    <c:legend>
      <c:legendPos val="b"/>
      <c:overlay val="0"/>
      <c:spPr>
        <a:ln w="6350">
          <a:solidFill>
            <a:schemeClr val="tx1"/>
          </a:solidFill>
        </a:ln>
      </c:spPr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Curvas IDF - Método Frederick Bell con Modelo Yance Tueros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Tr=2 años</c:v>
          </c:tx>
          <c:marker>
            <c:symbol val="square"/>
            <c:size val="2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IDF_1!$O$77:$O$90</c:f>
              <c:numCache>
                <c:formatCode>0</c:formatCode>
                <c:ptCount val="14"/>
                <c:pt idx="0">
                  <c:v>27.660422096061193</c:v>
                </c:pt>
                <c:pt idx="1">
                  <c:v>18.808678943010804</c:v>
                </c:pt>
                <c:pt idx="2">
                  <c:v>15.009864653403712</c:v>
                </c:pt>
                <c:pt idx="3">
                  <c:v>12.789624191296562</c:v>
                </c:pt>
                <c:pt idx="4">
                  <c:v>10.206486519383882</c:v>
                </c:pt>
                <c:pt idx="5">
                  <c:v>8.6967557610090154</c:v>
                </c:pt>
                <c:pt idx="6">
                  <c:v>7.6812898534917649</c:v>
                </c:pt>
                <c:pt idx="7">
                  <c:v>6.9402602538952456</c:v>
                </c:pt>
                <c:pt idx="8">
                  <c:v>6.3697870339730924</c:v>
                </c:pt>
                <c:pt idx="9">
                  <c:v>5.9136656117005186</c:v>
                </c:pt>
                <c:pt idx="10">
                  <c:v>5.5385265167214053</c:v>
                </c:pt>
                <c:pt idx="11">
                  <c:v>5.2231637760548164</c:v>
                </c:pt>
                <c:pt idx="12">
                  <c:v>4.9533809927620238</c:v>
                </c:pt>
                <c:pt idx="13">
                  <c:v>4.7192745809559664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B8-45C2-8BE8-44578A4F2450}"/>
            </c:ext>
          </c:extLst>
        </c:ser>
        <c:ser>
          <c:idx val="1"/>
          <c:order val="1"/>
          <c:tx>
            <c:v>Tr=5 años</c:v>
          </c:tx>
          <c:marker>
            <c:symbol val="square"/>
            <c:size val="2"/>
            <c:spPr>
              <a:solidFill>
                <a:schemeClr val="accent2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IDF_1!$P$77:$P$90</c:f>
              <c:numCache>
                <c:formatCode>0</c:formatCode>
                <c:ptCount val="14"/>
                <c:pt idx="0">
                  <c:v>33.337650122238934</c:v>
                </c:pt>
                <c:pt idx="1">
                  <c:v>22.669110243003352</c:v>
                </c:pt>
                <c:pt idx="2">
                  <c:v>18.090599429738621</c:v>
                </c:pt>
                <c:pt idx="3">
                  <c:v>15.414660521217545</c:v>
                </c:pt>
                <c:pt idx="4">
                  <c:v>12.301340716308907</c:v>
                </c:pt>
                <c:pt idx="5">
                  <c:v>10.481741737425255</c:v>
                </c:pt>
                <c:pt idx="6">
                  <c:v>9.2578541547157851</c:v>
                </c:pt>
                <c:pt idx="7">
                  <c:v>8.3647302018065695</c:v>
                </c:pt>
                <c:pt idx="8">
                  <c:v>7.6771688716206521</c:v>
                </c:pt>
                <c:pt idx="9">
                  <c:v>7.1274297412425085</c:v>
                </c:pt>
                <c:pt idx="10">
                  <c:v>6.6752943453272042</c:v>
                </c:pt>
                <c:pt idx="11">
                  <c:v>6.2952042413721303</c:v>
                </c:pt>
                <c:pt idx="12">
                  <c:v>5.9700492597458874</c:v>
                </c:pt>
                <c:pt idx="13">
                  <c:v>5.687893129913201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B8-45C2-8BE8-44578A4F2450}"/>
            </c:ext>
          </c:extLst>
        </c:ser>
        <c:ser>
          <c:idx val="2"/>
          <c:order val="2"/>
          <c:tx>
            <c:v>Tr=10 años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IDF_1!$Q$77:$Q$90</c:f>
              <c:numCache>
                <c:formatCode>0</c:formatCode>
                <c:ptCount val="14"/>
                <c:pt idx="0">
                  <c:v>38.39429945557476</c:v>
                </c:pt>
                <c:pt idx="1">
                  <c:v>26.107557187442659</c:v>
                </c:pt>
                <c:pt idx="2">
                  <c:v>20.834578600754337</c:v>
                </c:pt>
                <c:pt idx="3">
                  <c:v>17.752753715021147</c:v>
                </c:pt>
                <c:pt idx="4">
                  <c:v>14.167206069870986</c:v>
                </c:pt>
                <c:pt idx="5">
                  <c:v>12.07161061463783</c:v>
                </c:pt>
                <c:pt idx="6">
                  <c:v>10.662083962992982</c:v>
                </c:pt>
                <c:pt idx="7">
                  <c:v>9.6334911145705835</c:v>
                </c:pt>
                <c:pt idx="8">
                  <c:v>8.8416405939599088</c:v>
                </c:pt>
                <c:pt idx="9">
                  <c:v>8.208517121945734</c:v>
                </c:pt>
                <c:pt idx="10">
                  <c:v>7.6878019029190368</c:v>
                </c:pt>
                <c:pt idx="11">
                  <c:v>7.2500597939868685</c:v>
                </c:pt>
                <c:pt idx="12">
                  <c:v>6.8755853577787214</c:v>
                </c:pt>
                <c:pt idx="13">
                  <c:v>6.5506318321912786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B8-45C2-8BE8-44578A4F2450}"/>
            </c:ext>
          </c:extLst>
        </c:ser>
        <c:ser>
          <c:idx val="3"/>
          <c:order val="3"/>
          <c:tx>
            <c:v>Tr=20 años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IDF_1!$R$77:$R$90</c:f>
              <c:numCache>
                <c:formatCode>0</c:formatCode>
                <c:ptCount val="14"/>
                <c:pt idx="0">
                  <c:v>44.217940535076522</c:v>
                </c:pt>
                <c:pt idx="1">
                  <c:v>30.067547203620876</c:v>
                </c:pt>
                <c:pt idx="2">
                  <c:v>23.994764084900321</c:v>
                </c:pt>
                <c:pt idx="3">
                  <c:v>20.445488503129475</c:v>
                </c:pt>
                <c:pt idx="4">
                  <c:v>16.316085575947973</c:v>
                </c:pt>
                <c:pt idx="5">
                  <c:v>13.902630543846278</c:v>
                </c:pt>
                <c:pt idx="6">
                  <c:v>12.279307119566747</c:v>
                </c:pt>
                <c:pt idx="7">
                  <c:v>11.09469747565403</c:v>
                </c:pt>
                <c:pt idx="8">
                  <c:v>10.18273919722402</c:v>
                </c:pt>
                <c:pt idx="9">
                  <c:v>9.4535836602340328</c:v>
                </c:pt>
                <c:pt idx="10">
                  <c:v>8.8538864417114365</c:v>
                </c:pt>
                <c:pt idx="11">
                  <c:v>8.3497476810900029</c:v>
                </c:pt>
                <c:pt idx="12">
                  <c:v>7.9184730234727274</c:v>
                </c:pt>
                <c:pt idx="13">
                  <c:v>7.5442306001224892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B8-45C2-8BE8-44578A4F2450}"/>
            </c:ext>
          </c:extLst>
        </c:ser>
        <c:ser>
          <c:idx val="4"/>
          <c:order val="4"/>
          <c:tx>
            <c:v>Tr=25 años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IDF_1!$S$77:$S$90</c:f>
              <c:numCache>
                <c:formatCode>0</c:formatCode>
                <c:ptCount val="14"/>
                <c:pt idx="0">
                  <c:v>46.274627245138333</c:v>
                </c:pt>
                <c:pt idx="1">
                  <c:v>31.466063823561328</c:v>
                </c:pt>
                <c:pt idx="2">
                  <c:v>25.110820414238763</c:v>
                </c:pt>
                <c:pt idx="3">
                  <c:v>21.396459171963571</c:v>
                </c:pt>
                <c:pt idx="4">
                  <c:v>17.074987414392119</c:v>
                </c:pt>
                <c:pt idx="5">
                  <c:v>14.549276568704581</c:v>
                </c:pt>
                <c:pt idx="6">
                  <c:v>12.850448322797291</c:v>
                </c:pt>
                <c:pt idx="7">
                  <c:v>11.610739529494891</c:v>
                </c:pt>
                <c:pt idx="8">
                  <c:v>10.65636379677639</c:v>
                </c:pt>
                <c:pt idx="9">
                  <c:v>9.8932934169794269</c:v>
                </c:pt>
                <c:pt idx="10">
                  <c:v>9.2657027849583429</c:v>
                </c:pt>
                <c:pt idx="11">
                  <c:v>8.7381152730732765</c:v>
                </c:pt>
                <c:pt idx="12">
                  <c:v>8.2867809553729099</c:v>
                </c:pt>
                <c:pt idx="13">
                  <c:v>7.8951315834146714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AB8-45C2-8BE8-44578A4F2450}"/>
            </c:ext>
          </c:extLst>
        </c:ser>
        <c:ser>
          <c:idx val="5"/>
          <c:order val="5"/>
          <c:tx>
            <c:v>Tr=50 años</c:v>
          </c:tx>
          <c:marker>
            <c:symbol val="square"/>
            <c:size val="2"/>
            <c:spPr>
              <a:solidFill>
                <a:schemeClr val="accent6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IDF_1!$T$77:$T$90</c:f>
              <c:numCache>
                <c:formatCode>0</c:formatCode>
                <c:ptCount val="14"/>
                <c:pt idx="0">
                  <c:v>53.293555158518743</c:v>
                </c:pt>
                <c:pt idx="1">
                  <c:v>36.238831252360178</c:v>
                </c:pt>
                <c:pt idx="2">
                  <c:v>28.91962555922024</c:v>
                </c:pt>
                <c:pt idx="3">
                  <c:v>24.641870609510644</c:v>
                </c:pt>
                <c:pt idx="4">
                  <c:v>19.664918720561364</c:v>
                </c:pt>
                <c:pt idx="5">
                  <c:v>16.756108465730851</c:v>
                </c:pt>
                <c:pt idx="6">
                  <c:v>14.799602228554804</c:v>
                </c:pt>
                <c:pt idx="7">
                  <c:v>13.371854607674651</c:v>
                </c:pt>
                <c:pt idx="8">
                  <c:v>12.272719319471355</c:v>
                </c:pt>
                <c:pt idx="9">
                  <c:v>11.393906548919782</c:v>
                </c:pt>
                <c:pt idx="10">
                  <c:v>10.671123072190658</c:v>
                </c:pt>
                <c:pt idx="11">
                  <c:v>10.063511172549772</c:v>
                </c:pt>
                <c:pt idx="12">
                  <c:v>9.5437185391510031</c:v>
                </c:pt>
                <c:pt idx="13">
                  <c:v>9.0926638543302083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AB8-45C2-8BE8-44578A4F2450}"/>
            </c:ext>
          </c:extLst>
        </c:ser>
        <c:ser>
          <c:idx val="6"/>
          <c:order val="6"/>
          <c:tx>
            <c:v>Tr=100 años</c:v>
          </c:tx>
          <c:marker>
            <c:symbol val="square"/>
            <c:size val="2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IDF_1!$U$77:$U$90</c:f>
              <c:numCache>
                <c:formatCode>0</c:formatCode>
                <c:ptCount val="14"/>
                <c:pt idx="0">
                  <c:v>61.37711291304835</c:v>
                </c:pt>
                <c:pt idx="1">
                  <c:v>41.73553126634453</c:v>
                </c:pt>
                <c:pt idx="2">
                  <c:v>33.306149647395273</c:v>
                </c:pt>
                <c:pt idx="3">
                  <c:v>28.379545524594342</c:v>
                </c:pt>
                <c:pt idx="4">
                  <c:v>22.647690384845401</c:v>
                </c:pt>
                <c:pt idx="5">
                  <c:v>19.297672264974722</c:v>
                </c:pt>
                <c:pt idx="6">
                  <c:v>17.044403480840277</c:v>
                </c:pt>
                <c:pt idx="7">
                  <c:v>15.400095333683577</c:v>
                </c:pt>
                <c:pt idx="8">
                  <c:v>14.134243384229119</c:v>
                </c:pt>
                <c:pt idx="9">
                  <c:v>13.12213243597029</c:v>
                </c:pt>
                <c:pt idx="10">
                  <c:v>12.289717279373292</c:v>
                </c:pt>
                <c:pt idx="11">
                  <c:v>11.589942905893363</c:v>
                </c:pt>
                <c:pt idx="12">
                  <c:v>10.991308210636269</c:v>
                </c:pt>
                <c:pt idx="13">
                  <c:v>10.471837624786637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AB8-45C2-8BE8-44578A4F2450}"/>
            </c:ext>
          </c:extLst>
        </c:ser>
        <c:ser>
          <c:idx val="7"/>
          <c:order val="7"/>
          <c:tx>
            <c:v>Tr=500 años</c:v>
          </c:tx>
          <c:marker>
            <c:symbol val="square"/>
            <c:size val="2"/>
            <c:spPr>
              <a:solidFill>
                <a:schemeClr val="accent2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IDF_1!$V$77:$V$90</c:f>
              <c:numCache>
                <c:formatCode>0</c:formatCode>
                <c:ptCount val="14"/>
                <c:pt idx="0">
                  <c:v>85.19505757064239</c:v>
                </c:pt>
                <c:pt idx="1">
                  <c:v>57.931382240393042</c:v>
                </c:pt>
                <c:pt idx="2">
                  <c:v>46.230902725680899</c:v>
                </c:pt>
                <c:pt idx="3">
                  <c:v>39.392485244813045</c:v>
                </c:pt>
                <c:pt idx="4">
                  <c:v>31.436331795410918</c:v>
                </c:pt>
                <c:pt idx="5">
                  <c:v>26.786308797597307</c:v>
                </c:pt>
                <c:pt idx="6">
                  <c:v>23.658638650283251</c:v>
                </c:pt>
                <c:pt idx="7">
                  <c:v>21.376241831466608</c:v>
                </c:pt>
                <c:pt idx="8">
                  <c:v>19.619164566159863</c:v>
                </c:pt>
                <c:pt idx="9">
                  <c:v>18.214294796104952</c:v>
                </c:pt>
                <c:pt idx="10">
                  <c:v>17.058853397461391</c:v>
                </c:pt>
                <c:pt idx="11">
                  <c:v>16.087525239365366</c:v>
                </c:pt>
                <c:pt idx="12">
                  <c:v>15.256584927812042</c:v>
                </c:pt>
                <c:pt idx="13">
                  <c:v>14.535529075438998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B8-45C2-8BE8-44578A4F2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27504"/>
        <c:axId val="-1854929680"/>
      </c:scatterChart>
      <c:valAx>
        <c:axId val="-1854927504"/>
        <c:scaling>
          <c:orientation val="minMax"/>
          <c:max val="12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Duración</a:t>
                </a:r>
                <a:r>
                  <a:rPr lang="es-PE" baseline="0"/>
                  <a:t> (minutos)</a:t>
                </a:r>
                <a:endParaRPr lang="es-PE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29680"/>
        <c:crosses val="autoZero"/>
        <c:crossBetween val="midCat"/>
      </c:valAx>
      <c:valAx>
        <c:axId val="-1854929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Intensidad</a:t>
                </a:r>
                <a:r>
                  <a:rPr lang="es-PE" baseline="0"/>
                  <a:t>  (mm/hr)</a:t>
                </a:r>
                <a:endParaRPr lang="es-PE"/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27504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0.81610584364632643"/>
          <c:y val="9.4820489257785717E-2"/>
          <c:w val="0.14543617891549615"/>
          <c:h val="0.23706857231441844"/>
        </c:manualLayout>
      </c:layout>
      <c:overlay val="1"/>
      <c:spPr>
        <a:solidFill>
          <a:sysClr val="window" lastClr="FFFFFF"/>
        </a:solidFill>
        <a:ln w="6350">
          <a:solidFill>
            <a:sysClr val="windowText" lastClr="000000"/>
          </a:solidFill>
        </a:ln>
      </c:spPr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Curvas IDF - Método Dick y Peschke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Tr=2 años</c:v>
          </c:tx>
          <c:marker>
            <c:symbol val="square"/>
            <c:size val="2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IDF_1!$O$137:$O$144</c:f>
              <c:numCache>
                <c:formatCode>0</c:formatCode>
                <c:ptCount val="8"/>
                <c:pt idx="0">
                  <c:v>72.366126947795124</c:v>
                </c:pt>
                <c:pt idx="1">
                  <c:v>43.029156525754054</c:v>
                </c:pt>
                <c:pt idx="2">
                  <c:v>31.746393031338091</c:v>
                </c:pt>
                <c:pt idx="3">
                  <c:v>25.585289546496263</c:v>
                </c:pt>
                <c:pt idx="4">
                  <c:v>18.876518234270026</c:v>
                </c:pt>
                <c:pt idx="5">
                  <c:v>15.213104184049048</c:v>
                </c:pt>
                <c:pt idx="6">
                  <c:v>12.868719353552702</c:v>
                </c:pt>
                <c:pt idx="7">
                  <c:v>11.224044895336268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C4-4412-91AA-77DEFD81B8BF}"/>
            </c:ext>
          </c:extLst>
        </c:ser>
        <c:ser>
          <c:idx val="1"/>
          <c:order val="1"/>
          <c:tx>
            <c:v>Tr=5 años</c:v>
          </c:tx>
          <c:marker>
            <c:symbol val="square"/>
            <c:size val="2"/>
            <c:spPr>
              <a:solidFill>
                <a:schemeClr val="accent2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IDF_1!$P$137:$P$144</c:f>
              <c:numCache>
                <c:formatCode>0</c:formatCode>
                <c:ptCount val="8"/>
                <c:pt idx="0">
                  <c:v>82.7804739477113</c:v>
                </c:pt>
                <c:pt idx="1">
                  <c:v>49.22156430095783</c:v>
                </c:pt>
                <c:pt idx="2">
                  <c:v>36.315076847491234</c:v>
                </c:pt>
                <c:pt idx="3">
                  <c:v>29.267317239131515</c:v>
                </c:pt>
                <c:pt idx="4">
                  <c:v>21.593073884453577</c:v>
                </c:pt>
                <c:pt idx="5">
                  <c:v>17.402450948908495</c:v>
                </c:pt>
                <c:pt idx="6">
                  <c:v>14.72068123744786</c:v>
                </c:pt>
                <c:pt idx="7">
                  <c:v>12.83931854908583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C4-4412-91AA-77DEFD81B8BF}"/>
            </c:ext>
          </c:extLst>
        </c:ser>
        <c:ser>
          <c:idx val="2"/>
          <c:order val="2"/>
          <c:tx>
            <c:v>Tr=10 años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IDF_1!$Q$137:$Q$144</c:f>
              <c:numCache>
                <c:formatCode>0</c:formatCode>
                <c:ptCount val="8"/>
                <c:pt idx="0">
                  <c:v>91.643188132751717</c:v>
                </c:pt>
                <c:pt idx="1">
                  <c:v>54.491365684500636</c:v>
                </c:pt>
                <c:pt idx="2">
                  <c:v>40.203072788543608</c:v>
                </c:pt>
                <c:pt idx="3">
                  <c:v>32.400759889111661</c:v>
                </c:pt>
                <c:pt idx="4">
                  <c:v>23.90489010255417</c:v>
                </c:pt>
                <c:pt idx="5">
                  <c:v>19.265607095813177</c:v>
                </c:pt>
                <c:pt idx="6">
                  <c:v>16.296719452679586</c:v>
                </c:pt>
                <c:pt idx="7">
                  <c:v>14.213932696657784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C4-4412-91AA-77DEFD81B8BF}"/>
            </c:ext>
          </c:extLst>
        </c:ser>
        <c:ser>
          <c:idx val="3"/>
          <c:order val="3"/>
          <c:tx>
            <c:v>Tr=20 años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IDF_1!$R$137:$R$144</c:f>
              <c:numCache>
                <c:formatCode>0</c:formatCode>
                <c:ptCount val="8"/>
                <c:pt idx="0">
                  <c:v>101.45476983424696</c:v>
                </c:pt>
                <c:pt idx="1">
                  <c:v>60.325367068924962</c:v>
                </c:pt>
                <c:pt idx="2">
                  <c:v>44.507328689642975</c:v>
                </c:pt>
                <c:pt idx="3">
                  <c:v>35.869677866758231</c:v>
                </c:pt>
                <c:pt idx="4">
                  <c:v>26.464215973744075</c:v>
                </c:pt>
                <c:pt idx="5">
                  <c:v>21.328238066002253</c:v>
                </c:pt>
                <c:pt idx="6">
                  <c:v>18.041492824647953</c:v>
                </c:pt>
                <c:pt idx="7">
                  <c:v>15.735716964472573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C4-4412-91AA-77DEFD81B8BF}"/>
            </c:ext>
          </c:extLst>
        </c:ser>
        <c:ser>
          <c:idx val="4"/>
          <c:order val="4"/>
          <c:tx>
            <c:v>Tr=25 años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IDF_1!$S$137:$S$144</c:f>
              <c:numCache>
                <c:formatCode>0</c:formatCode>
                <c:ptCount val="8"/>
                <c:pt idx="0">
                  <c:v>104.83173368088617</c:v>
                </c:pt>
                <c:pt idx="1">
                  <c:v>62.333321785690117</c:v>
                </c:pt>
                <c:pt idx="2">
                  <c:v>45.988773476723622</c:v>
                </c:pt>
                <c:pt idx="3">
                  <c:v>37.063614884648423</c:v>
                </c:pt>
                <c:pt idx="4">
                  <c:v>27.345088314384078</c:v>
                </c:pt>
                <c:pt idx="5">
                  <c:v>22.038157264272332</c:v>
                </c:pt>
                <c:pt idx="6">
                  <c:v>18.64201135234039</c:v>
                </c:pt>
                <c:pt idx="7">
                  <c:v>16.259486791921667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C4-4412-91AA-77DEFD81B8BF}"/>
            </c:ext>
          </c:extLst>
        </c:ser>
        <c:ser>
          <c:idx val="5"/>
          <c:order val="5"/>
          <c:tx>
            <c:v>Tr=50 años</c:v>
          </c:tx>
          <c:marker>
            <c:symbol val="square"/>
            <c:size val="2"/>
            <c:spPr>
              <a:solidFill>
                <a:schemeClr val="accent6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IDF_1!$T$137:$T$144</c:f>
              <c:numCache>
                <c:formatCode>0</c:formatCode>
                <c:ptCount val="8"/>
                <c:pt idx="0">
                  <c:v>116.05531877080529</c:v>
                </c:pt>
                <c:pt idx="1">
                  <c:v>69.006905408075241</c:v>
                </c:pt>
                <c:pt idx="2">
                  <c:v>50.91246303305816</c:v>
                </c:pt>
                <c:pt idx="3">
                  <c:v>41.031751447801447</c:v>
                </c:pt>
                <c:pt idx="4">
                  <c:v>30.272731640612889</c:v>
                </c:pt>
                <c:pt idx="5">
                  <c:v>24.397625381374336</c:v>
                </c:pt>
                <c:pt idx="6">
                  <c:v>20.637878379562693</c:v>
                </c:pt>
                <c:pt idx="7">
                  <c:v>18.000273928792438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8C4-4412-91AA-77DEFD81B8BF}"/>
            </c:ext>
          </c:extLst>
        </c:ser>
        <c:ser>
          <c:idx val="6"/>
          <c:order val="6"/>
          <c:tx>
            <c:v>Tr=100 años</c:v>
          </c:tx>
          <c:marker>
            <c:symbol val="square"/>
            <c:size val="2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IDF_1!$U$137:$U$144</c:f>
              <c:numCache>
                <c:formatCode>0</c:formatCode>
                <c:ptCount val="8"/>
                <c:pt idx="0">
                  <c:v>128.48053296526743</c:v>
                </c:pt>
                <c:pt idx="1">
                  <c:v>76.394981970818833</c:v>
                </c:pt>
                <c:pt idx="2">
                  <c:v>56.36329686862485</c:v>
                </c:pt>
                <c:pt idx="3">
                  <c:v>45.424728055101212</c:v>
                </c:pt>
                <c:pt idx="4">
                  <c:v>33.513816830589626</c:v>
                </c:pt>
                <c:pt idx="5">
                  <c:v>27.009704900095034</c:v>
                </c:pt>
                <c:pt idx="6">
                  <c:v>22.847428636296232</c:v>
                </c:pt>
                <c:pt idx="7">
                  <c:v>19.927434712917581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8C4-4412-91AA-77DEFD81B8BF}"/>
            </c:ext>
          </c:extLst>
        </c:ser>
        <c:ser>
          <c:idx val="7"/>
          <c:order val="7"/>
          <c:tx>
            <c:v>Tr=500 años</c:v>
          </c:tx>
          <c:marker>
            <c:symbol val="square"/>
            <c:size val="2"/>
            <c:spPr>
              <a:solidFill>
                <a:schemeClr val="accent2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IDF_1!$V$137:$V$144</c:f>
              <c:numCache>
                <c:formatCode>0</c:formatCode>
                <c:ptCount val="8"/>
                <c:pt idx="0">
                  <c:v>162.70548322181494</c:v>
                </c:pt>
                <c:pt idx="1">
                  <c:v>96.745259148669092</c:v>
                </c:pt>
                <c:pt idx="2">
                  <c:v>71.377486077702827</c:v>
                </c:pt>
                <c:pt idx="3">
                  <c:v>57.525075261189727</c:v>
                </c:pt>
                <c:pt idx="4">
                  <c:v>42.441307147305935</c:v>
                </c:pt>
                <c:pt idx="5">
                  <c:v>34.20461439583692</c:v>
                </c:pt>
                <c:pt idx="6">
                  <c:v>28.933581071378718</c:v>
                </c:pt>
                <c:pt idx="7">
                  <c:v>25.235752214796047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8C4-4412-91AA-77DEFD81B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31856"/>
        <c:axId val="-1854936752"/>
      </c:scatterChart>
      <c:valAx>
        <c:axId val="-1854931856"/>
        <c:scaling>
          <c:orientation val="minMax"/>
          <c:max val="6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Duración</a:t>
                </a:r>
                <a:r>
                  <a:rPr lang="es-PE" baseline="0"/>
                  <a:t> (minutos)</a:t>
                </a:r>
                <a:endParaRPr lang="es-PE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6752"/>
        <c:crosses val="autoZero"/>
        <c:crossBetween val="midCat"/>
      </c:valAx>
      <c:valAx>
        <c:axId val="-1854936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Intensidad</a:t>
                </a:r>
                <a:r>
                  <a:rPr lang="es-PE" baseline="0"/>
                  <a:t>  (mm/hr)</a:t>
                </a:r>
                <a:endParaRPr lang="es-PE"/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1856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Curvas IDF - Método de Frederick Bell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Tr=2años</c:v>
          </c:tx>
          <c:marker>
            <c:symbol val="none"/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IDF_1!$O$48:$O$61</c:f>
              <c:numCache>
                <c:formatCode>0.0</c:formatCode>
                <c:ptCount val="14"/>
                <c:pt idx="0">
                  <c:v>29.735212916709404</c:v>
                </c:pt>
                <c:pt idx="1">
                  <c:v>20.221299192354657</c:v>
                </c:pt>
                <c:pt idx="2">
                  <c:v>16.138013191764763</c:v>
                </c:pt>
                <c:pt idx="3">
                  <c:v>13.751404510607875</c:v>
                </c:pt>
                <c:pt idx="4">
                  <c:v>10.974584040643036</c:v>
                </c:pt>
                <c:pt idx="5">
                  <c:v>9.351581429835262</c:v>
                </c:pt>
                <c:pt idx="6">
                  <c:v>8.2598914137469706</c:v>
                </c:pt>
                <c:pt idx="7">
                  <c:v>7.4632170288842126</c:v>
                </c:pt>
                <c:pt idx="8">
                  <c:v>6.8498930680079066</c:v>
                </c:pt>
                <c:pt idx="9">
                  <c:v>6.3595013274010626</c:v>
                </c:pt>
                <c:pt idx="10">
                  <c:v>5.956169963138362</c:v>
                </c:pt>
                <c:pt idx="11">
                  <c:v>5.6171023910805875</c:v>
                </c:pt>
                <c:pt idx="12">
                  <c:v>5.3270371524678124</c:v>
                </c:pt>
                <c:pt idx="13">
                  <c:v>5.0753275216582745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9A-4984-8026-88FBAEAD0006}"/>
            </c:ext>
          </c:extLst>
        </c:ser>
        <c:ser>
          <c:idx val="1"/>
          <c:order val="1"/>
          <c:tx>
            <c:v>Tr=5 años</c:v>
          </c:tx>
          <c:marker>
            <c:symbol val="none"/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IDF_1!$P$48:$P$61</c:f>
              <c:numCache>
                <c:formatCode>0.0</c:formatCode>
                <c:ptCount val="14"/>
                <c:pt idx="0">
                  <c:v>35.837000759700679</c:v>
                </c:pt>
                <c:pt idx="1">
                  <c:v>24.370792855877863</c:v>
                </c:pt>
                <c:pt idx="2">
                  <c:v>19.449599793796743</c:v>
                </c:pt>
                <c:pt idx="3">
                  <c:v>16.57324920705971</c:v>
                </c:pt>
                <c:pt idx="4">
                  <c:v>13.226613769458318</c:v>
                </c:pt>
                <c:pt idx="5">
                  <c:v>11.270564355605629</c:v>
                </c:pt>
                <c:pt idx="6">
                  <c:v>9.9548550635450663</c:v>
                </c:pt>
                <c:pt idx="7">
                  <c:v>8.9946998221639944</c:v>
                </c:pt>
                <c:pt idx="8">
                  <c:v>8.2555192649763391</c:v>
                </c:pt>
                <c:pt idx="9">
                  <c:v>7.6644971246639422</c:v>
                </c:pt>
                <c:pt idx="10">
                  <c:v>7.1784005075662005</c:v>
                </c:pt>
                <c:pt idx="11">
                  <c:v>6.7697548768299871</c:v>
                </c:pt>
                <c:pt idx="12">
                  <c:v>6.4201670596636484</c:v>
                </c:pt>
                <c:pt idx="13">
                  <c:v>6.1168055785869013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9A-4984-8026-88FBAEAD0006}"/>
            </c:ext>
          </c:extLst>
        </c:ser>
        <c:ser>
          <c:idx val="2"/>
          <c:order val="2"/>
          <c:tx>
            <c:v>Tr=10 años</c:v>
          </c:tx>
          <c:marker>
            <c:symbol val="none"/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IDF_1!$Q$48:$Q$61</c:f>
              <c:numCache>
                <c:formatCode>0.0</c:formatCode>
                <c:ptCount val="14"/>
                <c:pt idx="0">
                  <c:v>41.271631301515093</c:v>
                </c:pt>
                <c:pt idx="1">
                  <c:v>28.066589166257842</c:v>
                </c:pt>
                <c:pt idx="2">
                  <c:v>22.399104127995884</c:v>
                </c:pt>
                <c:pt idx="3">
                  <c:v>19.086559037916786</c:v>
                </c:pt>
                <c:pt idx="4">
                  <c:v>15.232411063664742</c:v>
                </c:pt>
                <c:pt idx="5">
                  <c:v>12.979729519319255</c:v>
                </c:pt>
                <c:pt idx="6">
                  <c:v>11.464494771690379</c:v>
                </c:pt>
                <c:pt idx="7">
                  <c:v>10.358733344270417</c:v>
                </c:pt>
                <c:pt idx="8">
                  <c:v>9.5074570997526777</c:v>
                </c:pt>
                <c:pt idx="9">
                  <c:v>8.8268072867405554</c:v>
                </c:pt>
                <c:pt idx="10">
                  <c:v>8.2669948043206585</c:v>
                </c:pt>
                <c:pt idx="11">
                  <c:v>7.796378640936652</c:v>
                </c:pt>
                <c:pt idx="12">
                  <c:v>7.3937763251252457</c:v>
                </c:pt>
                <c:pt idx="13">
                  <c:v>7.0444105039720348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9A-4984-8026-88FBAEAD0006}"/>
            </c:ext>
          </c:extLst>
        </c:ser>
        <c:ser>
          <c:idx val="3"/>
          <c:order val="3"/>
          <c:tx>
            <c:v>Tr=20 años</c:v>
          </c:tx>
          <c:marker>
            <c:symbol val="none"/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IDF_1!$R$48:$R$61</c:f>
              <c:numCache>
                <c:formatCode>0.0</c:formatCode>
                <c:ptCount val="14"/>
                <c:pt idx="0">
                  <c:v>47.530415888029431</c:v>
                </c:pt>
                <c:pt idx="1">
                  <c:v>32.322847766420232</c:v>
                </c:pt>
                <c:pt idx="2">
                  <c:v>25.795896628002637</c:v>
                </c:pt>
                <c:pt idx="3">
                  <c:v>21.981008754318577</c:v>
                </c:pt>
                <c:pt idx="4">
                  <c:v>17.542384684145684</c:v>
                </c:pt>
                <c:pt idx="5">
                  <c:v>14.948087165741105</c:v>
                </c:pt>
                <c:pt idx="6">
                  <c:v>13.203069209056897</c:v>
                </c:pt>
                <c:pt idx="7">
                  <c:v>11.92962062316874</c:v>
                </c:pt>
                <c:pt idx="8">
                  <c:v>10.949249538683823</c:v>
                </c:pt>
                <c:pt idx="9">
                  <c:v>10.165380143015229</c:v>
                </c:pt>
                <c:pt idx="10">
                  <c:v>9.5206728884282015</c:v>
                </c:pt>
                <c:pt idx="11">
                  <c:v>8.9786884486600176</c:v>
                </c:pt>
                <c:pt idx="12">
                  <c:v>8.5150320603723699</c:v>
                </c:pt>
                <c:pt idx="13">
                  <c:v>8.1126854059558919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9A-4984-8026-88FBAEAD0006}"/>
            </c:ext>
          </c:extLst>
        </c:ser>
        <c:ser>
          <c:idx val="4"/>
          <c:order val="4"/>
          <c:tx>
            <c:v>Tr=25 años</c:v>
          </c:tx>
          <c:marker>
            <c:symbol val="none"/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IDF_1!$S$48:$S$61</c:f>
              <c:numCache>
                <c:formatCode>0.0</c:formatCode>
                <c:ptCount val="14"/>
                <c:pt idx="0">
                  <c:v>49.74073958876361</c:v>
                </c:pt>
                <c:pt idx="1">
                  <c:v>33.825968560937298</c:v>
                </c:pt>
                <c:pt idx="2">
                  <c:v>26.995492310752027</c:v>
                </c:pt>
                <c:pt idx="3">
                  <c:v>23.003199360228084</c:v>
                </c:pt>
                <c:pt idx="4">
                  <c:v>18.358164388790112</c:v>
                </c:pt>
                <c:pt idx="5">
                  <c:v>15.643223337511888</c:v>
                </c:pt>
                <c:pt idx="6">
                  <c:v>13.817056195073611</c:v>
                </c:pt>
                <c:pt idx="7">
                  <c:v>12.484387980270657</c:v>
                </c:pt>
                <c:pt idx="8">
                  <c:v>11.458426353328543</c:v>
                </c:pt>
                <c:pt idx="9">
                  <c:v>10.638104402571685</c:v>
                </c:pt>
                <c:pt idx="10">
                  <c:v>9.9634160990452596</c:v>
                </c:pt>
                <c:pt idx="11">
                  <c:v>9.3962275656400482</c:v>
                </c:pt>
                <c:pt idx="12">
                  <c:v>8.9110096007307433</c:v>
                </c:pt>
                <c:pt idx="13">
                  <c:v>8.4899524778794238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D9A-4984-8026-88FBAEAD0006}"/>
            </c:ext>
          </c:extLst>
        </c:ser>
        <c:ser>
          <c:idx val="5"/>
          <c:order val="5"/>
          <c:tx>
            <c:v>Tr=50 años</c:v>
          </c:tx>
          <c:marker>
            <c:symbol val="none"/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IDF_1!$T$48:$T$61</c:f>
              <c:numCache>
                <c:formatCode>0.0</c:formatCode>
                <c:ptCount val="14"/>
                <c:pt idx="0">
                  <c:v>57.283852483565738</c:v>
                </c:pt>
                <c:pt idx="1">
                  <c:v>38.955628910595962</c:v>
                </c:pt>
                <c:pt idx="2">
                  <c:v>31.089320585809784</c:v>
                </c:pt>
                <c:pt idx="3">
                  <c:v>26.491602048857139</c:v>
                </c:pt>
                <c:pt idx="4">
                  <c:v>21.14215408558308</c:v>
                </c:pt>
                <c:pt idx="5">
                  <c:v>18.015496059007795</c:v>
                </c:pt>
                <c:pt idx="6">
                  <c:v>15.912393249064852</c:v>
                </c:pt>
                <c:pt idx="7">
                  <c:v>14.377627782015896</c:v>
                </c:pt>
                <c:pt idx="8">
                  <c:v>13.196080523622745</c:v>
                </c:pt>
                <c:pt idx="9">
                  <c:v>12.251357907821472</c:v>
                </c:pt>
                <c:pt idx="10">
                  <c:v>11.474354076130844</c:v>
                </c:pt>
                <c:pt idx="11">
                  <c:v>10.821152202845997</c:v>
                </c:pt>
                <c:pt idx="12">
                  <c:v>10.26235161897773</c:v>
                </c:pt>
                <c:pt idx="13">
                  <c:v>9.7774417782318519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D9A-4984-8026-88FBAEAD0006}"/>
            </c:ext>
          </c:extLst>
        </c:ser>
        <c:ser>
          <c:idx val="6"/>
          <c:order val="6"/>
          <c:tx>
            <c:v>Tr=100 años</c:v>
          </c:tx>
          <c:marker>
            <c:symbol val="none"/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IDF_1!$U$48:$U$61</c:f>
              <c:numCache>
                <c:formatCode>0.0</c:formatCode>
                <c:ptCount val="14"/>
                <c:pt idx="0">
                  <c:v>65.970867793453465</c:v>
                </c:pt>
                <c:pt idx="1">
                  <c:v>44.863195006115433</c:v>
                </c:pt>
                <c:pt idx="2">
                  <c:v>35.803972135832872</c:v>
                </c:pt>
                <c:pt idx="3">
                  <c:v>30.509016077494586</c:v>
                </c:pt>
                <c:pt idx="4">
                  <c:v>24.348331887227211</c:v>
                </c:pt>
                <c:pt idx="5">
                  <c:v>20.747520587643006</c:v>
                </c:pt>
                <c:pt idx="6">
                  <c:v>18.325485207417998</c:v>
                </c:pt>
                <c:pt idx="7">
                  <c:v>16.557974725302778</c:v>
                </c:pt>
                <c:pt idx="8">
                  <c:v>15.19724749422951</c:v>
                </c:pt>
                <c:pt idx="9">
                  <c:v>14.109259028258379</c:v>
                </c:pt>
                <c:pt idx="10">
                  <c:v>13.214423663088496</c:v>
                </c:pt>
                <c:pt idx="11">
                  <c:v>12.462164648433825</c:v>
                </c:pt>
                <c:pt idx="12">
                  <c:v>11.818622745384369</c:v>
                </c:pt>
                <c:pt idx="13">
                  <c:v>11.260177012273655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9A-4984-8026-88FBAEAD0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32944"/>
        <c:axId val="-1854926960"/>
      </c:scatterChart>
      <c:valAx>
        <c:axId val="-1854932944"/>
        <c:scaling>
          <c:orientation val="minMax"/>
          <c:max val="120"/>
          <c:min val="0"/>
        </c:scaling>
        <c:delete val="0"/>
        <c:axPos val="b"/>
        <c:majorGridlines>
          <c:spPr>
            <a:ln w="6350">
              <a:solidFill>
                <a:schemeClr val="bg1">
                  <a:lumMod val="50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>
                    <a:latin typeface="Arial" pitchFamily="34" charset="0"/>
                    <a:cs typeface="Arial" pitchFamily="34" charset="0"/>
                  </a:defRPr>
                </a:pPr>
                <a:r>
                  <a:rPr lang="es-PE" sz="1050">
                    <a:latin typeface="Arial" pitchFamily="34" charset="0"/>
                    <a:cs typeface="Arial" pitchFamily="34" charset="0"/>
                  </a:rPr>
                  <a:t>Duración (minutos)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 sz="1050"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26960"/>
        <c:crosses val="autoZero"/>
        <c:crossBetween val="midCat"/>
      </c:valAx>
      <c:valAx>
        <c:axId val="-1854926960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50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50">
                    <a:latin typeface="Arial" pitchFamily="34" charset="0"/>
                    <a:cs typeface="Arial" pitchFamily="34" charset="0"/>
                  </a:defRPr>
                </a:pPr>
                <a:r>
                  <a:rPr lang="es-PE" sz="1050">
                    <a:latin typeface="Arial" pitchFamily="34" charset="0"/>
                    <a:cs typeface="Arial" pitchFamily="34" charset="0"/>
                  </a:rPr>
                  <a:t>Intensidad</a:t>
                </a:r>
                <a:r>
                  <a:rPr lang="es-PE" sz="1050" baseline="0">
                    <a:latin typeface="Arial" pitchFamily="34" charset="0"/>
                    <a:cs typeface="Arial" pitchFamily="34" charset="0"/>
                  </a:rPr>
                  <a:t> (mm/hr)</a:t>
                </a:r>
                <a:endParaRPr lang="es-PE" sz="105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 sz="1050"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2944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0.81738961949128097"/>
          <c:y val="9.152509788164459E-2"/>
          <c:w val="0.15205684367988032"/>
          <c:h val="0.29146137602919864"/>
        </c:manualLayout>
      </c:layout>
      <c:overlay val="1"/>
      <c:spPr>
        <a:solidFill>
          <a:sysClr val="window" lastClr="FFFFFF"/>
        </a:solidFill>
        <a:ln w="6350">
          <a:solidFill>
            <a:sysClr val="windowText" lastClr="000000"/>
          </a:solidFill>
        </a:ln>
      </c:spPr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Distribución de Precipitación Máxima en 24hr - HIETOGRAMA (Tr=150años)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Distribucion de Precipitación Máxima en 24hr - Hietograma (Tr=25años)</c:v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numFmt formatCode="#,##0.0" sourceLinked="0"/>
            <c:spPr>
              <a:solidFill>
                <a:schemeClr val="bg1"/>
              </a:solidFill>
              <a:ln>
                <a:noFill/>
              </a:ln>
            </c:spPr>
            <c:txPr>
              <a:bodyPr/>
              <a:lstStyle/>
              <a:p>
                <a:pPr>
                  <a:defRPr sz="10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IDF_1!$CG$190:$CG$213</c:f>
              <c:numCache>
                <c:formatCode>0.0</c:formatCode>
                <c:ptCount val="24"/>
                <c:pt idx="0">
                  <c:v>0.5066010218099557</c:v>
                </c:pt>
                <c:pt idx="1">
                  <c:v>0.5066010218099557</c:v>
                </c:pt>
                <c:pt idx="2">
                  <c:v>0.5987102985026751</c:v>
                </c:pt>
                <c:pt idx="3">
                  <c:v>0.59871029850267465</c:v>
                </c:pt>
                <c:pt idx="4">
                  <c:v>0.73687421354175386</c:v>
                </c:pt>
                <c:pt idx="5">
                  <c:v>0.73687421354175386</c:v>
                </c:pt>
                <c:pt idx="6">
                  <c:v>0.82898349023447349</c:v>
                </c:pt>
                <c:pt idx="7">
                  <c:v>1.013202043619911</c:v>
                </c:pt>
                <c:pt idx="8">
                  <c:v>1.2434752353517089</c:v>
                </c:pt>
                <c:pt idx="9">
                  <c:v>1.5658577037762278</c:v>
                </c:pt>
                <c:pt idx="10">
                  <c:v>2.4869504707034178</c:v>
                </c:pt>
                <c:pt idx="11">
                  <c:v>19.711385212241915</c:v>
                </c:pt>
                <c:pt idx="12">
                  <c:v>5.0199555797531978</c:v>
                </c:pt>
                <c:pt idx="13">
                  <c:v>2.2106226406252603</c:v>
                </c:pt>
                <c:pt idx="14">
                  <c:v>1.3816391503907894</c:v>
                </c:pt>
                <c:pt idx="15">
                  <c:v>1.3816391503907894</c:v>
                </c:pt>
                <c:pt idx="16">
                  <c:v>0.82898349023447082</c:v>
                </c:pt>
                <c:pt idx="17">
                  <c:v>0.82898349023447082</c:v>
                </c:pt>
                <c:pt idx="18">
                  <c:v>0.82898349023447793</c:v>
                </c:pt>
                <c:pt idx="19">
                  <c:v>0.82898349023447082</c:v>
                </c:pt>
                <c:pt idx="20">
                  <c:v>0.55265566015631151</c:v>
                </c:pt>
                <c:pt idx="21">
                  <c:v>0.55265566015631862</c:v>
                </c:pt>
                <c:pt idx="22">
                  <c:v>0.55265566015631151</c:v>
                </c:pt>
                <c:pt idx="23">
                  <c:v>0.55265566015631862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5-4D24-BA5B-E903C22CE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"/>
        <c:axId val="-1854937840"/>
        <c:axId val="-1854932400"/>
      </c:barChart>
      <c:catAx>
        <c:axId val="-1854937840"/>
        <c:scaling>
          <c:orientation val="minMax"/>
        </c:scaling>
        <c:delete val="0"/>
        <c:axPos val="b"/>
        <c:majorGridlines>
          <c:spPr>
            <a:ln w="6350">
              <a:solidFill>
                <a:schemeClr val="bg1">
                  <a:lumMod val="50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2400"/>
        <c:crosses val="autoZero"/>
        <c:auto val="1"/>
        <c:lblAlgn val="ctr"/>
        <c:lblOffset val="100"/>
        <c:noMultiLvlLbl val="0"/>
      </c:catAx>
      <c:valAx>
        <c:axId val="-1854932400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50000"/>
                </a:schemeClr>
              </a:solidFill>
              <a:prstDash val="sysDash"/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Precipitacion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784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/>
              <a:t>Precipitación Máxima en 24hr - ACUMULADA (Tr=150años)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Precipitación Máxima en 24hr - ACUMULADA (Tr=25 años)</c:v>
          </c:tx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</c:spPr>
          </c:marker>
          <c:xVal>
            <c:numRef>
              <c:f>(IDF_1!$M$193:$M$199,IDF_1!$M$203,IDF_1!$M$207,IDF_1!$M$211,IDF_1!$M$215,IDF_1!$M$219,IDF_1!$M$223,IDF_1!$M$227,IDF_1!$M$231:$M$241)</c:f>
              <c:numCache>
                <c:formatCode>0.00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(IDF_1!$AC$193:$AC$199,IDF_1!$AC$203,IDF_1!$AC$207,IDF_1!$AC$211,IDF_1!$AC$215,IDF_1!$AC$219,IDF_1!$AC$223,IDF_1!$AC$227,IDF_1!$AC$231,IDF_1!$AC$232:$AC$241)</c:f>
              <c:numCache>
                <c:formatCode>0.0</c:formatCode>
                <c:ptCount val="25"/>
                <c:pt idx="0">
                  <c:v>0</c:v>
                </c:pt>
                <c:pt idx="1">
                  <c:v>0.5066010218099557</c:v>
                </c:pt>
                <c:pt idx="2">
                  <c:v>1.0132020436199114</c:v>
                </c:pt>
                <c:pt idx="3">
                  <c:v>1.6119123421225865</c:v>
                </c:pt>
                <c:pt idx="4">
                  <c:v>2.2106226406252611</c:v>
                </c:pt>
                <c:pt idx="5">
                  <c:v>2.947496854167015</c:v>
                </c:pt>
                <c:pt idx="6">
                  <c:v>3.6843710677087689</c:v>
                </c:pt>
                <c:pt idx="7">
                  <c:v>4.5133545579432424</c:v>
                </c:pt>
                <c:pt idx="8">
                  <c:v>5.5265566015631533</c:v>
                </c:pt>
                <c:pt idx="9">
                  <c:v>6.7700318369148622</c:v>
                </c:pt>
                <c:pt idx="10">
                  <c:v>8.33588954069109</c:v>
                </c:pt>
                <c:pt idx="11">
                  <c:v>10.822840011394508</c:v>
                </c:pt>
                <c:pt idx="12">
                  <c:v>30.534225223636422</c:v>
                </c:pt>
                <c:pt idx="13">
                  <c:v>35.55418080338962</c:v>
                </c:pt>
                <c:pt idx="14">
                  <c:v>37.764803444014881</c:v>
                </c:pt>
                <c:pt idx="15">
                  <c:v>39.14644259440567</c:v>
                </c:pt>
                <c:pt idx="16">
                  <c:v>40.528081744796459</c:v>
                </c:pt>
                <c:pt idx="17">
                  <c:v>41.35706523503093</c:v>
                </c:pt>
                <c:pt idx="18">
                  <c:v>42.186048725265401</c:v>
                </c:pt>
                <c:pt idx="19">
                  <c:v>43.015032215499879</c:v>
                </c:pt>
                <c:pt idx="20">
                  <c:v>43.84401570573435</c:v>
                </c:pt>
                <c:pt idx="21">
                  <c:v>44.396671365890661</c:v>
                </c:pt>
                <c:pt idx="22">
                  <c:v>44.94932702604698</c:v>
                </c:pt>
                <c:pt idx="23">
                  <c:v>45.501982686203291</c:v>
                </c:pt>
                <c:pt idx="24">
                  <c:v>46.05463834635961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54-44E4-93BD-E427968FE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35664"/>
        <c:axId val="-1854931312"/>
      </c:scatterChart>
      <c:valAx>
        <c:axId val="-1854935664"/>
        <c:scaling>
          <c:orientation val="minMax"/>
          <c:max val="24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1312"/>
        <c:crosses val="autoZero"/>
        <c:crossBetween val="midCat"/>
        <c:majorUnit val="2"/>
      </c:valAx>
      <c:valAx>
        <c:axId val="-18549313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Acumulada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56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Distribución de Precipitación Máxima en 24hr - HIETOGRAMA (Tr=500años)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Distribucion de Precipitación Máxima en 24hr - Hietograma (Tr=25años)</c:v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numFmt formatCode="#,##0.0" sourceLinked="0"/>
            <c:spPr>
              <a:solidFill>
                <a:schemeClr val="bg1"/>
              </a:solidFill>
              <a:ln>
                <a:noFill/>
              </a:ln>
            </c:spPr>
            <c:txPr>
              <a:bodyPr/>
              <a:lstStyle/>
              <a:p>
                <a:pPr>
                  <a:defRPr sz="10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IDF_1!$CH$190:$CH$213</c:f>
              <c:numCache>
                <c:formatCode>0.0</c:formatCode>
                <c:ptCount val="24"/>
                <c:pt idx="0">
                  <c:v>0.55958362690595509</c:v>
                </c:pt>
                <c:pt idx="1">
                  <c:v>0.55958362690595509</c:v>
                </c:pt>
                <c:pt idx="2">
                  <c:v>0.66132610452522012</c:v>
                </c:pt>
                <c:pt idx="3">
                  <c:v>0.66132610452521967</c:v>
                </c:pt>
                <c:pt idx="4">
                  <c:v>0.81393982095411666</c:v>
                </c:pt>
                <c:pt idx="5">
                  <c:v>0.81393982095411666</c:v>
                </c:pt>
                <c:pt idx="6">
                  <c:v>0.91568229857338146</c:v>
                </c:pt>
                <c:pt idx="7">
                  <c:v>1.1191672538119093</c:v>
                </c:pt>
                <c:pt idx="8">
                  <c:v>1.3735234478600722</c:v>
                </c:pt>
                <c:pt idx="9">
                  <c:v>1.7296221195274972</c:v>
                </c:pt>
                <c:pt idx="10">
                  <c:v>2.7470468957201444</c:v>
                </c:pt>
                <c:pt idx="11">
                  <c:v>21.772890210522622</c:v>
                </c:pt>
                <c:pt idx="12">
                  <c:v>5.5449650302499194</c:v>
                </c:pt>
                <c:pt idx="13">
                  <c:v>2.4418194628623482</c:v>
                </c:pt>
                <c:pt idx="14">
                  <c:v>1.5261371642889685</c:v>
                </c:pt>
                <c:pt idx="15">
                  <c:v>1.5261371642889685</c:v>
                </c:pt>
                <c:pt idx="16">
                  <c:v>0.91568229857337968</c:v>
                </c:pt>
                <c:pt idx="17">
                  <c:v>0.91568229857338679</c:v>
                </c:pt>
                <c:pt idx="18">
                  <c:v>0.91568229857337968</c:v>
                </c:pt>
                <c:pt idx="19">
                  <c:v>0.91568229857337258</c:v>
                </c:pt>
                <c:pt idx="20">
                  <c:v>0.61045486571558882</c:v>
                </c:pt>
                <c:pt idx="21">
                  <c:v>0.61045486571558882</c:v>
                </c:pt>
                <c:pt idx="22">
                  <c:v>0.61045486571558882</c:v>
                </c:pt>
                <c:pt idx="23">
                  <c:v>0.61045486571558882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A-43AC-B184-3FF3A3082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"/>
        <c:axId val="-1854936208"/>
        <c:axId val="-1854929136"/>
      </c:barChart>
      <c:catAx>
        <c:axId val="-1854936208"/>
        <c:scaling>
          <c:orientation val="minMax"/>
        </c:scaling>
        <c:delete val="0"/>
        <c:axPos val="b"/>
        <c:majorGridlines>
          <c:spPr>
            <a:ln w="6350">
              <a:solidFill>
                <a:schemeClr val="bg1">
                  <a:lumMod val="50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29136"/>
        <c:crosses val="autoZero"/>
        <c:auto val="1"/>
        <c:lblAlgn val="ctr"/>
        <c:lblOffset val="100"/>
        <c:noMultiLvlLbl val="0"/>
      </c:catAx>
      <c:valAx>
        <c:axId val="-1854929136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50000"/>
                </a:schemeClr>
              </a:solidFill>
              <a:prstDash val="sysDash"/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Precipitacion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620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/>
              <a:t>Precipitación Máxima en 24hr - ACUMULADA (Tr=500años)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Precipitación Máxima en 24hr - ACUMULADA (Tr=25 años)</c:v>
          </c:tx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</c:spPr>
          </c:marker>
          <c:xVal>
            <c:numRef>
              <c:f>(IDF_1!$M$193:$M$199,IDF_1!$M$203,IDF_1!$M$207,IDF_1!$M$211,IDF_1!$M$215,IDF_1!$M$219,IDF_1!$M$223,IDF_1!$M$227,IDF_1!$M$231:$M$241)</c:f>
              <c:numCache>
                <c:formatCode>0.00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(IDF_1!$AE$193:$AE$199,IDF_1!$AE$203,IDF_1!$AE$207,IDF_1!$AE$211,IDF_1!$AE$215,IDF_1!$AE$219,IDF_1!$AE$223,IDF_1!$AE$227,IDF_1!$AE$231,IDF_1!$AE$232:$AE$241)</c:f>
              <c:numCache>
                <c:formatCode>0.0</c:formatCode>
                <c:ptCount val="25"/>
                <c:pt idx="0">
                  <c:v>0</c:v>
                </c:pt>
                <c:pt idx="1">
                  <c:v>0.55958362690595509</c:v>
                </c:pt>
                <c:pt idx="2">
                  <c:v>1.1191672538119102</c:v>
                </c:pt>
                <c:pt idx="3">
                  <c:v>1.7804933583371303</c:v>
                </c:pt>
                <c:pt idx="4">
                  <c:v>2.44181946286235</c:v>
                </c:pt>
                <c:pt idx="5">
                  <c:v>3.2557592838164666</c:v>
                </c:pt>
                <c:pt idx="6">
                  <c:v>4.0696991047705833</c:v>
                </c:pt>
                <c:pt idx="7">
                  <c:v>4.9853814033439647</c:v>
                </c:pt>
                <c:pt idx="8">
                  <c:v>6.104548657155874</c:v>
                </c:pt>
                <c:pt idx="9">
                  <c:v>7.4780721050159462</c:v>
                </c:pt>
                <c:pt idx="10">
                  <c:v>9.2076942245434434</c:v>
                </c:pt>
                <c:pt idx="11">
                  <c:v>11.954741120263588</c:v>
                </c:pt>
                <c:pt idx="12">
                  <c:v>33.72763133078621</c:v>
                </c:pt>
                <c:pt idx="13">
                  <c:v>39.272596361036129</c:v>
                </c:pt>
                <c:pt idx="14">
                  <c:v>41.714415823898477</c:v>
                </c:pt>
                <c:pt idx="15">
                  <c:v>43.240552988187446</c:v>
                </c:pt>
                <c:pt idx="16">
                  <c:v>44.766690152476414</c:v>
                </c:pt>
                <c:pt idx="17">
                  <c:v>45.682372451049794</c:v>
                </c:pt>
                <c:pt idx="18">
                  <c:v>46.598054749623181</c:v>
                </c:pt>
                <c:pt idx="19">
                  <c:v>47.51373704819656</c:v>
                </c:pt>
                <c:pt idx="20">
                  <c:v>48.429419346769933</c:v>
                </c:pt>
                <c:pt idx="21">
                  <c:v>49.039874212485522</c:v>
                </c:pt>
                <c:pt idx="22">
                  <c:v>49.650329078201111</c:v>
                </c:pt>
                <c:pt idx="23">
                  <c:v>50.260783943916699</c:v>
                </c:pt>
                <c:pt idx="24">
                  <c:v>50.871238809632288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E1-4CB3-8834-B3F21B9DE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25872"/>
        <c:axId val="-1854928592"/>
      </c:scatterChart>
      <c:valAx>
        <c:axId val="-1854925872"/>
        <c:scaling>
          <c:orientation val="minMax"/>
          <c:max val="24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28592"/>
        <c:crosses val="autoZero"/>
        <c:crossBetween val="midCat"/>
        <c:majorUnit val="2"/>
      </c:valAx>
      <c:valAx>
        <c:axId val="-18549285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Acumulada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2587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Comparación Métodos IDF (Tr=2 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F. Bell</c:v>
          </c:tx>
          <c:spPr>
            <a:ln>
              <a:solidFill>
                <a:srgbClr val="F79646"/>
              </a:solidFill>
            </a:ln>
          </c:spPr>
          <c:marker>
            <c:symbol val="square"/>
            <c:size val="2"/>
            <c:spPr>
              <a:solidFill>
                <a:srgbClr val="F79646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IDF_1!$O$48:$O$61</c:f>
              <c:numCache>
                <c:formatCode>0.0</c:formatCode>
                <c:ptCount val="14"/>
                <c:pt idx="0">
                  <c:v>29.735212916709404</c:v>
                </c:pt>
                <c:pt idx="1">
                  <c:v>20.221299192354657</c:v>
                </c:pt>
                <c:pt idx="2">
                  <c:v>16.138013191764763</c:v>
                </c:pt>
                <c:pt idx="3">
                  <c:v>13.751404510607875</c:v>
                </c:pt>
                <c:pt idx="4">
                  <c:v>10.974584040643036</c:v>
                </c:pt>
                <c:pt idx="5">
                  <c:v>9.351581429835262</c:v>
                </c:pt>
                <c:pt idx="6">
                  <c:v>8.2598914137469706</c:v>
                </c:pt>
                <c:pt idx="7">
                  <c:v>7.4632170288842126</c:v>
                </c:pt>
                <c:pt idx="8">
                  <c:v>6.8498930680079066</c:v>
                </c:pt>
                <c:pt idx="9">
                  <c:v>6.3595013274010626</c:v>
                </c:pt>
                <c:pt idx="10">
                  <c:v>5.956169963138362</c:v>
                </c:pt>
                <c:pt idx="11">
                  <c:v>5.6171023910805875</c:v>
                </c:pt>
                <c:pt idx="12">
                  <c:v>5.3270371524678124</c:v>
                </c:pt>
                <c:pt idx="13">
                  <c:v>5.0753275216582745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8F-424C-BA5C-FCE50A10D62A}"/>
            </c:ext>
          </c:extLst>
        </c:ser>
        <c:ser>
          <c:idx val="1"/>
          <c:order val="1"/>
          <c:tx>
            <c:v>F.Bell - Y.Tueros</c:v>
          </c:tx>
          <c:spPr>
            <a:ln>
              <a:solidFill>
                <a:srgbClr val="C00000"/>
              </a:solidFill>
            </a:ln>
          </c:spPr>
          <c:marker>
            <c:symbol val="square"/>
            <c:size val="2"/>
            <c:spPr>
              <a:solidFill>
                <a:srgbClr val="C00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IDF_1!$O$77:$O$90</c:f>
              <c:numCache>
                <c:formatCode>0</c:formatCode>
                <c:ptCount val="14"/>
                <c:pt idx="0">
                  <c:v>27.660422096061193</c:v>
                </c:pt>
                <c:pt idx="1">
                  <c:v>18.808678943010804</c:v>
                </c:pt>
                <c:pt idx="2">
                  <c:v>15.009864653403712</c:v>
                </c:pt>
                <c:pt idx="3">
                  <c:v>12.789624191296562</c:v>
                </c:pt>
                <c:pt idx="4">
                  <c:v>10.206486519383882</c:v>
                </c:pt>
                <c:pt idx="5">
                  <c:v>8.6967557610090154</c:v>
                </c:pt>
                <c:pt idx="6">
                  <c:v>7.6812898534917649</c:v>
                </c:pt>
                <c:pt idx="7">
                  <c:v>6.9402602538952456</c:v>
                </c:pt>
                <c:pt idx="8">
                  <c:v>6.3697870339730924</c:v>
                </c:pt>
                <c:pt idx="9">
                  <c:v>5.9136656117005186</c:v>
                </c:pt>
                <c:pt idx="10">
                  <c:v>5.5385265167214053</c:v>
                </c:pt>
                <c:pt idx="11">
                  <c:v>5.2231637760548164</c:v>
                </c:pt>
                <c:pt idx="12">
                  <c:v>4.9533809927620238</c:v>
                </c:pt>
                <c:pt idx="13">
                  <c:v>4.7192745809559664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8F-424C-BA5C-FCE50A10D62A}"/>
            </c:ext>
          </c:extLst>
        </c:ser>
        <c:ser>
          <c:idx val="2"/>
          <c:order val="2"/>
          <c:tx>
            <c:v>Dick-Peschke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IDF_1!$O$137:$O$144</c:f>
              <c:numCache>
                <c:formatCode>0</c:formatCode>
                <c:ptCount val="8"/>
                <c:pt idx="0">
                  <c:v>72.366126947795124</c:v>
                </c:pt>
                <c:pt idx="1">
                  <c:v>43.029156525754054</c:v>
                </c:pt>
                <c:pt idx="2">
                  <c:v>31.746393031338091</c:v>
                </c:pt>
                <c:pt idx="3">
                  <c:v>25.585289546496263</c:v>
                </c:pt>
                <c:pt idx="4">
                  <c:v>18.876518234270026</c:v>
                </c:pt>
                <c:pt idx="5">
                  <c:v>15.213104184049048</c:v>
                </c:pt>
                <c:pt idx="6">
                  <c:v>12.868719353552702</c:v>
                </c:pt>
                <c:pt idx="7">
                  <c:v>11.224044895336268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8F-424C-BA5C-FCE50A10D62A}"/>
            </c:ext>
          </c:extLst>
        </c:ser>
        <c:ser>
          <c:idx val="3"/>
          <c:order val="3"/>
          <c:tx>
            <c:v>SCS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IDF_1!$BC$213:$BC$222</c:f>
              <c:numCache>
                <c:formatCode>0.0</c:formatCode>
                <c:ptCount val="10"/>
                <c:pt idx="0">
                  <c:v>69.545154954285351</c:v>
                </c:pt>
                <c:pt idx="1">
                  <c:v>41.621668151668828</c:v>
                </c:pt>
                <c:pt idx="2">
                  <c:v>30.825037634177217</c:v>
                </c:pt>
                <c:pt idx="3">
                  <c:v>24.909905813947653</c:v>
                </c:pt>
                <c:pt idx="4">
                  <c:v>18.448294320658061</c:v>
                </c:pt>
                <c:pt idx="5">
                  <c:v>11.041010472742242</c:v>
                </c:pt>
                <c:pt idx="6">
                  <c:v>6.6078690062255836</c:v>
                </c:pt>
                <c:pt idx="7">
                  <c:v>4.8937925807389817</c:v>
                </c:pt>
                <c:pt idx="8">
                  <c:v>2.0062895015053437</c:v>
                </c:pt>
                <c:pt idx="9">
                  <c:v>1.0490673426236992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8F-424C-BA5C-FCE50A10D62A}"/>
            </c:ext>
          </c:extLst>
        </c:ser>
        <c:ser>
          <c:idx val="4"/>
          <c:order val="4"/>
          <c:tx>
            <c:v>MTC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IDF_1!$O$286:$O$295</c:f>
              <c:numCache>
                <c:formatCode>0</c:formatCode>
                <c:ptCount val="10"/>
                <c:pt idx="0">
                  <c:v>78.016637150405188</c:v>
                </c:pt>
                <c:pt idx="1">
                  <c:v>41.706273027244428</c:v>
                </c:pt>
                <c:pt idx="2">
                  <c:v>28.913446455536565</c:v>
                </c:pt>
                <c:pt idx="3">
                  <c:v>22.295413816282675</c:v>
                </c:pt>
                <c:pt idx="4">
                  <c:v>15.456601772112627</c:v>
                </c:pt>
                <c:pt idx="5">
                  <c:v>8.2628177415331141</c:v>
                </c:pt>
                <c:pt idx="6">
                  <c:v>4.4171518446556028</c:v>
                </c:pt>
                <c:pt idx="7">
                  <c:v>3.0622511693383654</c:v>
                </c:pt>
                <c:pt idx="8">
                  <c:v>1.031836188213229</c:v>
                </c:pt>
                <c:pt idx="9">
                  <c:v>0.4678248379086466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C8F-424C-BA5C-FCE50A10D62A}"/>
            </c:ext>
          </c:extLst>
        </c:ser>
        <c:ser>
          <c:idx val="5"/>
          <c:order val="5"/>
          <c:tx>
            <c:v>IILA-UNI-SENAMHI</c:v>
          </c:tx>
          <c:spPr>
            <a:ln>
              <a:solidFill>
                <a:srgbClr val="FFC000"/>
              </a:solidFill>
            </a:ln>
          </c:spPr>
          <c:marker>
            <c:symbol val="square"/>
            <c:size val="2"/>
            <c:spPr>
              <a:solidFill>
                <a:srgbClr val="FFC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IDF_1!$Y$352:$Y$361</c:f>
              <c:numCache>
                <c:formatCode>0</c:formatCode>
                <c:ptCount val="10"/>
                <c:pt idx="0">
                  <c:v>100.28703536120874</c:v>
                </c:pt>
                <c:pt idx="1">
                  <c:v>75.529992048940414</c:v>
                </c:pt>
                <c:pt idx="2">
                  <c:v>63.987585658281724</c:v>
                </c:pt>
                <c:pt idx="3">
                  <c:v>56.884518306537011</c:v>
                </c:pt>
                <c:pt idx="4">
                  <c:v>48.191491737628155</c:v>
                </c:pt>
                <c:pt idx="5">
                  <c:v>36.294850821540543</c:v>
                </c:pt>
                <c:pt idx="6">
                  <c:v>27.335036718303432</c:v>
                </c:pt>
                <c:pt idx="7">
                  <c:v>23.157727891078924</c:v>
                </c:pt>
                <c:pt idx="8">
                  <c:v>14.152443921928606</c:v>
                </c:pt>
                <c:pt idx="9">
                  <c:v>9.8928149218768375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C8F-424C-BA5C-FCE50A10D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28048"/>
        <c:axId val="-1854926416"/>
      </c:scatterChart>
      <c:valAx>
        <c:axId val="-1854928048"/>
        <c:scaling>
          <c:logBase val="10"/>
          <c:orientation val="minMax"/>
          <c:max val="144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Duración (minutos)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26416"/>
        <c:crosses val="autoZero"/>
        <c:crossBetween val="midCat"/>
      </c:valAx>
      <c:valAx>
        <c:axId val="-1854926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Intensidad</a:t>
                </a:r>
                <a:r>
                  <a:rPr lang="es-PE" baseline="0"/>
                  <a:t>  (mm/hr)</a:t>
                </a:r>
                <a:endParaRPr lang="es-PE"/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2804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Comparación Métodos IDF (Tr=5 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F. Bell</c:v>
          </c:tx>
          <c:spPr>
            <a:ln>
              <a:solidFill>
                <a:srgbClr val="F79646"/>
              </a:solidFill>
            </a:ln>
          </c:spPr>
          <c:marker>
            <c:symbol val="square"/>
            <c:size val="2"/>
            <c:spPr>
              <a:solidFill>
                <a:srgbClr val="F79646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IDF_1!$P$48:$P$61</c:f>
              <c:numCache>
                <c:formatCode>0.0</c:formatCode>
                <c:ptCount val="14"/>
                <c:pt idx="0">
                  <c:v>35.837000759700679</c:v>
                </c:pt>
                <c:pt idx="1">
                  <c:v>24.370792855877863</c:v>
                </c:pt>
                <c:pt idx="2">
                  <c:v>19.449599793796743</c:v>
                </c:pt>
                <c:pt idx="3">
                  <c:v>16.57324920705971</c:v>
                </c:pt>
                <c:pt idx="4">
                  <c:v>13.226613769458318</c:v>
                </c:pt>
                <c:pt idx="5">
                  <c:v>11.270564355605629</c:v>
                </c:pt>
                <c:pt idx="6">
                  <c:v>9.9548550635450663</c:v>
                </c:pt>
                <c:pt idx="7">
                  <c:v>8.9946998221639944</c:v>
                </c:pt>
                <c:pt idx="8">
                  <c:v>8.2555192649763391</c:v>
                </c:pt>
                <c:pt idx="9">
                  <c:v>7.6644971246639422</c:v>
                </c:pt>
                <c:pt idx="10">
                  <c:v>7.1784005075662005</c:v>
                </c:pt>
                <c:pt idx="11">
                  <c:v>6.7697548768299871</c:v>
                </c:pt>
                <c:pt idx="12">
                  <c:v>6.4201670596636484</c:v>
                </c:pt>
                <c:pt idx="13">
                  <c:v>6.1168055785869013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7F-4A6B-BC23-153F9ACB21B5}"/>
            </c:ext>
          </c:extLst>
        </c:ser>
        <c:ser>
          <c:idx val="1"/>
          <c:order val="1"/>
          <c:tx>
            <c:v>F.Bell - Y.Tueros</c:v>
          </c:tx>
          <c:spPr>
            <a:ln>
              <a:solidFill>
                <a:srgbClr val="C00000"/>
              </a:solidFill>
            </a:ln>
          </c:spPr>
          <c:marker>
            <c:symbol val="square"/>
            <c:size val="2"/>
            <c:spPr>
              <a:solidFill>
                <a:srgbClr val="C00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IDF_1!$P$77:$P$90</c:f>
              <c:numCache>
                <c:formatCode>0</c:formatCode>
                <c:ptCount val="14"/>
                <c:pt idx="0">
                  <c:v>33.337650122238934</c:v>
                </c:pt>
                <c:pt idx="1">
                  <c:v>22.669110243003352</c:v>
                </c:pt>
                <c:pt idx="2">
                  <c:v>18.090599429738621</c:v>
                </c:pt>
                <c:pt idx="3">
                  <c:v>15.414660521217545</c:v>
                </c:pt>
                <c:pt idx="4">
                  <c:v>12.301340716308907</c:v>
                </c:pt>
                <c:pt idx="5">
                  <c:v>10.481741737425255</c:v>
                </c:pt>
                <c:pt idx="6">
                  <c:v>9.2578541547157851</c:v>
                </c:pt>
                <c:pt idx="7">
                  <c:v>8.3647302018065695</c:v>
                </c:pt>
                <c:pt idx="8">
                  <c:v>7.6771688716206521</c:v>
                </c:pt>
                <c:pt idx="9">
                  <c:v>7.1274297412425085</c:v>
                </c:pt>
                <c:pt idx="10">
                  <c:v>6.6752943453272042</c:v>
                </c:pt>
                <c:pt idx="11">
                  <c:v>6.2952042413721303</c:v>
                </c:pt>
                <c:pt idx="12">
                  <c:v>5.9700492597458874</c:v>
                </c:pt>
                <c:pt idx="13">
                  <c:v>5.687893129913201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7F-4A6B-BC23-153F9ACB21B5}"/>
            </c:ext>
          </c:extLst>
        </c:ser>
        <c:ser>
          <c:idx val="2"/>
          <c:order val="2"/>
          <c:tx>
            <c:v>Dick-Peschke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IDF_1!$P$137:$P$144</c:f>
              <c:numCache>
                <c:formatCode>0</c:formatCode>
                <c:ptCount val="8"/>
                <c:pt idx="0">
                  <c:v>82.7804739477113</c:v>
                </c:pt>
                <c:pt idx="1">
                  <c:v>49.22156430095783</c:v>
                </c:pt>
                <c:pt idx="2">
                  <c:v>36.315076847491234</c:v>
                </c:pt>
                <c:pt idx="3">
                  <c:v>29.267317239131515</c:v>
                </c:pt>
                <c:pt idx="4">
                  <c:v>21.593073884453577</c:v>
                </c:pt>
                <c:pt idx="5">
                  <c:v>17.402450948908495</c:v>
                </c:pt>
                <c:pt idx="6">
                  <c:v>14.72068123744786</c:v>
                </c:pt>
                <c:pt idx="7">
                  <c:v>12.83931854908583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7F-4A6B-BC23-153F9ACB21B5}"/>
            </c:ext>
          </c:extLst>
        </c:ser>
        <c:ser>
          <c:idx val="3"/>
          <c:order val="3"/>
          <c:tx>
            <c:v>SCS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IDF_1!$BD$213:$BD$222</c:f>
              <c:numCache>
                <c:formatCode>0.0</c:formatCode>
                <c:ptCount val="10"/>
                <c:pt idx="0">
                  <c:v>79.508275604545801</c:v>
                </c:pt>
                <c:pt idx="1">
                  <c:v>47.584437258053953</c:v>
                </c:pt>
                <c:pt idx="2">
                  <c:v>35.241068761004151</c:v>
                </c:pt>
                <c:pt idx="3">
                  <c:v>28.478528202870692</c:v>
                </c:pt>
                <c:pt idx="4">
                  <c:v>21.091218651318492</c:v>
                </c:pt>
                <c:pt idx="5">
                  <c:v>12.622758611962425</c:v>
                </c:pt>
                <c:pt idx="6">
                  <c:v>7.5545200877195837</c:v>
                </c:pt>
                <c:pt idx="7">
                  <c:v>5.5948830585918534</c:v>
                </c:pt>
                <c:pt idx="8">
                  <c:v>2.2937128939183462</c:v>
                </c:pt>
                <c:pt idx="9">
                  <c:v>1.1993579633244296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7F-4A6B-BC23-153F9ACB21B5}"/>
            </c:ext>
          </c:extLst>
        </c:ser>
        <c:ser>
          <c:idx val="4"/>
          <c:order val="4"/>
          <c:tx>
            <c:v>MTC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IDF_1!$P$286:$P$295</c:f>
              <c:numCache>
                <c:formatCode>0</c:formatCode>
                <c:ptCount val="10"/>
                <c:pt idx="0">
                  <c:v>89.244159823229751</c:v>
                </c:pt>
                <c:pt idx="1">
                  <c:v>47.708302121495969</c:v>
                </c:pt>
                <c:pt idx="2">
                  <c:v>33.07443554050829</c:v>
                </c:pt>
                <c:pt idx="3">
                  <c:v>25.503989233853332</c:v>
                </c:pt>
                <c:pt idx="4">
                  <c:v>17.68099073810529</c:v>
                </c:pt>
                <c:pt idx="5">
                  <c:v>9.4519355620773453</c:v>
                </c:pt>
                <c:pt idx="6">
                  <c:v>5.0528325699036021</c:v>
                </c:pt>
                <c:pt idx="7">
                  <c:v>3.502945560809601</c:v>
                </c:pt>
                <c:pt idx="8">
                  <c:v>1.1803296970461039</c:v>
                </c:pt>
                <c:pt idx="9">
                  <c:v>0.53515040033200112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A7F-4A6B-BC23-153F9ACB21B5}"/>
            </c:ext>
          </c:extLst>
        </c:ser>
        <c:ser>
          <c:idx val="5"/>
          <c:order val="5"/>
          <c:tx>
            <c:v>IILA-UNI-SENAMHI</c:v>
          </c:tx>
          <c:spPr>
            <a:ln>
              <a:solidFill>
                <a:srgbClr val="FFC000"/>
              </a:solidFill>
            </a:ln>
          </c:spPr>
          <c:marker>
            <c:symbol val="square"/>
            <c:size val="2"/>
            <c:spPr>
              <a:solidFill>
                <a:srgbClr val="FFC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IDF_1!$Z$352:$Z$361</c:f>
              <c:numCache>
                <c:formatCode>0</c:formatCode>
                <c:ptCount val="10"/>
                <c:pt idx="0">
                  <c:v>113.64405219691177</c:v>
                </c:pt>
                <c:pt idx="1">
                  <c:v>85.589670967203062</c:v>
                </c:pt>
                <c:pt idx="2">
                  <c:v>72.509956030835909</c:v>
                </c:pt>
                <c:pt idx="3">
                  <c:v>64.460846253361211</c:v>
                </c:pt>
                <c:pt idx="4">
                  <c:v>54.610013973914391</c:v>
                </c:pt>
                <c:pt idx="5">
                  <c:v>41.128884769463639</c:v>
                </c:pt>
                <c:pt idx="6">
                  <c:v>30.975732091697296</c:v>
                </c:pt>
                <c:pt idx="7">
                  <c:v>26.242056390806574</c:v>
                </c:pt>
                <c:pt idx="8">
                  <c:v>16.037377812442855</c:v>
                </c:pt>
                <c:pt idx="9">
                  <c:v>11.210417890077794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A7F-4A6B-BC23-153F9ACB2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40016"/>
        <c:axId val="-1854940560"/>
      </c:scatterChart>
      <c:valAx>
        <c:axId val="-1854940016"/>
        <c:scaling>
          <c:logBase val="10"/>
          <c:orientation val="minMax"/>
          <c:max val="144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40560"/>
        <c:crosses val="autoZero"/>
        <c:crossBetween val="midCat"/>
      </c:valAx>
      <c:valAx>
        <c:axId val="-1854940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40016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Comparación Métodos IDF (Tr=10 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F. Bell</c:v>
          </c:tx>
          <c:spPr>
            <a:ln>
              <a:solidFill>
                <a:srgbClr val="F79646"/>
              </a:solidFill>
            </a:ln>
          </c:spPr>
          <c:marker>
            <c:symbol val="square"/>
            <c:size val="2"/>
            <c:spPr>
              <a:solidFill>
                <a:srgbClr val="F79646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IDF_1!$Q$48:$Q$61</c:f>
              <c:numCache>
                <c:formatCode>0.0</c:formatCode>
                <c:ptCount val="14"/>
                <c:pt idx="0">
                  <c:v>41.271631301515093</c:v>
                </c:pt>
                <c:pt idx="1">
                  <c:v>28.066589166257842</c:v>
                </c:pt>
                <c:pt idx="2">
                  <c:v>22.399104127995884</c:v>
                </c:pt>
                <c:pt idx="3">
                  <c:v>19.086559037916786</c:v>
                </c:pt>
                <c:pt idx="4">
                  <c:v>15.232411063664742</c:v>
                </c:pt>
                <c:pt idx="5">
                  <c:v>12.979729519319255</c:v>
                </c:pt>
                <c:pt idx="6">
                  <c:v>11.464494771690379</c:v>
                </c:pt>
                <c:pt idx="7">
                  <c:v>10.358733344270417</c:v>
                </c:pt>
                <c:pt idx="8">
                  <c:v>9.5074570997526777</c:v>
                </c:pt>
                <c:pt idx="9">
                  <c:v>8.8268072867405554</c:v>
                </c:pt>
                <c:pt idx="10">
                  <c:v>8.2669948043206585</c:v>
                </c:pt>
                <c:pt idx="11">
                  <c:v>7.796378640936652</c:v>
                </c:pt>
                <c:pt idx="12">
                  <c:v>7.3937763251252457</c:v>
                </c:pt>
                <c:pt idx="13">
                  <c:v>7.0444105039720348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2-462A-B532-2A9F126E17E6}"/>
            </c:ext>
          </c:extLst>
        </c:ser>
        <c:ser>
          <c:idx val="1"/>
          <c:order val="1"/>
          <c:tx>
            <c:v>F.Bell - Y.Tueros</c:v>
          </c:tx>
          <c:spPr>
            <a:ln>
              <a:solidFill>
                <a:srgbClr val="C00000"/>
              </a:solidFill>
            </a:ln>
          </c:spPr>
          <c:marker>
            <c:symbol val="square"/>
            <c:size val="2"/>
            <c:spPr>
              <a:solidFill>
                <a:srgbClr val="C00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IDF_1!$Q$77:$Q$90</c:f>
              <c:numCache>
                <c:formatCode>0</c:formatCode>
                <c:ptCount val="14"/>
                <c:pt idx="0">
                  <c:v>38.39429945557476</c:v>
                </c:pt>
                <c:pt idx="1">
                  <c:v>26.107557187442659</c:v>
                </c:pt>
                <c:pt idx="2">
                  <c:v>20.834578600754337</c:v>
                </c:pt>
                <c:pt idx="3">
                  <c:v>17.752753715021147</c:v>
                </c:pt>
                <c:pt idx="4">
                  <c:v>14.167206069870986</c:v>
                </c:pt>
                <c:pt idx="5">
                  <c:v>12.07161061463783</c:v>
                </c:pt>
                <c:pt idx="6">
                  <c:v>10.662083962992982</c:v>
                </c:pt>
                <c:pt idx="7">
                  <c:v>9.6334911145705835</c:v>
                </c:pt>
                <c:pt idx="8">
                  <c:v>8.8416405939599088</c:v>
                </c:pt>
                <c:pt idx="9">
                  <c:v>8.208517121945734</c:v>
                </c:pt>
                <c:pt idx="10">
                  <c:v>7.6878019029190368</c:v>
                </c:pt>
                <c:pt idx="11">
                  <c:v>7.2500597939868685</c:v>
                </c:pt>
                <c:pt idx="12">
                  <c:v>6.8755853577787214</c:v>
                </c:pt>
                <c:pt idx="13">
                  <c:v>6.5506318321912786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2-462A-B532-2A9F126E17E6}"/>
            </c:ext>
          </c:extLst>
        </c:ser>
        <c:ser>
          <c:idx val="2"/>
          <c:order val="2"/>
          <c:tx>
            <c:v>Dick-Peschke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IDF_1!$Q$137:$Q$144</c:f>
              <c:numCache>
                <c:formatCode>0</c:formatCode>
                <c:ptCount val="8"/>
                <c:pt idx="0">
                  <c:v>91.643188132751717</c:v>
                </c:pt>
                <c:pt idx="1">
                  <c:v>54.491365684500636</c:v>
                </c:pt>
                <c:pt idx="2">
                  <c:v>40.203072788543608</c:v>
                </c:pt>
                <c:pt idx="3">
                  <c:v>32.400759889111661</c:v>
                </c:pt>
                <c:pt idx="4">
                  <c:v>23.90489010255417</c:v>
                </c:pt>
                <c:pt idx="5">
                  <c:v>19.265607095813177</c:v>
                </c:pt>
                <c:pt idx="6">
                  <c:v>16.296719452679586</c:v>
                </c:pt>
                <c:pt idx="7">
                  <c:v>14.213932696657784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2-462A-B532-2A9F126E17E6}"/>
            </c:ext>
          </c:extLst>
        </c:ser>
        <c:ser>
          <c:idx val="3"/>
          <c:order val="3"/>
          <c:tx>
            <c:v>SCS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IDF_1!$BE$213:$BE$222</c:f>
              <c:numCache>
                <c:formatCode>0.0</c:formatCode>
                <c:ptCount val="10"/>
                <c:pt idx="0">
                  <c:v>87.982778611697626</c:v>
                </c:pt>
                <c:pt idx="1">
                  <c:v>52.656292402324617</c:v>
                </c:pt>
                <c:pt idx="2">
                  <c:v>38.997288361034045</c:v>
                </c:pt>
                <c:pt idx="3">
                  <c:v>31.513952767916685</c:v>
                </c:pt>
                <c:pt idx="4">
                  <c:v>23.339256286722524</c:v>
                </c:pt>
                <c:pt idx="5">
                  <c:v>13.96817335026812</c:v>
                </c:pt>
                <c:pt idx="6">
                  <c:v>8.359729390954783</c:v>
                </c:pt>
                <c:pt idx="7">
                  <c:v>6.191221652834848</c:v>
                </c:pt>
                <c:pt idx="8">
                  <c:v>2.5381915556583396</c:v>
                </c:pt>
                <c:pt idx="9">
                  <c:v>1.32719324323161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82-462A-B532-2A9F126E17E6}"/>
            </c:ext>
          </c:extLst>
        </c:ser>
        <c:ser>
          <c:idx val="4"/>
          <c:order val="4"/>
          <c:tx>
            <c:v>MTC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IDF_1!$Q$286:$Q$295</c:f>
              <c:numCache>
                <c:formatCode>0</c:formatCode>
                <c:ptCount val="10"/>
                <c:pt idx="0">
                  <c:v>98.79889469581525</c:v>
                </c:pt>
                <c:pt idx="1">
                  <c:v>52.816089330149254</c:v>
                </c:pt>
                <c:pt idx="2">
                  <c:v>36.615479159227171</c:v>
                </c:pt>
                <c:pt idx="3">
                  <c:v>28.234519229378193</c:v>
                </c:pt>
                <c:pt idx="4">
                  <c:v>19.57396815110193</c:v>
                </c:pt>
                <c:pt idx="5">
                  <c:v>10.46388680356244</c:v>
                </c:pt>
                <c:pt idx="6">
                  <c:v>5.5938032693490483</c:v>
                </c:pt>
                <c:pt idx="7">
                  <c:v>3.8779809264058613</c:v>
                </c:pt>
                <c:pt idx="8">
                  <c:v>1.3066991686154823</c:v>
                </c:pt>
                <c:pt idx="9">
                  <c:v>0.59244513202378091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82-462A-B532-2A9F126E17E6}"/>
            </c:ext>
          </c:extLst>
        </c:ser>
        <c:ser>
          <c:idx val="5"/>
          <c:order val="5"/>
          <c:tx>
            <c:v>IILA-UNI-SENAMHI</c:v>
          </c:tx>
          <c:spPr>
            <a:ln>
              <a:solidFill>
                <a:srgbClr val="FFC000"/>
              </a:solidFill>
            </a:ln>
          </c:spPr>
          <c:marker>
            <c:symbol val="square"/>
            <c:size val="2"/>
            <c:spPr>
              <a:solidFill>
                <a:srgbClr val="FFC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IDF_1!$AA$352:$AA$361</c:f>
              <c:numCache>
                <c:formatCode>0</c:formatCode>
                <c:ptCount val="10"/>
                <c:pt idx="0">
                  <c:v>124.91785724065258</c:v>
                </c:pt>
                <c:pt idx="1">
                  <c:v>94.080403615228022</c:v>
                </c:pt>
                <c:pt idx="2">
                  <c:v>79.703144695082401</c:v>
                </c:pt>
                <c:pt idx="3">
                  <c:v>70.855540912398482</c:v>
                </c:pt>
                <c:pt idx="4">
                  <c:v>60.027478760466614</c:v>
                </c:pt>
                <c:pt idx="5">
                  <c:v>45.208984163965994</c:v>
                </c:pt>
                <c:pt idx="6">
                  <c:v>34.0486105920508</c:v>
                </c:pt>
                <c:pt idx="7">
                  <c:v>28.845341138029323</c:v>
                </c:pt>
                <c:pt idx="8">
                  <c:v>17.628330153327518</c:v>
                </c:pt>
                <c:pt idx="9">
                  <c:v>12.322522424441061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D82-462A-B532-2A9F126E1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54939472"/>
        <c:axId val="-1793198416"/>
      </c:scatterChart>
      <c:valAx>
        <c:axId val="-1854939472"/>
        <c:scaling>
          <c:logBase val="10"/>
          <c:orientation val="minMax"/>
          <c:max val="144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8416"/>
        <c:crosses val="autoZero"/>
        <c:crossBetween val="midCat"/>
      </c:valAx>
      <c:valAx>
        <c:axId val="-1793198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854939472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Distribución de Precipitación Máxima en 24hr - HIETOGRAMA (Tr=50años)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Distribucion de Precipitación Máxima en 24hr - Hietograma (Tr=25años)</c:v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numFmt formatCode="#,##0.0" sourceLinked="0"/>
            <c:spPr>
              <a:solidFill>
                <a:schemeClr val="bg1"/>
              </a:solidFill>
              <a:ln>
                <a:noFill/>
              </a:ln>
            </c:spPr>
            <c:txPr>
              <a:bodyPr/>
              <a:lstStyle/>
              <a:p>
                <a:pPr>
                  <a:defRPr sz="10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IDF_1!$CE$190:$CE$213</c:f>
              <c:numCache>
                <c:formatCode>0.0</c:formatCode>
                <c:ptCount val="24"/>
                <c:pt idx="0">
                  <c:v>0.45420896281492612</c:v>
                </c:pt>
                <c:pt idx="1">
                  <c:v>0.45420896281492612</c:v>
                </c:pt>
                <c:pt idx="2">
                  <c:v>0.53679241059945826</c:v>
                </c:pt>
                <c:pt idx="3">
                  <c:v>0.53679241059945815</c:v>
                </c:pt>
                <c:pt idx="4">
                  <c:v>0.66066758227625622</c:v>
                </c:pt>
                <c:pt idx="5">
                  <c:v>0.66066758227625622</c:v>
                </c:pt>
                <c:pt idx="6">
                  <c:v>0.74325103006078796</c:v>
                </c:pt>
                <c:pt idx="7">
                  <c:v>0.9084179256298528</c:v>
                </c:pt>
                <c:pt idx="8">
                  <c:v>1.1148765450911817</c:v>
                </c:pt>
                <c:pt idx="9">
                  <c:v>1.4039186123370442</c:v>
                </c:pt>
                <c:pt idx="10">
                  <c:v>2.2297530901823643</c:v>
                </c:pt>
                <c:pt idx="11">
                  <c:v>17.672857825889857</c:v>
                </c:pt>
                <c:pt idx="12">
                  <c:v>4.500797904256995</c:v>
                </c:pt>
                <c:pt idx="13">
                  <c:v>1.982002746828762</c:v>
                </c:pt>
                <c:pt idx="14">
                  <c:v>1.238751716767986</c:v>
                </c:pt>
                <c:pt idx="15">
                  <c:v>1.2387517167679789</c:v>
                </c:pt>
                <c:pt idx="16">
                  <c:v>0.74325103006079019</c:v>
                </c:pt>
                <c:pt idx="17">
                  <c:v>0.74325103006079019</c:v>
                </c:pt>
                <c:pt idx="18">
                  <c:v>0.74325103006079019</c:v>
                </c:pt>
                <c:pt idx="19">
                  <c:v>0.74325103006078308</c:v>
                </c:pt>
                <c:pt idx="20">
                  <c:v>0.49550068670718872</c:v>
                </c:pt>
                <c:pt idx="21">
                  <c:v>0.49550068670719583</c:v>
                </c:pt>
                <c:pt idx="22">
                  <c:v>0.49550068670718872</c:v>
                </c:pt>
                <c:pt idx="23">
                  <c:v>0.49550068670719583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7-4178-B0D6-C562A0050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"/>
        <c:axId val="-1793200048"/>
        <c:axId val="-1793201136"/>
      </c:barChart>
      <c:catAx>
        <c:axId val="-1793200048"/>
        <c:scaling>
          <c:orientation val="minMax"/>
        </c:scaling>
        <c:delete val="0"/>
        <c:axPos val="b"/>
        <c:majorGridlines>
          <c:spPr>
            <a:ln w="6350">
              <a:solidFill>
                <a:schemeClr val="bg1">
                  <a:lumMod val="50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1136"/>
        <c:crosses val="autoZero"/>
        <c:auto val="1"/>
        <c:lblAlgn val="ctr"/>
        <c:lblOffset val="100"/>
        <c:noMultiLvlLbl val="0"/>
      </c:catAx>
      <c:valAx>
        <c:axId val="-1793201136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50000"/>
                </a:schemeClr>
              </a:solidFill>
              <a:prstDash val="sysDash"/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Precipitacion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004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Distribución de Precipitación Máxima en 24hr - HIETOGRAMA (Tr=100años)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Distribucion de Precipitación Máxima en 24hr - Hietograma (Tr=25años)</c:v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numFmt formatCode="#,##0.0" sourceLinked="0"/>
            <c:spPr>
              <a:solidFill>
                <a:schemeClr val="bg1"/>
              </a:solidFill>
              <a:ln>
                <a:noFill/>
              </a:ln>
            </c:spPr>
            <c:txPr>
              <a:bodyPr/>
              <a:lstStyle/>
              <a:p>
                <a:pPr>
                  <a:defRPr sz="10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IDF_1!$CF$190:$CF$213</c:f>
              <c:numCache>
                <c:formatCode>0.000</c:formatCode>
                <c:ptCount val="24"/>
                <c:pt idx="0">
                  <c:v>0.48780024657203774</c:v>
                </c:pt>
                <c:pt idx="1">
                  <c:v>0.48780024657203774</c:v>
                </c:pt>
                <c:pt idx="2">
                  <c:v>0.57649120049422653</c:v>
                </c:pt>
                <c:pt idx="3">
                  <c:v>0.57649120049422664</c:v>
                </c:pt>
                <c:pt idx="4">
                  <c:v>0.7095276313775094</c:v>
                </c:pt>
                <c:pt idx="5">
                  <c:v>0.7095276313775094</c:v>
                </c:pt>
                <c:pt idx="6">
                  <c:v>0.79821858529969791</c:v>
                </c:pt>
                <c:pt idx="7">
                  <c:v>0.97560049314407582</c:v>
                </c:pt>
                <c:pt idx="8">
                  <c:v>1.1973278779495464</c:v>
                </c:pt>
                <c:pt idx="9">
                  <c:v>1.5077462166772078</c:v>
                </c:pt>
                <c:pt idx="10">
                  <c:v>2.3946557558990946</c:v>
                </c:pt>
                <c:pt idx="11">
                  <c:v>18.979864139348379</c:v>
                </c:pt>
                <c:pt idx="12">
                  <c:v>4.8336569887592802</c:v>
                </c:pt>
                <c:pt idx="13">
                  <c:v>2.1285828941325278</c:v>
                </c:pt>
                <c:pt idx="14">
                  <c:v>1.3303643088328343</c:v>
                </c:pt>
                <c:pt idx="15">
                  <c:v>1.3303643088328272</c:v>
                </c:pt>
                <c:pt idx="16">
                  <c:v>0.79821858529970058</c:v>
                </c:pt>
                <c:pt idx="17">
                  <c:v>0.79821858529970058</c:v>
                </c:pt>
                <c:pt idx="18">
                  <c:v>0.79821858529970058</c:v>
                </c:pt>
                <c:pt idx="19">
                  <c:v>0.79821858529969347</c:v>
                </c:pt>
                <c:pt idx="20">
                  <c:v>0.53214572353312661</c:v>
                </c:pt>
                <c:pt idx="21">
                  <c:v>0.53214572353313372</c:v>
                </c:pt>
                <c:pt idx="22">
                  <c:v>0.53214572353313372</c:v>
                </c:pt>
                <c:pt idx="23">
                  <c:v>0.53214572353313372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A1-4014-A805-9788F8F6C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"/>
        <c:axId val="-1793196784"/>
        <c:axId val="-1793203312"/>
      </c:barChart>
      <c:catAx>
        <c:axId val="-1793196784"/>
        <c:scaling>
          <c:orientation val="minMax"/>
        </c:scaling>
        <c:delete val="0"/>
        <c:axPos val="b"/>
        <c:majorGridlines>
          <c:spPr>
            <a:ln w="6350">
              <a:solidFill>
                <a:schemeClr val="bg1">
                  <a:lumMod val="50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3312"/>
        <c:crosses val="autoZero"/>
        <c:auto val="1"/>
        <c:lblAlgn val="ctr"/>
        <c:lblOffset val="100"/>
        <c:noMultiLvlLbl val="0"/>
      </c:catAx>
      <c:valAx>
        <c:axId val="-17932033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50000"/>
                </a:schemeClr>
              </a:solidFill>
              <a:prstDash val="sysDash"/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Precipitacion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6784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/>
              <a:t>Precipitación Máxima en 24hr - ACUMULADA (Tr=50 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Precipitación Máxima en 24hr - ACUMULADA (Tr=25 años)</c:v>
          </c:tx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</c:spPr>
          </c:marker>
          <c:xVal>
            <c:numRef>
              <c:f>(IDF_1!$M$193:$M$199,IDF_1!$M$203,IDF_1!$M$207,IDF_1!$M$211,IDF_1!$M$215,IDF_1!$M$219,IDF_1!$M$223,IDF_1!$M$227,IDF_1!$M$231:$M$241)</c:f>
              <c:numCache>
                <c:formatCode>0.00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(IDF_1!$Y$193:$Y$199,IDF_1!$Y$203,IDF_1!$Y$207,IDF_1!$Y$211,IDF_1!$Y$215,IDF_1!$Y$219,IDF_1!$Y$223,IDF_1!$Y$227,IDF_1!$Y$231:$Y$241)</c:f>
              <c:numCache>
                <c:formatCode>0.0</c:formatCode>
                <c:ptCount val="25"/>
                <c:pt idx="0">
                  <c:v>0</c:v>
                </c:pt>
                <c:pt idx="1">
                  <c:v>0.45420896281492612</c:v>
                </c:pt>
                <c:pt idx="2">
                  <c:v>0.90841792562985224</c:v>
                </c:pt>
                <c:pt idx="3">
                  <c:v>1.4452103362293105</c:v>
                </c:pt>
                <c:pt idx="4">
                  <c:v>1.9820027468287686</c:v>
                </c:pt>
                <c:pt idx="5">
                  <c:v>2.6426703291050249</c:v>
                </c:pt>
                <c:pt idx="6">
                  <c:v>3.3033379113812811</c:v>
                </c:pt>
                <c:pt idx="7">
                  <c:v>4.046588941442069</c:v>
                </c:pt>
                <c:pt idx="8">
                  <c:v>4.9550068670719218</c:v>
                </c:pt>
                <c:pt idx="9">
                  <c:v>6.0698834121631036</c:v>
                </c:pt>
                <c:pt idx="10">
                  <c:v>7.4738020245001477</c:v>
                </c:pt>
                <c:pt idx="11">
                  <c:v>9.7035551146825121</c:v>
                </c:pt>
                <c:pt idx="12">
                  <c:v>27.376412940572369</c:v>
                </c:pt>
                <c:pt idx="13">
                  <c:v>31.877210844829364</c:v>
                </c:pt>
                <c:pt idx="14">
                  <c:v>33.859213591658126</c:v>
                </c:pt>
                <c:pt idx="15">
                  <c:v>35.097965308426112</c:v>
                </c:pt>
                <c:pt idx="16">
                  <c:v>36.336717025194091</c:v>
                </c:pt>
                <c:pt idx="17">
                  <c:v>37.079968055254881</c:v>
                </c:pt>
                <c:pt idx="18">
                  <c:v>37.823219085315671</c:v>
                </c:pt>
                <c:pt idx="19">
                  <c:v>38.566470115376461</c:v>
                </c:pt>
                <c:pt idx="20">
                  <c:v>39.309721145437244</c:v>
                </c:pt>
                <c:pt idx="21">
                  <c:v>39.805221832144433</c:v>
                </c:pt>
                <c:pt idx="22">
                  <c:v>40.300722518851629</c:v>
                </c:pt>
                <c:pt idx="23">
                  <c:v>40.796223205558817</c:v>
                </c:pt>
                <c:pt idx="24">
                  <c:v>41.291723892266013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EE-470B-9BDB-54426898C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3207664"/>
        <c:axId val="-1793207120"/>
      </c:scatterChart>
      <c:valAx>
        <c:axId val="-1793207664"/>
        <c:scaling>
          <c:orientation val="minMax"/>
          <c:max val="24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7120"/>
        <c:crosses val="autoZero"/>
        <c:crossBetween val="midCat"/>
        <c:majorUnit val="2"/>
      </c:valAx>
      <c:valAx>
        <c:axId val="-17932071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Acumulada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76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/>
              <a:t>Precipitación Máxima en 24hr - ACUMULADA (Tr=100años)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Precipitación Máxima en 24hr - ACUMULADA (Tr=25 años)</c:v>
          </c:tx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</c:spPr>
          </c:marker>
          <c:xVal>
            <c:numRef>
              <c:f>(IDF_1!$M$193:$M$199,IDF_1!$M$203,IDF_1!$M$207,IDF_1!$M$211,IDF_1!$M$215,IDF_1!$M$219,IDF_1!$M$223,IDF_1!$M$227,IDF_1!$M$231:$M$241)</c:f>
              <c:numCache>
                <c:formatCode>0.00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(IDF_1!$AA$193:$AA$199,IDF_1!$AA$203,IDF_1!$AA$207,IDF_1!$AA$211,IDF_1!$AA$215,IDF_1!$AA$219,IDF_1!$AA$223,IDF_1!$AA$227,IDF_1!$AA$231:$AA$241)</c:f>
              <c:numCache>
                <c:formatCode>0.0</c:formatCode>
                <c:ptCount val="25"/>
                <c:pt idx="0">
                  <c:v>0</c:v>
                </c:pt>
                <c:pt idx="1">
                  <c:v>0.48780024657203774</c:v>
                </c:pt>
                <c:pt idx="2">
                  <c:v>0.97560049314407549</c:v>
                </c:pt>
                <c:pt idx="3">
                  <c:v>1.552091693638302</c:v>
                </c:pt>
                <c:pt idx="4">
                  <c:v>2.1285828941325287</c:v>
                </c:pt>
                <c:pt idx="5">
                  <c:v>2.8381105255100381</c:v>
                </c:pt>
                <c:pt idx="6">
                  <c:v>3.5476381568875475</c:v>
                </c:pt>
                <c:pt idx="7">
                  <c:v>4.3458567421872454</c:v>
                </c:pt>
                <c:pt idx="8">
                  <c:v>5.3214572353313212</c:v>
                </c:pt>
                <c:pt idx="9">
                  <c:v>6.5187851132808676</c:v>
                </c:pt>
                <c:pt idx="10">
                  <c:v>8.0265313299580754</c:v>
                </c:pt>
                <c:pt idx="11">
                  <c:v>10.42118708585717</c:v>
                </c:pt>
                <c:pt idx="12">
                  <c:v>29.401051225205549</c:v>
                </c:pt>
                <c:pt idx="13">
                  <c:v>34.234708213964829</c:v>
                </c:pt>
                <c:pt idx="14">
                  <c:v>36.363291108097357</c:v>
                </c:pt>
                <c:pt idx="15">
                  <c:v>37.693655416930191</c:v>
                </c:pt>
                <c:pt idx="16">
                  <c:v>39.024019725763019</c:v>
                </c:pt>
                <c:pt idx="17">
                  <c:v>39.822238311062719</c:v>
                </c:pt>
                <c:pt idx="18">
                  <c:v>40.62045689636242</c:v>
                </c:pt>
                <c:pt idx="19">
                  <c:v>41.41867548166212</c:v>
                </c:pt>
                <c:pt idx="20">
                  <c:v>42.216894066961814</c:v>
                </c:pt>
                <c:pt idx="21">
                  <c:v>42.74903979049494</c:v>
                </c:pt>
                <c:pt idx="22">
                  <c:v>43.281185514028074</c:v>
                </c:pt>
                <c:pt idx="23">
                  <c:v>43.813331237561208</c:v>
                </c:pt>
                <c:pt idx="24">
                  <c:v>44.345476961094342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7D-4BD2-8CFF-082F854F6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3194064"/>
        <c:axId val="-1793194608"/>
      </c:scatterChart>
      <c:valAx>
        <c:axId val="-1793194064"/>
        <c:scaling>
          <c:orientation val="minMax"/>
          <c:max val="24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4608"/>
        <c:crosses val="autoZero"/>
        <c:crossBetween val="midCat"/>
        <c:majorUnit val="2"/>
      </c:valAx>
      <c:valAx>
        <c:axId val="-17931946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Acumulada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40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Curvas IDF - Método del NRCS (ex SCS)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Tr=2 años</c:v>
          </c:tx>
          <c:marker>
            <c:symbol val="square"/>
            <c:size val="2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IDF_1!$BC$213:$BC$222</c:f>
              <c:numCache>
                <c:formatCode>0.0</c:formatCode>
                <c:ptCount val="10"/>
                <c:pt idx="0">
                  <c:v>69.545154954285351</c:v>
                </c:pt>
                <c:pt idx="1">
                  <c:v>41.621668151668828</c:v>
                </c:pt>
                <c:pt idx="2">
                  <c:v>30.825037634177217</c:v>
                </c:pt>
                <c:pt idx="3">
                  <c:v>24.909905813947653</c:v>
                </c:pt>
                <c:pt idx="4">
                  <c:v>18.448294320658061</c:v>
                </c:pt>
                <c:pt idx="5">
                  <c:v>11.041010472742242</c:v>
                </c:pt>
                <c:pt idx="6">
                  <c:v>6.6078690062255836</c:v>
                </c:pt>
                <c:pt idx="7">
                  <c:v>4.8937925807389817</c:v>
                </c:pt>
                <c:pt idx="8">
                  <c:v>2.0062895015053437</c:v>
                </c:pt>
                <c:pt idx="9">
                  <c:v>1.0490673426236992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B2-41BC-9D67-A5184951B58D}"/>
            </c:ext>
          </c:extLst>
        </c:ser>
        <c:ser>
          <c:idx val="1"/>
          <c:order val="1"/>
          <c:tx>
            <c:v>Tr=5 años</c:v>
          </c:tx>
          <c:marker>
            <c:symbol val="square"/>
            <c:size val="2"/>
            <c:spPr>
              <a:solidFill>
                <a:schemeClr val="accent2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IDF_1!$BD$213:$BD$222</c:f>
              <c:numCache>
                <c:formatCode>0.0</c:formatCode>
                <c:ptCount val="10"/>
                <c:pt idx="0">
                  <c:v>79.508275604545801</c:v>
                </c:pt>
                <c:pt idx="1">
                  <c:v>47.584437258053953</c:v>
                </c:pt>
                <c:pt idx="2">
                  <c:v>35.241068761004151</c:v>
                </c:pt>
                <c:pt idx="3">
                  <c:v>28.478528202870692</c:v>
                </c:pt>
                <c:pt idx="4">
                  <c:v>21.091218651318492</c:v>
                </c:pt>
                <c:pt idx="5">
                  <c:v>12.622758611962425</c:v>
                </c:pt>
                <c:pt idx="6">
                  <c:v>7.5545200877195837</c:v>
                </c:pt>
                <c:pt idx="7">
                  <c:v>5.5948830585918534</c:v>
                </c:pt>
                <c:pt idx="8">
                  <c:v>2.2937128939183462</c:v>
                </c:pt>
                <c:pt idx="9">
                  <c:v>1.1993579633244296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B2-41BC-9D67-A5184951B58D}"/>
            </c:ext>
          </c:extLst>
        </c:ser>
        <c:ser>
          <c:idx val="2"/>
          <c:order val="2"/>
          <c:tx>
            <c:v>Tr=10 años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IDF_1!$BE$213:$BE$222</c:f>
              <c:numCache>
                <c:formatCode>0.0</c:formatCode>
                <c:ptCount val="10"/>
                <c:pt idx="0">
                  <c:v>87.982778611697626</c:v>
                </c:pt>
                <c:pt idx="1">
                  <c:v>52.656292402324617</c:v>
                </c:pt>
                <c:pt idx="2">
                  <c:v>38.997288361034045</c:v>
                </c:pt>
                <c:pt idx="3">
                  <c:v>31.513952767916685</c:v>
                </c:pt>
                <c:pt idx="4">
                  <c:v>23.339256286722524</c:v>
                </c:pt>
                <c:pt idx="5">
                  <c:v>13.96817335026812</c:v>
                </c:pt>
                <c:pt idx="6">
                  <c:v>8.359729390954783</c:v>
                </c:pt>
                <c:pt idx="7">
                  <c:v>6.191221652834848</c:v>
                </c:pt>
                <c:pt idx="8">
                  <c:v>2.5381915556583396</c:v>
                </c:pt>
                <c:pt idx="9">
                  <c:v>1.32719324323161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B2-41BC-9D67-A5184951B58D}"/>
            </c:ext>
          </c:extLst>
        </c:ser>
        <c:ser>
          <c:idx val="3"/>
          <c:order val="3"/>
          <c:tx>
            <c:v>Tr=20 años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IDF_1!$BF$213:$BF$222</c:f>
              <c:numCache>
                <c:formatCode>0.0</c:formatCode>
                <c:ptCount val="10"/>
                <c:pt idx="0">
                  <c:v>97.360548614293123</c:v>
                </c:pt>
                <c:pt idx="1">
                  <c:v>58.268738464272069</c:v>
                </c:pt>
                <c:pt idx="2">
                  <c:v>43.153869986952934</c:v>
                </c:pt>
                <c:pt idx="3">
                  <c:v>34.872912391532033</c:v>
                </c:pt>
                <c:pt idx="4">
                  <c:v>25.826904221262925</c:v>
                </c:pt>
                <c:pt idx="5">
                  <c:v>15.456991038253511</c:v>
                </c:pt>
                <c:pt idx="6">
                  <c:v>9.2507630767434765</c:v>
                </c:pt>
                <c:pt idx="7">
                  <c:v>6.8511218470718944</c:v>
                </c:pt>
                <c:pt idx="8">
                  <c:v>2.8087283244110526</c:v>
                </c:pt>
                <c:pt idx="9">
                  <c:v>1.4686540288582426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B2-41BC-9D67-A5184951B58D}"/>
            </c:ext>
          </c:extLst>
        </c:ser>
        <c:ser>
          <c:idx val="4"/>
          <c:order val="4"/>
          <c:tx>
            <c:v>Tr=50 años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IDF_1!$BG$213:$BG$222</c:f>
              <c:numCache>
                <c:formatCode>0.0</c:formatCode>
                <c:ptCount val="10"/>
                <c:pt idx="0">
                  <c:v>111.30853525775342</c:v>
                </c:pt>
                <c:pt idx="1">
                  <c:v>66.616386432554307</c:v>
                </c:pt>
                <c:pt idx="2">
                  <c:v>49.336144129390107</c:v>
                </c:pt>
                <c:pt idx="3">
                  <c:v>39.868846814443067</c:v>
                </c:pt>
                <c:pt idx="4">
                  <c:v>29.526896879965129</c:v>
                </c:pt>
                <c:pt idx="5">
                  <c:v>17.671377744348909</c:v>
                </c:pt>
                <c:pt idx="6">
                  <c:v>10.576038269546688</c:v>
                </c:pt>
                <c:pt idx="7">
                  <c:v>7.8326216164933777</c:v>
                </c:pt>
                <c:pt idx="8">
                  <c:v>3.2111100458739767</c:v>
                </c:pt>
                <c:pt idx="9">
                  <c:v>1.6790551314602018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B2-41BC-9D67-A5184951B58D}"/>
            </c:ext>
          </c:extLst>
        </c:ser>
        <c:ser>
          <c:idx val="5"/>
          <c:order val="5"/>
          <c:tx>
            <c:v>Tr=100 años</c:v>
          </c:tx>
          <c:marker>
            <c:symbol val="square"/>
            <c:size val="2"/>
            <c:spPr>
              <a:solidFill>
                <a:schemeClr val="accent6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IDF_1!$BH$213:$BH$222</c:f>
              <c:numCache>
                <c:formatCode>0.0</c:formatCode>
                <c:ptCount val="10"/>
                <c:pt idx="0">
                  <c:v>123.17251431642597</c:v>
                </c:pt>
                <c:pt idx="1">
                  <c:v>73.716789036632335</c:v>
                </c:pt>
                <c:pt idx="2">
                  <c:v>54.594707450085352</c:v>
                </c:pt>
                <c:pt idx="3">
                  <c:v>44.118324741761569</c:v>
                </c:pt>
                <c:pt idx="4">
                  <c:v>32.674063316396058</c:v>
                </c:pt>
                <c:pt idx="5">
                  <c:v>19.554906756848823</c:v>
                </c:pt>
                <c:pt idx="6">
                  <c:v>11.703300399652576</c:v>
                </c:pt>
                <c:pt idx="7">
                  <c:v>8.6674727680011916</c:v>
                </c:pt>
                <c:pt idx="8">
                  <c:v>3.5533707921062674</c:v>
                </c:pt>
                <c:pt idx="9">
                  <c:v>1.8580196185219695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6B2-41BC-9D67-A5184951B58D}"/>
            </c:ext>
          </c:extLst>
        </c:ser>
        <c:ser>
          <c:idx val="6"/>
          <c:order val="6"/>
          <c:tx>
            <c:v>Tr=150 años</c:v>
          </c:tx>
          <c:marker>
            <c:symbol val="square"/>
            <c:size val="2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IDF_1!$BI$213:$BI$222</c:f>
              <c:numCache>
                <c:formatCode>0.0</c:formatCode>
                <c:ptCount val="10"/>
                <c:pt idx="0">
                  <c:v>130.69036793293856</c:v>
                </c:pt>
                <c:pt idx="1">
                  <c:v>78.216104749495358</c:v>
                </c:pt>
                <c:pt idx="2">
                  <c:v>57.926903931775065</c:v>
                </c:pt>
                <c:pt idx="3">
                  <c:v>46.811093571358299</c:v>
                </c:pt>
                <c:pt idx="4">
                  <c:v>34.668329865492325</c:v>
                </c:pt>
                <c:pt idx="5">
                  <c:v>20.748443539778137</c:v>
                </c:pt>
                <c:pt idx="6">
                  <c:v>12.417613164338325</c:v>
                </c:pt>
                <c:pt idx="7">
                  <c:v>9.1964933198391297</c:v>
                </c:pt>
                <c:pt idx="8">
                  <c:v>3.7702513324484062</c:v>
                </c:pt>
                <c:pt idx="9">
                  <c:v>1.9714241356431561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6B2-41BC-9D67-A5184951B58D}"/>
            </c:ext>
          </c:extLst>
        </c:ser>
        <c:ser>
          <c:idx val="7"/>
          <c:order val="7"/>
          <c:tx>
            <c:v>Tr=500 años</c:v>
          </c:tx>
          <c:marker>
            <c:symbol val="square"/>
            <c:size val="2"/>
            <c:spPr>
              <a:solidFill>
                <a:schemeClr val="accent2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IDF_1!$BJ$213:$BJ$222</c:f>
              <c:numCache>
                <c:formatCode>0.0</c:formatCode>
                <c:ptCount val="10"/>
                <c:pt idx="0">
                  <c:v>155.82767865384537</c:v>
                </c:pt>
                <c:pt idx="1">
                  <c:v>93.260385055416222</c:v>
                </c:pt>
                <c:pt idx="2">
                  <c:v>69.068708842603186</c:v>
                </c:pt>
                <c:pt idx="3">
                  <c:v>55.814855844737792</c:v>
                </c:pt>
                <c:pt idx="4">
                  <c:v>41.336522738366881</c:v>
                </c:pt>
                <c:pt idx="5">
                  <c:v>24.739250823312791</c:v>
                </c:pt>
                <c:pt idx="6">
                  <c:v>14.806047793921488</c:v>
                </c:pt>
                <c:pt idx="7">
                  <c:v>10.965369739577755</c:v>
                </c:pt>
                <c:pt idx="8">
                  <c:v>4.4954308597437924</c:v>
                </c:pt>
                <c:pt idx="9">
                  <c:v>2.3506127617382795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6B2-41BC-9D67-A5184951B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3192976"/>
        <c:axId val="-1793199504"/>
      </c:scatterChart>
      <c:valAx>
        <c:axId val="-1793192976"/>
        <c:scaling>
          <c:orientation val="minMax"/>
          <c:max val="12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Duración</a:t>
                </a:r>
                <a:r>
                  <a:rPr lang="es-PE" baseline="0"/>
                  <a:t> (minutos)</a:t>
                </a:r>
                <a:endParaRPr lang="es-PE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9504"/>
        <c:crosses val="autoZero"/>
        <c:crossBetween val="midCat"/>
      </c:valAx>
      <c:valAx>
        <c:axId val="-1793199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Intensidad</a:t>
                </a:r>
                <a:r>
                  <a:rPr lang="es-PE" baseline="0"/>
                  <a:t>  (mm/hr)</a:t>
                </a:r>
                <a:endParaRPr lang="es-PE"/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2976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Curvas IDF - Método Recomendación MTC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Tr=2años</c:v>
          </c:tx>
          <c:marker>
            <c:symbol val="square"/>
            <c:size val="2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IDF_1!$O$286:$O$295</c:f>
              <c:numCache>
                <c:formatCode>0</c:formatCode>
                <c:ptCount val="10"/>
                <c:pt idx="0">
                  <c:v>78.016637150405188</c:v>
                </c:pt>
                <c:pt idx="1">
                  <c:v>41.706273027244428</c:v>
                </c:pt>
                <c:pt idx="2">
                  <c:v>28.913446455536565</c:v>
                </c:pt>
                <c:pt idx="3">
                  <c:v>22.295413816282675</c:v>
                </c:pt>
                <c:pt idx="4">
                  <c:v>15.456601772112627</c:v>
                </c:pt>
                <c:pt idx="5">
                  <c:v>8.2628177415331141</c:v>
                </c:pt>
                <c:pt idx="6">
                  <c:v>4.4171518446556028</c:v>
                </c:pt>
                <c:pt idx="7">
                  <c:v>3.0622511693383654</c:v>
                </c:pt>
                <c:pt idx="8">
                  <c:v>1.031836188213229</c:v>
                </c:pt>
                <c:pt idx="9">
                  <c:v>0.4678248379086466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14-4E7A-8EE8-7DCFF82E4297}"/>
            </c:ext>
          </c:extLst>
        </c:ser>
        <c:ser>
          <c:idx val="1"/>
          <c:order val="1"/>
          <c:tx>
            <c:v>Tr=5años</c:v>
          </c:tx>
          <c:marker>
            <c:symbol val="square"/>
            <c:size val="2"/>
            <c:spPr>
              <a:solidFill>
                <a:schemeClr val="accent2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IDF_1!$P$286:$P$295</c:f>
              <c:numCache>
                <c:formatCode>0</c:formatCode>
                <c:ptCount val="10"/>
                <c:pt idx="0">
                  <c:v>89.244159823229751</c:v>
                </c:pt>
                <c:pt idx="1">
                  <c:v>47.708302121495969</c:v>
                </c:pt>
                <c:pt idx="2">
                  <c:v>33.07443554050829</c:v>
                </c:pt>
                <c:pt idx="3">
                  <c:v>25.503989233853332</c:v>
                </c:pt>
                <c:pt idx="4">
                  <c:v>17.68099073810529</c:v>
                </c:pt>
                <c:pt idx="5">
                  <c:v>9.4519355620773453</c:v>
                </c:pt>
                <c:pt idx="6">
                  <c:v>5.0528325699036021</c:v>
                </c:pt>
                <c:pt idx="7">
                  <c:v>3.502945560809601</c:v>
                </c:pt>
                <c:pt idx="8">
                  <c:v>1.1803296970461039</c:v>
                </c:pt>
                <c:pt idx="9">
                  <c:v>0.53515040033200112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14-4E7A-8EE8-7DCFF82E4297}"/>
            </c:ext>
          </c:extLst>
        </c:ser>
        <c:ser>
          <c:idx val="2"/>
          <c:order val="2"/>
          <c:tx>
            <c:v>Tr=10años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IDF_1!$Q$286:$Q$295</c:f>
              <c:numCache>
                <c:formatCode>0</c:formatCode>
                <c:ptCount val="10"/>
                <c:pt idx="0">
                  <c:v>98.79889469581525</c:v>
                </c:pt>
                <c:pt idx="1">
                  <c:v>52.816089330149254</c:v>
                </c:pt>
                <c:pt idx="2">
                  <c:v>36.615479159227171</c:v>
                </c:pt>
                <c:pt idx="3">
                  <c:v>28.234519229378193</c:v>
                </c:pt>
                <c:pt idx="4">
                  <c:v>19.57396815110193</c:v>
                </c:pt>
                <c:pt idx="5">
                  <c:v>10.46388680356244</c:v>
                </c:pt>
                <c:pt idx="6">
                  <c:v>5.5938032693490483</c:v>
                </c:pt>
                <c:pt idx="7">
                  <c:v>3.8779809264058613</c:v>
                </c:pt>
                <c:pt idx="8">
                  <c:v>1.3066991686154823</c:v>
                </c:pt>
                <c:pt idx="9">
                  <c:v>0.59244513202378091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14-4E7A-8EE8-7DCFF82E4297}"/>
            </c:ext>
          </c:extLst>
        </c:ser>
        <c:ser>
          <c:idx val="3"/>
          <c:order val="3"/>
          <c:tx>
            <c:v>Tr=20años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IDF_1!$R$286:$R$295</c:f>
              <c:numCache>
                <c:formatCode>0</c:formatCode>
                <c:ptCount val="10"/>
                <c:pt idx="0">
                  <c:v>109.3765867979408</c:v>
                </c:pt>
                <c:pt idx="1">
                  <c:v>58.470730838971129</c:v>
                </c:pt>
                <c:pt idx="2">
                  <c:v>40.53563703053284</c:v>
                </c:pt>
                <c:pt idx="3">
                  <c:v>31.25738757197875</c:v>
                </c:pt>
                <c:pt idx="4">
                  <c:v>21.669613137380686</c:v>
                </c:pt>
                <c:pt idx="5">
                  <c:v>11.584180437821754</c:v>
                </c:pt>
                <c:pt idx="6">
                  <c:v>6.192691838347824</c:v>
                </c:pt>
                <c:pt idx="7">
                  <c:v>4.2931686503549056</c:v>
                </c:pt>
                <c:pt idx="8">
                  <c:v>1.4465981170629638</c:v>
                </c:pt>
                <c:pt idx="9">
                  <c:v>0.65587400147869512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14-4E7A-8EE8-7DCFF82E4297}"/>
            </c:ext>
          </c:extLst>
        </c:ser>
        <c:ser>
          <c:idx val="4"/>
          <c:order val="4"/>
          <c:tx>
            <c:v>Tr=25años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IDF_1!$S$286:$S$295</c:f>
              <c:numCache>
                <c:formatCode>0</c:formatCode>
                <c:ptCount val="10"/>
                <c:pt idx="0">
                  <c:v>113.0172315886085</c:v>
                </c:pt>
                <c:pt idx="1">
                  <c:v>60.416953224102642</c:v>
                </c:pt>
                <c:pt idx="2">
                  <c:v>41.884882423097828</c:v>
                </c:pt>
                <c:pt idx="3">
                  <c:v>32.297802605627872</c:v>
                </c:pt>
                <c:pt idx="4">
                  <c:v>22.390895145660309</c:v>
                </c:pt>
                <c:pt idx="5">
                  <c:v>11.969764660183905</c:v>
                </c:pt>
                <c:pt idx="6">
                  <c:v>6.3988181396113752</c:v>
                </c:pt>
                <c:pt idx="7">
                  <c:v>4.4360685390783186</c:v>
                </c:pt>
                <c:pt idx="8">
                  <c:v>1.4947487318632249</c:v>
                </c:pt>
                <c:pt idx="9">
                  <c:v>0.67770503805354221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D14-4E7A-8EE8-7DCFF82E4297}"/>
            </c:ext>
          </c:extLst>
        </c:ser>
        <c:ser>
          <c:idx val="5"/>
          <c:order val="5"/>
          <c:tx>
            <c:v>Tr=50años</c:v>
          </c:tx>
          <c:marker>
            <c:symbol val="square"/>
            <c:size val="2"/>
            <c:spPr>
              <a:solidFill>
                <a:schemeClr val="accent6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IDF_1!$T$286:$T$295</c:f>
              <c:numCache>
                <c:formatCode>0</c:formatCode>
                <c:ptCount val="10"/>
                <c:pt idx="0">
                  <c:v>125.11717948437737</c:v>
                </c:pt>
                <c:pt idx="1">
                  <c:v>66.885364949969343</c:v>
                </c:pt>
                <c:pt idx="2">
                  <c:v>46.369197671454806</c:v>
                </c:pt>
                <c:pt idx="3">
                  <c:v>35.755697682181101</c:v>
                </c:pt>
                <c:pt idx="4">
                  <c:v>24.788128388714032</c:v>
                </c:pt>
                <c:pt idx="5">
                  <c:v>13.251281882619915</c:v>
                </c:pt>
                <c:pt idx="6">
                  <c:v>7.0838939019131164</c:v>
                </c:pt>
                <c:pt idx="7">
                  <c:v>4.9110067182428256</c:v>
                </c:pt>
                <c:pt idx="8">
                  <c:v>1.6547808041285186</c:v>
                </c:pt>
                <c:pt idx="9">
                  <c:v>0.75026207678014334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D14-4E7A-8EE8-7DCFF82E4297}"/>
            </c:ext>
          </c:extLst>
        </c:ser>
        <c:ser>
          <c:idx val="6"/>
          <c:order val="6"/>
          <c:tx>
            <c:v>Tr=100años</c:v>
          </c:tx>
          <c:marker>
            <c:symbol val="square"/>
            <c:size val="2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IDF_1!$U$286:$U$295</c:f>
              <c:numCache>
                <c:formatCode>0</c:formatCode>
                <c:ptCount val="10"/>
                <c:pt idx="0">
                  <c:v>138.51258239193822</c:v>
                </c:pt>
                <c:pt idx="1">
                  <c:v>74.046303326429154</c:v>
                </c:pt>
                <c:pt idx="2">
                  <c:v>51.333616529594323</c:v>
                </c:pt>
                <c:pt idx="3">
                  <c:v>39.583804890700456</c:v>
                </c:pt>
                <c:pt idx="4">
                  <c:v>27.442016275729841</c:v>
                </c:pt>
                <c:pt idx="5">
                  <c:v>14.670002002357904</c:v>
                </c:pt>
                <c:pt idx="6">
                  <c:v>7.8423158337501278</c:v>
                </c:pt>
                <c:pt idx="7">
                  <c:v>5.4367931365724926</c:v>
                </c:pt>
                <c:pt idx="8">
                  <c:v>1.831946367533557</c:v>
                </c:pt>
                <c:pt idx="9">
                  <c:v>0.83058727949132083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D14-4E7A-8EE8-7DCFF82E4297}"/>
            </c:ext>
          </c:extLst>
        </c:ser>
        <c:ser>
          <c:idx val="7"/>
          <c:order val="7"/>
          <c:tx>
            <c:v>Tr=500años</c:v>
          </c:tx>
          <c:marker>
            <c:symbol val="square"/>
            <c:size val="2"/>
            <c:spPr>
              <a:solidFill>
                <a:schemeClr val="accent2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IDF_1!$V$286:$V$295</c:f>
              <c:numCache>
                <c:formatCode>0</c:formatCode>
                <c:ptCount val="10"/>
                <c:pt idx="0">
                  <c:v>175.40989385897237</c:v>
                </c:pt>
                <c:pt idx="1">
                  <c:v>93.770933895274567</c:v>
                </c:pt>
                <c:pt idx="2">
                  <c:v>65.007987515345107</c:v>
                </c:pt>
                <c:pt idx="3">
                  <c:v>50.128233078240271</c:v>
                </c:pt>
                <c:pt idx="4">
                  <c:v>34.752085904956225</c:v>
                </c:pt>
                <c:pt idx="5">
                  <c:v>18.577832061950517</c:v>
                </c:pt>
                <c:pt idx="6">
                  <c:v>9.9313705964571835</c:v>
                </c:pt>
                <c:pt idx="7">
                  <c:v>6.8850590361592756</c:v>
                </c:pt>
                <c:pt idx="8">
                  <c:v>2.3199446023980426</c:v>
                </c:pt>
                <c:pt idx="9">
                  <c:v>1.0518410964566993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D14-4E7A-8EE8-7DCFF82E4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3202768"/>
        <c:axId val="-1793202224"/>
      </c:scatterChart>
      <c:valAx>
        <c:axId val="-1793202768"/>
        <c:scaling>
          <c:orientation val="minMax"/>
          <c:max val="12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Duración</a:t>
                </a:r>
                <a:r>
                  <a:rPr lang="es-PE" baseline="0"/>
                  <a:t> (minutos)</a:t>
                </a:r>
                <a:endParaRPr lang="es-PE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2224"/>
        <c:crosses val="autoZero"/>
        <c:crossBetween val="midCat"/>
      </c:valAx>
      <c:valAx>
        <c:axId val="-1793202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Intensidad</a:t>
                </a:r>
                <a:r>
                  <a:rPr lang="es-PE" baseline="0"/>
                  <a:t>  (mm/hr)</a:t>
                </a:r>
                <a:endParaRPr lang="es-PE"/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276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Comparación Métodos IDF (Tr=20 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F. Bell</c:v>
          </c:tx>
          <c:spPr>
            <a:ln>
              <a:solidFill>
                <a:srgbClr val="F79646"/>
              </a:solidFill>
            </a:ln>
          </c:spPr>
          <c:marker>
            <c:symbol val="square"/>
            <c:size val="2"/>
            <c:spPr>
              <a:solidFill>
                <a:srgbClr val="F79646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IDF_1!$R$48:$R$61</c:f>
              <c:numCache>
                <c:formatCode>0.0</c:formatCode>
                <c:ptCount val="14"/>
                <c:pt idx="0">
                  <c:v>47.530415888029431</c:v>
                </c:pt>
                <c:pt idx="1">
                  <c:v>32.322847766420232</c:v>
                </c:pt>
                <c:pt idx="2">
                  <c:v>25.795896628002637</c:v>
                </c:pt>
                <c:pt idx="3">
                  <c:v>21.981008754318577</c:v>
                </c:pt>
                <c:pt idx="4">
                  <c:v>17.542384684145684</c:v>
                </c:pt>
                <c:pt idx="5">
                  <c:v>14.948087165741105</c:v>
                </c:pt>
                <c:pt idx="6">
                  <c:v>13.203069209056897</c:v>
                </c:pt>
                <c:pt idx="7">
                  <c:v>11.92962062316874</c:v>
                </c:pt>
                <c:pt idx="8">
                  <c:v>10.949249538683823</c:v>
                </c:pt>
                <c:pt idx="9">
                  <c:v>10.165380143015229</c:v>
                </c:pt>
                <c:pt idx="10">
                  <c:v>9.5206728884282015</c:v>
                </c:pt>
                <c:pt idx="11">
                  <c:v>8.9786884486600176</c:v>
                </c:pt>
                <c:pt idx="12">
                  <c:v>8.5150320603723699</c:v>
                </c:pt>
                <c:pt idx="13">
                  <c:v>8.1126854059558919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87-4B92-A5D4-15955781F822}"/>
            </c:ext>
          </c:extLst>
        </c:ser>
        <c:ser>
          <c:idx val="1"/>
          <c:order val="1"/>
          <c:tx>
            <c:v>F.Bell - Y.Tueros</c:v>
          </c:tx>
          <c:spPr>
            <a:ln>
              <a:solidFill>
                <a:srgbClr val="C00000"/>
              </a:solidFill>
            </a:ln>
          </c:spPr>
          <c:marker>
            <c:symbol val="square"/>
            <c:size val="2"/>
            <c:spPr>
              <a:solidFill>
                <a:srgbClr val="C00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IDF_1!$R$77:$R$90</c:f>
              <c:numCache>
                <c:formatCode>0</c:formatCode>
                <c:ptCount val="14"/>
                <c:pt idx="0">
                  <c:v>44.217940535076522</c:v>
                </c:pt>
                <c:pt idx="1">
                  <c:v>30.067547203620876</c:v>
                </c:pt>
                <c:pt idx="2">
                  <c:v>23.994764084900321</c:v>
                </c:pt>
                <c:pt idx="3">
                  <c:v>20.445488503129475</c:v>
                </c:pt>
                <c:pt idx="4">
                  <c:v>16.316085575947973</c:v>
                </c:pt>
                <c:pt idx="5">
                  <c:v>13.902630543846278</c:v>
                </c:pt>
                <c:pt idx="6">
                  <c:v>12.279307119566747</c:v>
                </c:pt>
                <c:pt idx="7">
                  <c:v>11.09469747565403</c:v>
                </c:pt>
                <c:pt idx="8">
                  <c:v>10.18273919722402</c:v>
                </c:pt>
                <c:pt idx="9">
                  <c:v>9.4535836602340328</c:v>
                </c:pt>
                <c:pt idx="10">
                  <c:v>8.8538864417114365</c:v>
                </c:pt>
                <c:pt idx="11">
                  <c:v>8.3497476810900029</c:v>
                </c:pt>
                <c:pt idx="12">
                  <c:v>7.9184730234727274</c:v>
                </c:pt>
                <c:pt idx="13">
                  <c:v>7.5442306001224892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87-4B92-A5D4-15955781F822}"/>
            </c:ext>
          </c:extLst>
        </c:ser>
        <c:ser>
          <c:idx val="2"/>
          <c:order val="2"/>
          <c:tx>
            <c:v>Dick-Peschke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IDF_1!$R$137:$R$144</c:f>
              <c:numCache>
                <c:formatCode>0</c:formatCode>
                <c:ptCount val="8"/>
                <c:pt idx="0">
                  <c:v>101.45476983424696</c:v>
                </c:pt>
                <c:pt idx="1">
                  <c:v>60.325367068924962</c:v>
                </c:pt>
                <c:pt idx="2">
                  <c:v>44.507328689642975</c:v>
                </c:pt>
                <c:pt idx="3">
                  <c:v>35.869677866758231</c:v>
                </c:pt>
                <c:pt idx="4">
                  <c:v>26.464215973744075</c:v>
                </c:pt>
                <c:pt idx="5">
                  <c:v>21.328238066002253</c:v>
                </c:pt>
                <c:pt idx="6">
                  <c:v>18.041492824647953</c:v>
                </c:pt>
                <c:pt idx="7">
                  <c:v>15.735716964472573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87-4B92-A5D4-15955781F822}"/>
            </c:ext>
          </c:extLst>
        </c:ser>
        <c:ser>
          <c:idx val="3"/>
          <c:order val="3"/>
          <c:tx>
            <c:v>SCS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IDF_1!$BF$213:$BF$222</c:f>
              <c:numCache>
                <c:formatCode>0.0</c:formatCode>
                <c:ptCount val="10"/>
                <c:pt idx="0">
                  <c:v>97.360548614293123</c:v>
                </c:pt>
                <c:pt idx="1">
                  <c:v>58.268738464272069</c:v>
                </c:pt>
                <c:pt idx="2">
                  <c:v>43.153869986952934</c:v>
                </c:pt>
                <c:pt idx="3">
                  <c:v>34.872912391532033</c:v>
                </c:pt>
                <c:pt idx="4">
                  <c:v>25.826904221262925</c:v>
                </c:pt>
                <c:pt idx="5">
                  <c:v>15.456991038253511</c:v>
                </c:pt>
                <c:pt idx="6">
                  <c:v>9.2507630767434765</c:v>
                </c:pt>
                <c:pt idx="7">
                  <c:v>6.8511218470718944</c:v>
                </c:pt>
                <c:pt idx="8">
                  <c:v>2.8087283244110526</c:v>
                </c:pt>
                <c:pt idx="9">
                  <c:v>1.4686540288582426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87-4B92-A5D4-15955781F822}"/>
            </c:ext>
          </c:extLst>
        </c:ser>
        <c:ser>
          <c:idx val="4"/>
          <c:order val="4"/>
          <c:tx>
            <c:v>MTC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IDF_1!$R$286:$R$295</c:f>
              <c:numCache>
                <c:formatCode>0</c:formatCode>
                <c:ptCount val="10"/>
                <c:pt idx="0">
                  <c:v>109.3765867979408</c:v>
                </c:pt>
                <c:pt idx="1">
                  <c:v>58.470730838971129</c:v>
                </c:pt>
                <c:pt idx="2">
                  <c:v>40.53563703053284</c:v>
                </c:pt>
                <c:pt idx="3">
                  <c:v>31.25738757197875</c:v>
                </c:pt>
                <c:pt idx="4">
                  <c:v>21.669613137380686</c:v>
                </c:pt>
                <c:pt idx="5">
                  <c:v>11.584180437821754</c:v>
                </c:pt>
                <c:pt idx="6">
                  <c:v>6.192691838347824</c:v>
                </c:pt>
                <c:pt idx="7">
                  <c:v>4.2931686503549056</c:v>
                </c:pt>
                <c:pt idx="8">
                  <c:v>1.4465981170629638</c:v>
                </c:pt>
                <c:pt idx="9">
                  <c:v>0.65587400147869512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87-4B92-A5D4-15955781F822}"/>
            </c:ext>
          </c:extLst>
        </c:ser>
        <c:ser>
          <c:idx val="5"/>
          <c:order val="5"/>
          <c:tx>
            <c:v>IILA-UNI-SENAMHI</c:v>
          </c:tx>
          <c:spPr>
            <a:ln>
              <a:solidFill>
                <a:srgbClr val="FFC000"/>
              </a:solidFill>
            </a:ln>
          </c:spPr>
          <c:marker>
            <c:symbol val="square"/>
            <c:size val="2"/>
            <c:spPr>
              <a:solidFill>
                <a:srgbClr val="FFC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IDF_1!$AB$352:$AB$361</c:f>
              <c:numCache>
                <c:formatCode>0</c:formatCode>
                <c:ptCount val="10"/>
                <c:pt idx="0">
                  <c:v>137.31005500013404</c:v>
                </c:pt>
                <c:pt idx="1">
                  <c:v>103.41344048157228</c:v>
                </c:pt>
                <c:pt idx="2">
                  <c:v>87.609917617157436</c:v>
                </c:pt>
                <c:pt idx="3">
                  <c:v>77.884607010209521</c:v>
                </c:pt>
                <c:pt idx="4">
                  <c:v>65.982371073178285</c:v>
                </c:pt>
                <c:pt idx="5">
                  <c:v>49.693840730035966</c:v>
                </c:pt>
                <c:pt idx="6">
                  <c:v>37.426327158861675</c:v>
                </c:pt>
                <c:pt idx="7">
                  <c:v>31.706878949501132</c:v>
                </c:pt>
                <c:pt idx="8">
                  <c:v>19.377109377170722</c:v>
                </c:pt>
                <c:pt idx="9">
                  <c:v>13.54495081180235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87-4B92-A5D4-15955781F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3198960"/>
        <c:axId val="-1793203856"/>
      </c:scatterChart>
      <c:valAx>
        <c:axId val="-1793198960"/>
        <c:scaling>
          <c:logBase val="10"/>
          <c:orientation val="minMax"/>
          <c:max val="144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3856"/>
        <c:crosses val="autoZero"/>
        <c:crossBetween val="midCat"/>
      </c:valAx>
      <c:valAx>
        <c:axId val="-1793203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8960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Comparación Métodos IDF (Tr=25 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F. Bell</c:v>
          </c:tx>
          <c:spPr>
            <a:ln>
              <a:solidFill>
                <a:srgbClr val="F79646"/>
              </a:solidFill>
            </a:ln>
          </c:spPr>
          <c:marker>
            <c:symbol val="square"/>
            <c:size val="2"/>
            <c:spPr>
              <a:solidFill>
                <a:srgbClr val="F79646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IDF_1!$S$48:$S$61</c:f>
              <c:numCache>
                <c:formatCode>0.0</c:formatCode>
                <c:ptCount val="14"/>
                <c:pt idx="0">
                  <c:v>49.74073958876361</c:v>
                </c:pt>
                <c:pt idx="1">
                  <c:v>33.825968560937298</c:v>
                </c:pt>
                <c:pt idx="2">
                  <c:v>26.995492310752027</c:v>
                </c:pt>
                <c:pt idx="3">
                  <c:v>23.003199360228084</c:v>
                </c:pt>
                <c:pt idx="4">
                  <c:v>18.358164388790112</c:v>
                </c:pt>
                <c:pt idx="5">
                  <c:v>15.643223337511888</c:v>
                </c:pt>
                <c:pt idx="6">
                  <c:v>13.817056195073611</c:v>
                </c:pt>
                <c:pt idx="7">
                  <c:v>12.484387980270657</c:v>
                </c:pt>
                <c:pt idx="8">
                  <c:v>11.458426353328543</c:v>
                </c:pt>
                <c:pt idx="9">
                  <c:v>10.638104402571685</c:v>
                </c:pt>
                <c:pt idx="10">
                  <c:v>9.9634160990452596</c:v>
                </c:pt>
                <c:pt idx="11">
                  <c:v>9.3962275656400482</c:v>
                </c:pt>
                <c:pt idx="12">
                  <c:v>8.9110096007307433</c:v>
                </c:pt>
                <c:pt idx="13">
                  <c:v>8.4899524778794238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FD-47CB-A6FE-931CDA7A3233}"/>
            </c:ext>
          </c:extLst>
        </c:ser>
        <c:ser>
          <c:idx val="1"/>
          <c:order val="1"/>
          <c:tx>
            <c:v>F.Bell - Y.Tueros</c:v>
          </c:tx>
          <c:spPr>
            <a:ln>
              <a:solidFill>
                <a:srgbClr val="C00000"/>
              </a:solidFill>
            </a:ln>
          </c:spPr>
          <c:marker>
            <c:symbol val="square"/>
            <c:size val="2"/>
            <c:spPr>
              <a:solidFill>
                <a:srgbClr val="C00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IDF_1!$S$77:$S$90</c:f>
              <c:numCache>
                <c:formatCode>0</c:formatCode>
                <c:ptCount val="14"/>
                <c:pt idx="0">
                  <c:v>46.274627245138333</c:v>
                </c:pt>
                <c:pt idx="1">
                  <c:v>31.466063823561328</c:v>
                </c:pt>
                <c:pt idx="2">
                  <c:v>25.110820414238763</c:v>
                </c:pt>
                <c:pt idx="3">
                  <c:v>21.396459171963571</c:v>
                </c:pt>
                <c:pt idx="4">
                  <c:v>17.074987414392119</c:v>
                </c:pt>
                <c:pt idx="5">
                  <c:v>14.549276568704581</c:v>
                </c:pt>
                <c:pt idx="6">
                  <c:v>12.850448322797291</c:v>
                </c:pt>
                <c:pt idx="7">
                  <c:v>11.610739529494891</c:v>
                </c:pt>
                <c:pt idx="8">
                  <c:v>10.65636379677639</c:v>
                </c:pt>
                <c:pt idx="9">
                  <c:v>9.8932934169794269</c:v>
                </c:pt>
                <c:pt idx="10">
                  <c:v>9.2657027849583429</c:v>
                </c:pt>
                <c:pt idx="11">
                  <c:v>8.7381152730732765</c:v>
                </c:pt>
                <c:pt idx="12">
                  <c:v>8.2867809553729099</c:v>
                </c:pt>
                <c:pt idx="13">
                  <c:v>7.8951315834146714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FD-47CB-A6FE-931CDA7A3233}"/>
            </c:ext>
          </c:extLst>
        </c:ser>
        <c:ser>
          <c:idx val="2"/>
          <c:order val="2"/>
          <c:tx>
            <c:v>Dick-Peschke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IDF_1!$S$137:$S$144</c:f>
              <c:numCache>
                <c:formatCode>0</c:formatCode>
                <c:ptCount val="8"/>
                <c:pt idx="0">
                  <c:v>104.83173368088617</c:v>
                </c:pt>
                <c:pt idx="1">
                  <c:v>62.333321785690117</c:v>
                </c:pt>
                <c:pt idx="2">
                  <c:v>45.988773476723622</c:v>
                </c:pt>
                <c:pt idx="3">
                  <c:v>37.063614884648423</c:v>
                </c:pt>
                <c:pt idx="4">
                  <c:v>27.345088314384078</c:v>
                </c:pt>
                <c:pt idx="5">
                  <c:v>22.038157264272332</c:v>
                </c:pt>
                <c:pt idx="6">
                  <c:v>18.64201135234039</c:v>
                </c:pt>
                <c:pt idx="7">
                  <c:v>16.259486791921667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FD-47CB-A6FE-931CDA7A3233}"/>
            </c:ext>
          </c:extLst>
        </c:ser>
        <c:ser>
          <c:idx val="3"/>
          <c:order val="3"/>
          <c:tx>
            <c:v>SCS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IDF_1!$BG$213:$BG$222</c:f>
              <c:numCache>
                <c:formatCode>0.0</c:formatCode>
                <c:ptCount val="10"/>
                <c:pt idx="0">
                  <c:v>111.30853525775342</c:v>
                </c:pt>
                <c:pt idx="1">
                  <c:v>66.616386432554307</c:v>
                </c:pt>
                <c:pt idx="2">
                  <c:v>49.336144129390107</c:v>
                </c:pt>
                <c:pt idx="3">
                  <c:v>39.868846814443067</c:v>
                </c:pt>
                <c:pt idx="4">
                  <c:v>29.526896879965129</c:v>
                </c:pt>
                <c:pt idx="5">
                  <c:v>17.671377744348909</c:v>
                </c:pt>
                <c:pt idx="6">
                  <c:v>10.576038269546688</c:v>
                </c:pt>
                <c:pt idx="7">
                  <c:v>7.8326216164933777</c:v>
                </c:pt>
                <c:pt idx="8">
                  <c:v>3.2111100458739767</c:v>
                </c:pt>
                <c:pt idx="9">
                  <c:v>1.6790551314602018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FD-47CB-A6FE-931CDA7A3233}"/>
            </c:ext>
          </c:extLst>
        </c:ser>
        <c:ser>
          <c:idx val="4"/>
          <c:order val="4"/>
          <c:tx>
            <c:v>MTC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IDF_1!$S$286:$S$295</c:f>
              <c:numCache>
                <c:formatCode>0</c:formatCode>
                <c:ptCount val="10"/>
                <c:pt idx="0">
                  <c:v>113.0172315886085</c:v>
                </c:pt>
                <c:pt idx="1">
                  <c:v>60.416953224102642</c:v>
                </c:pt>
                <c:pt idx="2">
                  <c:v>41.884882423097828</c:v>
                </c:pt>
                <c:pt idx="3">
                  <c:v>32.297802605627872</c:v>
                </c:pt>
                <c:pt idx="4">
                  <c:v>22.390895145660309</c:v>
                </c:pt>
                <c:pt idx="5">
                  <c:v>11.969764660183905</c:v>
                </c:pt>
                <c:pt idx="6">
                  <c:v>6.3988181396113752</c:v>
                </c:pt>
                <c:pt idx="7">
                  <c:v>4.4360685390783186</c:v>
                </c:pt>
                <c:pt idx="8">
                  <c:v>1.4947487318632249</c:v>
                </c:pt>
                <c:pt idx="9">
                  <c:v>0.67770503805354221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FD-47CB-A6FE-931CDA7A3233}"/>
            </c:ext>
          </c:extLst>
        </c:ser>
        <c:ser>
          <c:idx val="5"/>
          <c:order val="5"/>
          <c:tx>
            <c:v>IILA-UNI-SENAMHI</c:v>
          </c:tx>
          <c:spPr>
            <a:ln>
              <a:solidFill>
                <a:srgbClr val="FFC000"/>
              </a:solidFill>
            </a:ln>
          </c:spPr>
          <c:marker>
            <c:symbol val="square"/>
            <c:size val="2"/>
            <c:spPr>
              <a:solidFill>
                <a:srgbClr val="FFC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IDF_1!$AC$352:$AC$361</c:f>
              <c:numCache>
                <c:formatCode>0</c:formatCode>
                <c:ptCount val="10"/>
                <c:pt idx="0">
                  <c:v>141.55540082974883</c:v>
                </c:pt>
                <c:pt idx="1">
                  <c:v>106.61077237597821</c:v>
                </c:pt>
                <c:pt idx="2">
                  <c:v>90.318636934096986</c:v>
                </c:pt>
                <c:pt idx="3">
                  <c:v>80.292639630702311</c:v>
                </c:pt>
                <c:pt idx="4">
                  <c:v>68.02241092214156</c:v>
                </c:pt>
                <c:pt idx="5">
                  <c:v>51.230272563091411</c:v>
                </c:pt>
                <c:pt idx="6">
                  <c:v>38.583472583656075</c:v>
                </c:pt>
                <c:pt idx="7">
                  <c:v>32.687190743260402</c:v>
                </c:pt>
                <c:pt idx="8">
                  <c:v>19.976209934550013</c:v>
                </c:pt>
                <c:pt idx="9">
                  <c:v>13.963732964654641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8FD-47CB-A6FE-931CDA7A3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3206576"/>
        <c:axId val="-1793197872"/>
      </c:scatterChart>
      <c:valAx>
        <c:axId val="-1793206576"/>
        <c:scaling>
          <c:logBase val="10"/>
          <c:orientation val="minMax"/>
          <c:max val="144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7872"/>
        <c:crosses val="autoZero"/>
        <c:crossBetween val="midCat"/>
      </c:valAx>
      <c:valAx>
        <c:axId val="-1793197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6576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Comparación Métodos IDF (Tr=50 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F. Bell</c:v>
          </c:tx>
          <c:spPr>
            <a:ln>
              <a:solidFill>
                <a:srgbClr val="F79646"/>
              </a:solidFill>
            </a:ln>
          </c:spPr>
          <c:marker>
            <c:symbol val="square"/>
            <c:size val="2"/>
            <c:spPr>
              <a:solidFill>
                <a:srgbClr val="F79646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IDF_1!$T$48:$T$61</c:f>
              <c:numCache>
                <c:formatCode>0.0</c:formatCode>
                <c:ptCount val="14"/>
                <c:pt idx="0">
                  <c:v>57.283852483565738</c:v>
                </c:pt>
                <c:pt idx="1">
                  <c:v>38.955628910595962</c:v>
                </c:pt>
                <c:pt idx="2">
                  <c:v>31.089320585809784</c:v>
                </c:pt>
                <c:pt idx="3">
                  <c:v>26.491602048857139</c:v>
                </c:pt>
                <c:pt idx="4">
                  <c:v>21.14215408558308</c:v>
                </c:pt>
                <c:pt idx="5">
                  <c:v>18.015496059007795</c:v>
                </c:pt>
                <c:pt idx="6">
                  <c:v>15.912393249064852</c:v>
                </c:pt>
                <c:pt idx="7">
                  <c:v>14.377627782015896</c:v>
                </c:pt>
                <c:pt idx="8">
                  <c:v>13.196080523622745</c:v>
                </c:pt>
                <c:pt idx="9">
                  <c:v>12.251357907821472</c:v>
                </c:pt>
                <c:pt idx="10">
                  <c:v>11.474354076130844</c:v>
                </c:pt>
                <c:pt idx="11">
                  <c:v>10.821152202845997</c:v>
                </c:pt>
                <c:pt idx="12">
                  <c:v>10.26235161897773</c:v>
                </c:pt>
                <c:pt idx="13">
                  <c:v>9.7774417782318519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7F-49DE-B78D-C58AAB02690B}"/>
            </c:ext>
          </c:extLst>
        </c:ser>
        <c:ser>
          <c:idx val="1"/>
          <c:order val="1"/>
          <c:tx>
            <c:v>F.Bell - Y.Tueros</c:v>
          </c:tx>
          <c:spPr>
            <a:ln>
              <a:solidFill>
                <a:srgbClr val="C00000"/>
              </a:solidFill>
            </a:ln>
          </c:spPr>
          <c:marker>
            <c:symbol val="square"/>
            <c:size val="2"/>
            <c:spPr>
              <a:solidFill>
                <a:srgbClr val="C00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IDF_1!$T$77:$T$90</c:f>
              <c:numCache>
                <c:formatCode>0</c:formatCode>
                <c:ptCount val="14"/>
                <c:pt idx="0">
                  <c:v>53.293555158518743</c:v>
                </c:pt>
                <c:pt idx="1">
                  <c:v>36.238831252360178</c:v>
                </c:pt>
                <c:pt idx="2">
                  <c:v>28.91962555922024</c:v>
                </c:pt>
                <c:pt idx="3">
                  <c:v>24.641870609510644</c:v>
                </c:pt>
                <c:pt idx="4">
                  <c:v>19.664918720561364</c:v>
                </c:pt>
                <c:pt idx="5">
                  <c:v>16.756108465730851</c:v>
                </c:pt>
                <c:pt idx="6">
                  <c:v>14.799602228554804</c:v>
                </c:pt>
                <c:pt idx="7">
                  <c:v>13.371854607674651</c:v>
                </c:pt>
                <c:pt idx="8">
                  <c:v>12.272719319471355</c:v>
                </c:pt>
                <c:pt idx="9">
                  <c:v>11.393906548919782</c:v>
                </c:pt>
                <c:pt idx="10">
                  <c:v>10.671123072190658</c:v>
                </c:pt>
                <c:pt idx="11">
                  <c:v>10.063511172549772</c:v>
                </c:pt>
                <c:pt idx="12">
                  <c:v>9.5437185391510031</c:v>
                </c:pt>
                <c:pt idx="13">
                  <c:v>9.0926638543302083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7F-49DE-B78D-C58AAB02690B}"/>
            </c:ext>
          </c:extLst>
        </c:ser>
        <c:ser>
          <c:idx val="2"/>
          <c:order val="2"/>
          <c:tx>
            <c:v>Dick-Peschke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IDF_1!$T$137:$T$144</c:f>
              <c:numCache>
                <c:formatCode>0</c:formatCode>
                <c:ptCount val="8"/>
                <c:pt idx="0">
                  <c:v>116.05531877080529</c:v>
                </c:pt>
                <c:pt idx="1">
                  <c:v>69.006905408075241</c:v>
                </c:pt>
                <c:pt idx="2">
                  <c:v>50.91246303305816</c:v>
                </c:pt>
                <c:pt idx="3">
                  <c:v>41.031751447801447</c:v>
                </c:pt>
                <c:pt idx="4">
                  <c:v>30.272731640612889</c:v>
                </c:pt>
                <c:pt idx="5">
                  <c:v>24.397625381374336</c:v>
                </c:pt>
                <c:pt idx="6">
                  <c:v>20.637878379562693</c:v>
                </c:pt>
                <c:pt idx="7">
                  <c:v>18.000273928792438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7F-49DE-B78D-C58AAB02690B}"/>
            </c:ext>
          </c:extLst>
        </c:ser>
        <c:ser>
          <c:idx val="3"/>
          <c:order val="3"/>
          <c:tx>
            <c:v>SCS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IDF_1!$BH$213:$BH$222</c:f>
              <c:numCache>
                <c:formatCode>0.0</c:formatCode>
                <c:ptCount val="10"/>
                <c:pt idx="0">
                  <c:v>123.17251431642597</c:v>
                </c:pt>
                <c:pt idx="1">
                  <c:v>73.716789036632335</c:v>
                </c:pt>
                <c:pt idx="2">
                  <c:v>54.594707450085352</c:v>
                </c:pt>
                <c:pt idx="3">
                  <c:v>44.118324741761569</c:v>
                </c:pt>
                <c:pt idx="4">
                  <c:v>32.674063316396058</c:v>
                </c:pt>
                <c:pt idx="5">
                  <c:v>19.554906756848823</c:v>
                </c:pt>
                <c:pt idx="6">
                  <c:v>11.703300399652576</c:v>
                </c:pt>
                <c:pt idx="7">
                  <c:v>8.6674727680011916</c:v>
                </c:pt>
                <c:pt idx="8">
                  <c:v>3.5533707921062674</c:v>
                </c:pt>
                <c:pt idx="9">
                  <c:v>1.8580196185219695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7F-49DE-B78D-C58AAB02690B}"/>
            </c:ext>
          </c:extLst>
        </c:ser>
        <c:ser>
          <c:idx val="4"/>
          <c:order val="4"/>
          <c:tx>
            <c:v>MTC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IDF_1!$T$286:$T$295</c:f>
              <c:numCache>
                <c:formatCode>0</c:formatCode>
                <c:ptCount val="10"/>
                <c:pt idx="0">
                  <c:v>125.11717948437737</c:v>
                </c:pt>
                <c:pt idx="1">
                  <c:v>66.885364949969343</c:v>
                </c:pt>
                <c:pt idx="2">
                  <c:v>46.369197671454806</c:v>
                </c:pt>
                <c:pt idx="3">
                  <c:v>35.755697682181101</c:v>
                </c:pt>
                <c:pt idx="4">
                  <c:v>24.788128388714032</c:v>
                </c:pt>
                <c:pt idx="5">
                  <c:v>13.251281882619915</c:v>
                </c:pt>
                <c:pt idx="6">
                  <c:v>7.0838939019131164</c:v>
                </c:pt>
                <c:pt idx="7">
                  <c:v>4.9110067182428256</c:v>
                </c:pt>
                <c:pt idx="8">
                  <c:v>1.6547808041285186</c:v>
                </c:pt>
                <c:pt idx="9">
                  <c:v>0.75026207678014334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7F-49DE-B78D-C58AAB02690B}"/>
            </c:ext>
          </c:extLst>
        </c:ser>
        <c:ser>
          <c:idx val="5"/>
          <c:order val="5"/>
          <c:tx>
            <c:v>IILA-UNI-SENAMHI</c:v>
          </c:tx>
          <c:spPr>
            <a:ln>
              <a:solidFill>
                <a:srgbClr val="FFC000"/>
              </a:solidFill>
            </a:ln>
          </c:spPr>
          <c:marker>
            <c:symbol val="square"/>
            <c:size val="2"/>
            <c:spPr>
              <a:solidFill>
                <a:srgbClr val="FFC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IDF_1!$AD$352:$AD$361</c:f>
              <c:numCache>
                <c:formatCode>0</c:formatCode>
                <c:ptCount val="10"/>
                <c:pt idx="0">
                  <c:v>155.59808903905349</c:v>
                </c:pt>
                <c:pt idx="1">
                  <c:v>117.18685656247706</c:v>
                </c:pt>
                <c:pt idx="2">
                  <c:v>99.278496116582986</c:v>
                </c:pt>
                <c:pt idx="3">
                  <c:v>88.257892084701609</c:v>
                </c:pt>
                <c:pt idx="4">
                  <c:v>74.770422670373563</c:v>
                </c:pt>
                <c:pt idx="5">
                  <c:v>56.312457631723561</c:v>
                </c:pt>
                <c:pt idx="6">
                  <c:v>42.411060032447153</c:v>
                </c:pt>
                <c:pt idx="7">
                  <c:v>35.929850686682428</c:v>
                </c:pt>
                <c:pt idx="8">
                  <c:v>21.957905341932499</c:v>
                </c:pt>
                <c:pt idx="9">
                  <c:v>15.34897398768331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7F-49DE-B78D-C58AAB026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3201680"/>
        <c:axId val="-1793206032"/>
      </c:scatterChart>
      <c:valAx>
        <c:axId val="-1793201680"/>
        <c:scaling>
          <c:logBase val="10"/>
          <c:orientation val="minMax"/>
          <c:max val="144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6032"/>
        <c:crosses val="autoZero"/>
        <c:crossBetween val="midCat"/>
      </c:valAx>
      <c:valAx>
        <c:axId val="-1793206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1680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Comparación Métodos IDF (Tr=100 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F. Bell</c:v>
          </c:tx>
          <c:spPr>
            <a:ln>
              <a:solidFill>
                <a:srgbClr val="F79646"/>
              </a:solidFill>
            </a:ln>
          </c:spPr>
          <c:marker>
            <c:symbol val="square"/>
            <c:size val="2"/>
            <c:spPr>
              <a:solidFill>
                <a:srgbClr val="F79646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IDF_1!$U$48:$U$61</c:f>
              <c:numCache>
                <c:formatCode>0.0</c:formatCode>
                <c:ptCount val="14"/>
                <c:pt idx="0">
                  <c:v>65.970867793453465</c:v>
                </c:pt>
                <c:pt idx="1">
                  <c:v>44.863195006115433</c:v>
                </c:pt>
                <c:pt idx="2">
                  <c:v>35.803972135832872</c:v>
                </c:pt>
                <c:pt idx="3">
                  <c:v>30.509016077494586</c:v>
                </c:pt>
                <c:pt idx="4">
                  <c:v>24.348331887227211</c:v>
                </c:pt>
                <c:pt idx="5">
                  <c:v>20.747520587643006</c:v>
                </c:pt>
                <c:pt idx="6">
                  <c:v>18.325485207417998</c:v>
                </c:pt>
                <c:pt idx="7">
                  <c:v>16.557974725302778</c:v>
                </c:pt>
                <c:pt idx="8">
                  <c:v>15.19724749422951</c:v>
                </c:pt>
                <c:pt idx="9">
                  <c:v>14.109259028258379</c:v>
                </c:pt>
                <c:pt idx="10">
                  <c:v>13.214423663088496</c:v>
                </c:pt>
                <c:pt idx="11">
                  <c:v>12.462164648433825</c:v>
                </c:pt>
                <c:pt idx="12">
                  <c:v>11.818622745384369</c:v>
                </c:pt>
                <c:pt idx="13">
                  <c:v>11.260177012273655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F-4452-8EB8-F104379D2A15}"/>
            </c:ext>
          </c:extLst>
        </c:ser>
        <c:ser>
          <c:idx val="1"/>
          <c:order val="1"/>
          <c:tx>
            <c:v>F.Bell - Y.Tueros</c:v>
          </c:tx>
          <c:spPr>
            <a:ln>
              <a:solidFill>
                <a:srgbClr val="C00000"/>
              </a:solidFill>
            </a:ln>
          </c:spPr>
          <c:marker>
            <c:symbol val="square"/>
            <c:size val="2"/>
            <c:spPr>
              <a:solidFill>
                <a:srgbClr val="C00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IDF_1!$U$77:$U$90</c:f>
              <c:numCache>
                <c:formatCode>0</c:formatCode>
                <c:ptCount val="14"/>
                <c:pt idx="0">
                  <c:v>61.37711291304835</c:v>
                </c:pt>
                <c:pt idx="1">
                  <c:v>41.73553126634453</c:v>
                </c:pt>
                <c:pt idx="2">
                  <c:v>33.306149647395273</c:v>
                </c:pt>
                <c:pt idx="3">
                  <c:v>28.379545524594342</c:v>
                </c:pt>
                <c:pt idx="4">
                  <c:v>22.647690384845401</c:v>
                </c:pt>
                <c:pt idx="5">
                  <c:v>19.297672264974722</c:v>
                </c:pt>
                <c:pt idx="6">
                  <c:v>17.044403480840277</c:v>
                </c:pt>
                <c:pt idx="7">
                  <c:v>15.400095333683577</c:v>
                </c:pt>
                <c:pt idx="8">
                  <c:v>14.134243384229119</c:v>
                </c:pt>
                <c:pt idx="9">
                  <c:v>13.12213243597029</c:v>
                </c:pt>
                <c:pt idx="10">
                  <c:v>12.289717279373292</c:v>
                </c:pt>
                <c:pt idx="11">
                  <c:v>11.589942905893363</c:v>
                </c:pt>
                <c:pt idx="12">
                  <c:v>10.991308210636269</c:v>
                </c:pt>
                <c:pt idx="13">
                  <c:v>10.471837624786637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F-4452-8EB8-F104379D2A15}"/>
            </c:ext>
          </c:extLst>
        </c:ser>
        <c:ser>
          <c:idx val="2"/>
          <c:order val="2"/>
          <c:tx>
            <c:v>Dick-Peschke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IDF_1!$U$137:$U$144</c:f>
              <c:numCache>
                <c:formatCode>0</c:formatCode>
                <c:ptCount val="8"/>
                <c:pt idx="0">
                  <c:v>128.48053296526743</c:v>
                </c:pt>
                <c:pt idx="1">
                  <c:v>76.394981970818833</c:v>
                </c:pt>
                <c:pt idx="2">
                  <c:v>56.36329686862485</c:v>
                </c:pt>
                <c:pt idx="3">
                  <c:v>45.424728055101212</c:v>
                </c:pt>
                <c:pt idx="4">
                  <c:v>33.513816830589626</c:v>
                </c:pt>
                <c:pt idx="5">
                  <c:v>27.009704900095034</c:v>
                </c:pt>
                <c:pt idx="6">
                  <c:v>22.847428636296232</c:v>
                </c:pt>
                <c:pt idx="7">
                  <c:v>19.927434712917581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2F-4452-8EB8-F104379D2A15}"/>
            </c:ext>
          </c:extLst>
        </c:ser>
        <c:ser>
          <c:idx val="3"/>
          <c:order val="3"/>
          <c:tx>
            <c:v>SCS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IDF_1!$BI$213:$BI$222</c:f>
              <c:numCache>
                <c:formatCode>0.0</c:formatCode>
                <c:ptCount val="10"/>
                <c:pt idx="0">
                  <c:v>130.69036793293856</c:v>
                </c:pt>
                <c:pt idx="1">
                  <c:v>78.216104749495358</c:v>
                </c:pt>
                <c:pt idx="2">
                  <c:v>57.926903931775065</c:v>
                </c:pt>
                <c:pt idx="3">
                  <c:v>46.811093571358299</c:v>
                </c:pt>
                <c:pt idx="4">
                  <c:v>34.668329865492325</c:v>
                </c:pt>
                <c:pt idx="5">
                  <c:v>20.748443539778137</c:v>
                </c:pt>
                <c:pt idx="6">
                  <c:v>12.417613164338325</c:v>
                </c:pt>
                <c:pt idx="7">
                  <c:v>9.1964933198391297</c:v>
                </c:pt>
                <c:pt idx="8">
                  <c:v>3.7702513324484062</c:v>
                </c:pt>
                <c:pt idx="9">
                  <c:v>1.9714241356431561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2F-4452-8EB8-F104379D2A15}"/>
            </c:ext>
          </c:extLst>
        </c:ser>
        <c:ser>
          <c:idx val="4"/>
          <c:order val="4"/>
          <c:tx>
            <c:v>MTC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IDF_1!$U$286:$U$295</c:f>
              <c:numCache>
                <c:formatCode>0</c:formatCode>
                <c:ptCount val="10"/>
                <c:pt idx="0">
                  <c:v>138.51258239193822</c:v>
                </c:pt>
                <c:pt idx="1">
                  <c:v>74.046303326429154</c:v>
                </c:pt>
                <c:pt idx="2">
                  <c:v>51.333616529594323</c:v>
                </c:pt>
                <c:pt idx="3">
                  <c:v>39.583804890700456</c:v>
                </c:pt>
                <c:pt idx="4">
                  <c:v>27.442016275729841</c:v>
                </c:pt>
                <c:pt idx="5">
                  <c:v>14.670002002357904</c:v>
                </c:pt>
                <c:pt idx="6">
                  <c:v>7.8423158337501278</c:v>
                </c:pt>
                <c:pt idx="7">
                  <c:v>5.4367931365724926</c:v>
                </c:pt>
                <c:pt idx="8">
                  <c:v>1.831946367533557</c:v>
                </c:pt>
                <c:pt idx="9">
                  <c:v>0.83058727949132083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2F-4452-8EB8-F104379D2A15}"/>
            </c:ext>
          </c:extLst>
        </c:ser>
        <c:ser>
          <c:idx val="5"/>
          <c:order val="5"/>
          <c:tx>
            <c:v>IILA-UNI-SENAMHI</c:v>
          </c:tx>
          <c:spPr>
            <a:ln>
              <a:solidFill>
                <a:srgbClr val="FFC000"/>
              </a:solidFill>
            </a:ln>
          </c:spPr>
          <c:marker>
            <c:symbol val="square"/>
            <c:size val="2"/>
            <c:spPr>
              <a:solidFill>
                <a:srgbClr val="FFC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IDF_1!$AE$352:$AE$361</c:f>
              <c:numCache>
                <c:formatCode>0</c:formatCode>
                <c:ptCount val="10"/>
                <c:pt idx="0">
                  <c:v>171.03385085055092</c:v>
                </c:pt>
                <c:pt idx="1">
                  <c:v>128.81211762132273</c:v>
                </c:pt>
                <c:pt idx="2">
                  <c:v>109.12719817020924</c:v>
                </c:pt>
                <c:pt idx="3">
                  <c:v>97.013319664936006</c:v>
                </c:pt>
                <c:pt idx="4">
                  <c:v>82.187855892160727</c:v>
                </c:pt>
                <c:pt idx="5">
                  <c:v>61.89880954897081</c:v>
                </c:pt>
                <c:pt idx="6">
                  <c:v>46.618354767729301</c:v>
                </c:pt>
                <c:pt idx="7">
                  <c:v>39.494191486414856</c:v>
                </c:pt>
                <c:pt idx="8">
                  <c:v>24.136190427762873</c:v>
                </c:pt>
                <c:pt idx="9">
                  <c:v>16.87163476062689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2F-4452-8EB8-F104379D2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3205488"/>
        <c:axId val="-1793200592"/>
      </c:scatterChart>
      <c:valAx>
        <c:axId val="-1793205488"/>
        <c:scaling>
          <c:logBase val="10"/>
          <c:orientation val="minMax"/>
          <c:max val="144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0592"/>
        <c:crosses val="autoZero"/>
        <c:crossBetween val="midCat"/>
      </c:valAx>
      <c:valAx>
        <c:axId val="-1793200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548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Comparación Métodos IDF (Tr=500 años)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F. Bell</c:v>
          </c:tx>
          <c:spPr>
            <a:ln>
              <a:solidFill>
                <a:srgbClr val="F79646"/>
              </a:solidFill>
            </a:ln>
          </c:spPr>
          <c:marker>
            <c:symbol val="square"/>
            <c:size val="2"/>
            <c:spPr>
              <a:solidFill>
                <a:srgbClr val="F79646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IDF_1!$N$48:$N$61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IDF_1!$V$48:$V$61</c:f>
              <c:numCache>
                <c:formatCode>0.0</c:formatCode>
                <c:ptCount val="14"/>
                <c:pt idx="0">
                  <c:v>91.565691486352165</c:v>
                </c:pt>
                <c:pt idx="1">
                  <c:v>62.268840935720817</c:v>
                </c:pt>
                <c:pt idx="2">
                  <c:v>49.694896796566802</c:v>
                </c:pt>
                <c:pt idx="3">
                  <c:v>42.345648119263402</c:v>
                </c:pt>
                <c:pt idx="4">
                  <c:v>33.794793374150466</c:v>
                </c:pt>
                <c:pt idx="5">
                  <c:v>28.79696952271075</c:v>
                </c:pt>
                <c:pt idx="6">
                  <c:v>25.435253180141732</c:v>
                </c:pt>
                <c:pt idx="7">
                  <c:v>22.981998813214691</c:v>
                </c:pt>
                <c:pt idx="8">
                  <c:v>21.093348049552961</c:v>
                </c:pt>
                <c:pt idx="9">
                  <c:v>19.583250948394195</c:v>
                </c:pt>
                <c:pt idx="10">
                  <c:v>18.341244867244033</c:v>
                </c:pt>
                <c:pt idx="11">
                  <c:v>17.297130712654539</c:v>
                </c:pt>
                <c:pt idx="12">
                  <c:v>16.403912822332746</c:v>
                </c:pt>
                <c:pt idx="13">
                  <c:v>15.628805999879217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B8-4B28-92A1-1323B285673F}"/>
            </c:ext>
          </c:extLst>
        </c:ser>
        <c:ser>
          <c:idx val="1"/>
          <c:order val="1"/>
          <c:tx>
            <c:v>F.Bell - Y.Tueros</c:v>
          </c:tx>
          <c:spPr>
            <a:ln>
              <a:solidFill>
                <a:srgbClr val="C00000"/>
              </a:solidFill>
            </a:ln>
          </c:spPr>
          <c:marker>
            <c:symbol val="square"/>
            <c:size val="2"/>
            <c:spPr>
              <a:solidFill>
                <a:srgbClr val="C00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IDF_1!$N$77:$N$90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</c:numCache>
            </c:numRef>
          </c:xVal>
          <c:yVal>
            <c:numRef>
              <c:f>IDF_1!$V$77:$V$90</c:f>
              <c:numCache>
                <c:formatCode>0</c:formatCode>
                <c:ptCount val="14"/>
                <c:pt idx="0">
                  <c:v>85.19505757064239</c:v>
                </c:pt>
                <c:pt idx="1">
                  <c:v>57.931382240393042</c:v>
                </c:pt>
                <c:pt idx="2">
                  <c:v>46.230902725680899</c:v>
                </c:pt>
                <c:pt idx="3">
                  <c:v>39.392485244813045</c:v>
                </c:pt>
                <c:pt idx="4">
                  <c:v>31.436331795410918</c:v>
                </c:pt>
                <c:pt idx="5">
                  <c:v>26.786308797597307</c:v>
                </c:pt>
                <c:pt idx="6">
                  <c:v>23.658638650283251</c:v>
                </c:pt>
                <c:pt idx="7">
                  <c:v>21.376241831466608</c:v>
                </c:pt>
                <c:pt idx="8">
                  <c:v>19.619164566159863</c:v>
                </c:pt>
                <c:pt idx="9">
                  <c:v>18.214294796104952</c:v>
                </c:pt>
                <c:pt idx="10">
                  <c:v>17.058853397461391</c:v>
                </c:pt>
                <c:pt idx="11">
                  <c:v>16.087525239365366</c:v>
                </c:pt>
                <c:pt idx="12">
                  <c:v>15.256584927812042</c:v>
                </c:pt>
                <c:pt idx="13">
                  <c:v>14.535529075438998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B8-4B28-92A1-1323B285673F}"/>
            </c:ext>
          </c:extLst>
        </c:ser>
        <c:ser>
          <c:idx val="2"/>
          <c:order val="2"/>
          <c:tx>
            <c:v>Dick-Peschke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IDF_1!$N$137:$N$144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IDF_1!$V$137:$V$144</c:f>
              <c:numCache>
                <c:formatCode>0</c:formatCode>
                <c:ptCount val="8"/>
                <c:pt idx="0">
                  <c:v>162.70548322181494</c:v>
                </c:pt>
                <c:pt idx="1">
                  <c:v>96.745259148669092</c:v>
                </c:pt>
                <c:pt idx="2">
                  <c:v>71.377486077702827</c:v>
                </c:pt>
                <c:pt idx="3">
                  <c:v>57.525075261189727</c:v>
                </c:pt>
                <c:pt idx="4">
                  <c:v>42.441307147305935</c:v>
                </c:pt>
                <c:pt idx="5">
                  <c:v>34.20461439583692</c:v>
                </c:pt>
                <c:pt idx="6">
                  <c:v>28.933581071378718</c:v>
                </c:pt>
                <c:pt idx="7">
                  <c:v>25.235752214796047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B8-4B28-92A1-1323B285673F}"/>
            </c:ext>
          </c:extLst>
        </c:ser>
        <c:ser>
          <c:idx val="3"/>
          <c:order val="3"/>
          <c:tx>
            <c:v>SCS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IDF_1!$BA$213:$BA$222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IDF_1!$BJ$213:$BJ$222</c:f>
              <c:numCache>
                <c:formatCode>0.0</c:formatCode>
                <c:ptCount val="10"/>
                <c:pt idx="0">
                  <c:v>155.82767865384537</c:v>
                </c:pt>
                <c:pt idx="1">
                  <c:v>93.260385055416222</c:v>
                </c:pt>
                <c:pt idx="2">
                  <c:v>69.068708842603186</c:v>
                </c:pt>
                <c:pt idx="3">
                  <c:v>55.814855844737792</c:v>
                </c:pt>
                <c:pt idx="4">
                  <c:v>41.336522738366881</c:v>
                </c:pt>
                <c:pt idx="5">
                  <c:v>24.739250823312791</c:v>
                </c:pt>
                <c:pt idx="6">
                  <c:v>14.806047793921488</c:v>
                </c:pt>
                <c:pt idx="7">
                  <c:v>10.965369739577755</c:v>
                </c:pt>
                <c:pt idx="8">
                  <c:v>4.4954308597437924</c:v>
                </c:pt>
                <c:pt idx="9">
                  <c:v>2.3506127617382795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B8-4B28-92A1-1323B285673F}"/>
            </c:ext>
          </c:extLst>
        </c:ser>
        <c:ser>
          <c:idx val="4"/>
          <c:order val="4"/>
          <c:tx>
            <c:v>MTC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IDF_1!$M$286:$M$295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IDF_1!$V$286:$V$295</c:f>
              <c:numCache>
                <c:formatCode>0</c:formatCode>
                <c:ptCount val="10"/>
                <c:pt idx="0">
                  <c:v>175.40989385897237</c:v>
                </c:pt>
                <c:pt idx="1">
                  <c:v>93.770933895274567</c:v>
                </c:pt>
                <c:pt idx="2">
                  <c:v>65.007987515345107</c:v>
                </c:pt>
                <c:pt idx="3">
                  <c:v>50.128233078240271</c:v>
                </c:pt>
                <c:pt idx="4">
                  <c:v>34.752085904956225</c:v>
                </c:pt>
                <c:pt idx="5">
                  <c:v>18.577832061950517</c:v>
                </c:pt>
                <c:pt idx="6">
                  <c:v>9.9313705964571835</c:v>
                </c:pt>
                <c:pt idx="7">
                  <c:v>6.8850590361592756</c:v>
                </c:pt>
                <c:pt idx="8">
                  <c:v>2.3199446023980426</c:v>
                </c:pt>
                <c:pt idx="9">
                  <c:v>1.0518410964566993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AB8-4B28-92A1-1323B285673F}"/>
            </c:ext>
          </c:extLst>
        </c:ser>
        <c:ser>
          <c:idx val="5"/>
          <c:order val="5"/>
          <c:tx>
            <c:v>IILA-UNI-SENAMHI</c:v>
          </c:tx>
          <c:spPr>
            <a:ln>
              <a:solidFill>
                <a:srgbClr val="FFC000"/>
              </a:solidFill>
            </a:ln>
          </c:spPr>
          <c:marker>
            <c:symbol val="square"/>
            <c:size val="2"/>
            <c:spPr>
              <a:solidFill>
                <a:srgbClr val="FFC000"/>
              </a:solidFill>
              <a:ln w="6350">
                <a:solidFill>
                  <a:sysClr val="windowText" lastClr="000000">
                    <a:alpha val="50000"/>
                  </a:sysClr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IDF_1!$AF$352:$AF$361</c:f>
              <c:numCache>
                <c:formatCode>0</c:formatCode>
                <c:ptCount val="10"/>
                <c:pt idx="0">
                  <c:v>213.04032058497054</c:v>
                </c:pt>
                <c:pt idx="1">
                  <c:v>160.44879242796475</c:v>
                </c:pt>
                <c:pt idx="2">
                  <c:v>135.92919277152615</c:v>
                </c:pt>
                <c:pt idx="3">
                  <c:v>120.84010632777975</c:v>
                </c:pt>
                <c:pt idx="4">
                  <c:v>102.37346046050791</c:v>
                </c:pt>
                <c:pt idx="5">
                  <c:v>77.101358383513826</c:v>
                </c:pt>
                <c:pt idx="6">
                  <c:v>58.067974237095001</c:v>
                </c:pt>
                <c:pt idx="7">
                  <c:v>49.194093295964244</c:v>
                </c:pt>
                <c:pt idx="8">
                  <c:v>30.064117254329698</c:v>
                </c:pt>
                <c:pt idx="9">
                  <c:v>21.015363101057769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AB8-4B28-92A1-1323B2856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3193520"/>
        <c:axId val="-1793208208"/>
      </c:scatterChart>
      <c:valAx>
        <c:axId val="-1793193520"/>
        <c:scaling>
          <c:logBase val="10"/>
          <c:orientation val="minMax"/>
          <c:max val="144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208208"/>
        <c:crosses val="autoZero"/>
        <c:crossBetween val="midCat"/>
      </c:valAx>
      <c:valAx>
        <c:axId val="-1793208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Título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3520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/>
              <a:t>Curvas IDF - IILA-UNI-SENAMHI MODIFICADO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Tr=2años</c:v>
          </c:tx>
          <c:marker>
            <c:symbol val="square"/>
            <c:size val="2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IDF_1!$Y$352:$Y$361</c:f>
              <c:numCache>
                <c:formatCode>0</c:formatCode>
                <c:ptCount val="10"/>
                <c:pt idx="0">
                  <c:v>100.28703536120874</c:v>
                </c:pt>
                <c:pt idx="1">
                  <c:v>75.529992048940414</c:v>
                </c:pt>
                <c:pt idx="2">
                  <c:v>63.987585658281724</c:v>
                </c:pt>
                <c:pt idx="3">
                  <c:v>56.884518306537011</c:v>
                </c:pt>
                <c:pt idx="4">
                  <c:v>48.191491737628155</c:v>
                </c:pt>
                <c:pt idx="5">
                  <c:v>36.294850821540543</c:v>
                </c:pt>
                <c:pt idx="6">
                  <c:v>27.335036718303432</c:v>
                </c:pt>
                <c:pt idx="7">
                  <c:v>23.157727891078924</c:v>
                </c:pt>
                <c:pt idx="8">
                  <c:v>14.152443921928606</c:v>
                </c:pt>
                <c:pt idx="9">
                  <c:v>9.8928149218768375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63-4B64-BEBD-166F6EFFA20E}"/>
            </c:ext>
          </c:extLst>
        </c:ser>
        <c:ser>
          <c:idx val="1"/>
          <c:order val="1"/>
          <c:tx>
            <c:v>Tr=5años</c:v>
          </c:tx>
          <c:marker>
            <c:symbol val="square"/>
            <c:size val="2"/>
            <c:spPr>
              <a:solidFill>
                <a:schemeClr val="accent2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IDF_1!$Z$352:$Z$361</c:f>
              <c:numCache>
                <c:formatCode>0</c:formatCode>
                <c:ptCount val="10"/>
                <c:pt idx="0">
                  <c:v>113.64405219691177</c:v>
                </c:pt>
                <c:pt idx="1">
                  <c:v>85.589670967203062</c:v>
                </c:pt>
                <c:pt idx="2">
                  <c:v>72.509956030835909</c:v>
                </c:pt>
                <c:pt idx="3">
                  <c:v>64.460846253361211</c:v>
                </c:pt>
                <c:pt idx="4">
                  <c:v>54.610013973914391</c:v>
                </c:pt>
                <c:pt idx="5">
                  <c:v>41.128884769463639</c:v>
                </c:pt>
                <c:pt idx="6">
                  <c:v>30.975732091697296</c:v>
                </c:pt>
                <c:pt idx="7">
                  <c:v>26.242056390806574</c:v>
                </c:pt>
                <c:pt idx="8">
                  <c:v>16.037377812442855</c:v>
                </c:pt>
                <c:pt idx="9">
                  <c:v>11.210417890077794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63-4B64-BEBD-166F6EFFA20E}"/>
            </c:ext>
          </c:extLst>
        </c:ser>
        <c:ser>
          <c:idx val="2"/>
          <c:order val="2"/>
          <c:tx>
            <c:v>Tr=10años</c:v>
          </c:tx>
          <c:marker>
            <c:symbol val="square"/>
            <c:size val="2"/>
            <c:spPr>
              <a:solidFill>
                <a:schemeClr val="accent3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IDF_1!$AA$352:$AA$361</c:f>
              <c:numCache>
                <c:formatCode>0</c:formatCode>
                <c:ptCount val="10"/>
                <c:pt idx="0">
                  <c:v>124.91785724065258</c:v>
                </c:pt>
                <c:pt idx="1">
                  <c:v>94.080403615228022</c:v>
                </c:pt>
                <c:pt idx="2">
                  <c:v>79.703144695082401</c:v>
                </c:pt>
                <c:pt idx="3">
                  <c:v>70.855540912398482</c:v>
                </c:pt>
                <c:pt idx="4">
                  <c:v>60.027478760466614</c:v>
                </c:pt>
                <c:pt idx="5">
                  <c:v>45.208984163965994</c:v>
                </c:pt>
                <c:pt idx="6">
                  <c:v>34.0486105920508</c:v>
                </c:pt>
                <c:pt idx="7">
                  <c:v>28.845341138029323</c:v>
                </c:pt>
                <c:pt idx="8">
                  <c:v>17.628330153327518</c:v>
                </c:pt>
                <c:pt idx="9">
                  <c:v>12.322522424441061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63-4B64-BEBD-166F6EFFA20E}"/>
            </c:ext>
          </c:extLst>
        </c:ser>
        <c:ser>
          <c:idx val="3"/>
          <c:order val="3"/>
          <c:tx>
            <c:v>Tr=20años</c:v>
          </c:tx>
          <c:marker>
            <c:symbol val="square"/>
            <c:size val="2"/>
            <c:spPr>
              <a:solidFill>
                <a:schemeClr val="accent4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IDF_1!$AB$352:$AB$361</c:f>
              <c:numCache>
                <c:formatCode>0</c:formatCode>
                <c:ptCount val="10"/>
                <c:pt idx="0">
                  <c:v>137.31005500013404</c:v>
                </c:pt>
                <c:pt idx="1">
                  <c:v>103.41344048157228</c:v>
                </c:pt>
                <c:pt idx="2">
                  <c:v>87.609917617157436</c:v>
                </c:pt>
                <c:pt idx="3">
                  <c:v>77.884607010209521</c:v>
                </c:pt>
                <c:pt idx="4">
                  <c:v>65.982371073178285</c:v>
                </c:pt>
                <c:pt idx="5">
                  <c:v>49.693840730035966</c:v>
                </c:pt>
                <c:pt idx="6">
                  <c:v>37.426327158861675</c:v>
                </c:pt>
                <c:pt idx="7">
                  <c:v>31.706878949501132</c:v>
                </c:pt>
                <c:pt idx="8">
                  <c:v>19.377109377170722</c:v>
                </c:pt>
                <c:pt idx="9">
                  <c:v>13.54495081180235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63-4B64-BEBD-166F6EFFA20E}"/>
            </c:ext>
          </c:extLst>
        </c:ser>
        <c:ser>
          <c:idx val="4"/>
          <c:order val="4"/>
          <c:tx>
            <c:v>Tr=25años</c:v>
          </c:tx>
          <c:marker>
            <c:symbol val="square"/>
            <c:size val="2"/>
            <c:spPr>
              <a:solidFill>
                <a:schemeClr val="accent5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IDF_1!$AC$352:$AC$361</c:f>
              <c:numCache>
                <c:formatCode>0</c:formatCode>
                <c:ptCount val="10"/>
                <c:pt idx="0">
                  <c:v>141.55540082974883</c:v>
                </c:pt>
                <c:pt idx="1">
                  <c:v>106.61077237597821</c:v>
                </c:pt>
                <c:pt idx="2">
                  <c:v>90.318636934096986</c:v>
                </c:pt>
                <c:pt idx="3">
                  <c:v>80.292639630702311</c:v>
                </c:pt>
                <c:pt idx="4">
                  <c:v>68.02241092214156</c:v>
                </c:pt>
                <c:pt idx="5">
                  <c:v>51.230272563091411</c:v>
                </c:pt>
                <c:pt idx="6">
                  <c:v>38.583472583656075</c:v>
                </c:pt>
                <c:pt idx="7">
                  <c:v>32.687190743260402</c:v>
                </c:pt>
                <c:pt idx="8">
                  <c:v>19.976209934550013</c:v>
                </c:pt>
                <c:pt idx="9">
                  <c:v>13.963732964654641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E63-4B64-BEBD-166F6EFFA20E}"/>
            </c:ext>
          </c:extLst>
        </c:ser>
        <c:ser>
          <c:idx val="5"/>
          <c:order val="5"/>
          <c:tx>
            <c:v>Tr=50años</c:v>
          </c:tx>
          <c:marker>
            <c:symbol val="square"/>
            <c:size val="2"/>
            <c:spPr>
              <a:solidFill>
                <a:schemeClr val="accent6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IDF_1!$AD$352:$AD$361</c:f>
              <c:numCache>
                <c:formatCode>0</c:formatCode>
                <c:ptCount val="10"/>
                <c:pt idx="0">
                  <c:v>155.59808903905349</c:v>
                </c:pt>
                <c:pt idx="1">
                  <c:v>117.18685656247706</c:v>
                </c:pt>
                <c:pt idx="2">
                  <c:v>99.278496116582986</c:v>
                </c:pt>
                <c:pt idx="3">
                  <c:v>88.257892084701609</c:v>
                </c:pt>
                <c:pt idx="4">
                  <c:v>74.770422670373563</c:v>
                </c:pt>
                <c:pt idx="5">
                  <c:v>56.312457631723561</c:v>
                </c:pt>
                <c:pt idx="6">
                  <c:v>42.411060032447153</c:v>
                </c:pt>
                <c:pt idx="7">
                  <c:v>35.929850686682428</c:v>
                </c:pt>
                <c:pt idx="8">
                  <c:v>21.957905341932499</c:v>
                </c:pt>
                <c:pt idx="9">
                  <c:v>15.34897398768331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E63-4B64-BEBD-166F6EFFA20E}"/>
            </c:ext>
          </c:extLst>
        </c:ser>
        <c:ser>
          <c:idx val="6"/>
          <c:order val="6"/>
          <c:tx>
            <c:v>Tr=100años</c:v>
          </c:tx>
          <c:marker>
            <c:symbol val="square"/>
            <c:size val="2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IDF_1!$AE$352:$AE$361</c:f>
              <c:numCache>
                <c:formatCode>0</c:formatCode>
                <c:ptCount val="10"/>
                <c:pt idx="0">
                  <c:v>171.03385085055092</c:v>
                </c:pt>
                <c:pt idx="1">
                  <c:v>128.81211762132273</c:v>
                </c:pt>
                <c:pt idx="2">
                  <c:v>109.12719817020924</c:v>
                </c:pt>
                <c:pt idx="3">
                  <c:v>97.013319664936006</c:v>
                </c:pt>
                <c:pt idx="4">
                  <c:v>82.187855892160727</c:v>
                </c:pt>
                <c:pt idx="5">
                  <c:v>61.89880954897081</c:v>
                </c:pt>
                <c:pt idx="6">
                  <c:v>46.618354767729301</c:v>
                </c:pt>
                <c:pt idx="7">
                  <c:v>39.494191486414856</c:v>
                </c:pt>
                <c:pt idx="8">
                  <c:v>24.136190427762873</c:v>
                </c:pt>
                <c:pt idx="9">
                  <c:v>16.87163476062689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E63-4B64-BEBD-166F6EFFA20E}"/>
            </c:ext>
          </c:extLst>
        </c:ser>
        <c:ser>
          <c:idx val="7"/>
          <c:order val="7"/>
          <c:tx>
            <c:v>Tr=500años</c:v>
          </c:tx>
          <c:marker>
            <c:symbol val="square"/>
            <c:size val="2"/>
            <c:spPr>
              <a:solidFill>
                <a:schemeClr val="accent2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</c:spPr>
          </c:marker>
          <c:xVal>
            <c:numRef>
              <c:f>IDF_1!$W$352:$W$361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60</c:v>
                </c:pt>
                <c:pt idx="6">
                  <c:v>120</c:v>
                </c:pt>
                <c:pt idx="7">
                  <c:v>180</c:v>
                </c:pt>
                <c:pt idx="8">
                  <c:v>600</c:v>
                </c:pt>
                <c:pt idx="9">
                  <c:v>1440</c:v>
                </c:pt>
              </c:numCache>
            </c:numRef>
          </c:xVal>
          <c:yVal>
            <c:numRef>
              <c:f>IDF_1!$AF$352:$AF$361</c:f>
              <c:numCache>
                <c:formatCode>0</c:formatCode>
                <c:ptCount val="10"/>
                <c:pt idx="0">
                  <c:v>213.04032058497054</c:v>
                </c:pt>
                <c:pt idx="1">
                  <c:v>160.44879242796475</c:v>
                </c:pt>
                <c:pt idx="2">
                  <c:v>135.92919277152615</c:v>
                </c:pt>
                <c:pt idx="3">
                  <c:v>120.84010632777975</c:v>
                </c:pt>
                <c:pt idx="4">
                  <c:v>102.37346046050791</c:v>
                </c:pt>
                <c:pt idx="5">
                  <c:v>77.101358383513826</c:v>
                </c:pt>
                <c:pt idx="6">
                  <c:v>58.067974237095001</c:v>
                </c:pt>
                <c:pt idx="7">
                  <c:v>49.194093295964244</c:v>
                </c:pt>
                <c:pt idx="8">
                  <c:v>30.064117254329698</c:v>
                </c:pt>
                <c:pt idx="9">
                  <c:v>21.015363101057769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E63-4B64-BEBD-166F6EFFA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3197328"/>
        <c:axId val="-1793196240"/>
      </c:scatterChart>
      <c:valAx>
        <c:axId val="-1793197328"/>
        <c:scaling>
          <c:orientation val="minMax"/>
          <c:max val="12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Duración</a:t>
                </a:r>
                <a:r>
                  <a:rPr lang="es-PE" baseline="0"/>
                  <a:t> (minutos)</a:t>
                </a:r>
                <a:endParaRPr lang="es-PE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6240"/>
        <c:crosses val="autoZero"/>
        <c:crossBetween val="midCat"/>
      </c:valAx>
      <c:valAx>
        <c:axId val="-1793196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/>
                  <a:t>Intensidad</a:t>
                </a:r>
                <a:r>
                  <a:rPr lang="es-PE" baseline="0"/>
                  <a:t>  (mm/hr)</a:t>
                </a:r>
                <a:endParaRPr lang="es-PE"/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8575"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s-PE"/>
          </a:p>
        </c:txPr>
        <c:crossAx val="-1793197328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2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Pefect_1!$D$25:$D$48</c:f>
              <c:numCache>
                <c:formatCode>0.0</c:formatCode>
                <c:ptCount val="24"/>
                <c:pt idx="0">
                  <c:v>0.23846064879310147</c:v>
                </c:pt>
                <c:pt idx="1">
                  <c:v>0.23846064879310147</c:v>
                </c:pt>
                <c:pt idx="2">
                  <c:v>0.2818171303918473</c:v>
                </c:pt>
                <c:pt idx="3">
                  <c:v>0.28181713039184708</c:v>
                </c:pt>
                <c:pt idx="4">
                  <c:v>0.34685185278996578</c:v>
                </c:pt>
                <c:pt idx="5">
                  <c:v>0.34685185278996578</c:v>
                </c:pt>
                <c:pt idx="6">
                  <c:v>0.39020833438871172</c:v>
                </c:pt>
                <c:pt idx="7">
                  <c:v>0.47692129758620272</c:v>
                </c:pt>
                <c:pt idx="8">
                  <c:v>0.58531250158306714</c:v>
                </c:pt>
                <c:pt idx="9">
                  <c:v>0.7370601871786775</c:v>
                </c:pt>
                <c:pt idx="10">
                  <c:v>1.1706250031661347</c:v>
                </c:pt>
                <c:pt idx="11">
                  <c:v>9.2782870621315858</c:v>
                </c:pt>
                <c:pt idx="12">
                  <c:v>2.3629282471316415</c:v>
                </c:pt>
                <c:pt idx="13">
                  <c:v>1.0405555583698956</c:v>
                </c:pt>
                <c:pt idx="14">
                  <c:v>0.65034722398118916</c:v>
                </c:pt>
                <c:pt idx="15">
                  <c:v>0.65034722398118561</c:v>
                </c:pt>
                <c:pt idx="16">
                  <c:v>0.39020833438870994</c:v>
                </c:pt>
                <c:pt idx="17">
                  <c:v>0.3902083343887135</c:v>
                </c:pt>
                <c:pt idx="18">
                  <c:v>0.39020833438870994</c:v>
                </c:pt>
                <c:pt idx="19">
                  <c:v>0.39020833438870994</c:v>
                </c:pt>
                <c:pt idx="20">
                  <c:v>0.26013888959247566</c:v>
                </c:pt>
                <c:pt idx="21">
                  <c:v>0.26013888959247566</c:v>
                </c:pt>
                <c:pt idx="22">
                  <c:v>0.26013888959247211</c:v>
                </c:pt>
                <c:pt idx="23">
                  <c:v>0.26013888959247566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5-4FCE-9426-8F1CA973D955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Pefect_1!$I$25:$I$48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0.78491245005504862</c:v>
                </c:pt>
                <c:pt idx="12">
                  <c:v>0.65382739563546366</c:v>
                </c:pt>
                <c:pt idx="13">
                  <c:v>0.33829382471282177</c:v>
                </c:pt>
                <c:pt idx="14">
                  <c:v>0.22584295841899227</c:v>
                </c:pt>
                <c:pt idx="15">
                  <c:v>0.23642949056460516</c:v>
                </c:pt>
                <c:pt idx="16">
                  <c:v>0.14677570902229498</c:v>
                </c:pt>
                <c:pt idx="17">
                  <c:v>0.1503645269216598</c:v>
                </c:pt>
                <c:pt idx="18">
                  <c:v>0.15387456304671332</c:v>
                </c:pt>
                <c:pt idx="19">
                  <c:v>0.15730810653833593</c:v>
                </c:pt>
                <c:pt idx="20">
                  <c:v>0.10674282232558951</c:v>
                </c:pt>
                <c:pt idx="21">
                  <c:v>0.10821429967439222</c:v>
                </c:pt>
                <c:pt idx="22">
                  <c:v>0.10966470500394365</c:v>
                </c:pt>
                <c:pt idx="23">
                  <c:v>0.11109443874674518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F5-4FCE-9426-8F1CA973D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93195696"/>
        <c:axId val="-1793195152"/>
      </c:barChart>
      <c:catAx>
        <c:axId val="-17931956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3195152"/>
        <c:crosses val="autoZero"/>
        <c:auto val="1"/>
        <c:lblAlgn val="ctr"/>
        <c:lblOffset val="100"/>
        <c:noMultiLvlLbl val="0"/>
      </c:catAx>
      <c:valAx>
        <c:axId val="-1793195152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3195696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5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Pefect_1!$N$25:$N$48</c:f>
              <c:numCache>
                <c:formatCode>0.0</c:formatCode>
                <c:ptCount val="24"/>
                <c:pt idx="0">
                  <c:v>0.31913339074045188</c:v>
                </c:pt>
                <c:pt idx="1">
                  <c:v>0.31913339074045188</c:v>
                </c:pt>
                <c:pt idx="2">
                  <c:v>0.37715764360235249</c:v>
                </c:pt>
                <c:pt idx="3">
                  <c:v>0.37715764360235227</c:v>
                </c:pt>
                <c:pt idx="4">
                  <c:v>0.46419402289520284</c:v>
                </c:pt>
                <c:pt idx="5">
                  <c:v>0.46419402289520262</c:v>
                </c:pt>
                <c:pt idx="6">
                  <c:v>0.52221827575710345</c:v>
                </c:pt>
                <c:pt idx="7">
                  <c:v>0.63826678148090332</c:v>
                </c:pt>
                <c:pt idx="8">
                  <c:v>0.78332741363565495</c:v>
                </c:pt>
                <c:pt idx="9">
                  <c:v>0.98641229865230606</c:v>
                </c:pt>
                <c:pt idx="10">
                  <c:v>1.566654827271309</c:v>
                </c:pt>
                <c:pt idx="11">
                  <c:v>12.417190112446676</c:v>
                </c:pt>
                <c:pt idx="12">
                  <c:v>3.1623217809735706</c:v>
                </c:pt>
                <c:pt idx="13">
                  <c:v>1.3925820686856056</c:v>
                </c:pt>
                <c:pt idx="14">
                  <c:v>0.87036379292850796</c:v>
                </c:pt>
                <c:pt idx="15">
                  <c:v>0.87036379292850441</c:v>
                </c:pt>
                <c:pt idx="16">
                  <c:v>0.52221827575710478</c:v>
                </c:pt>
                <c:pt idx="17">
                  <c:v>0.52221827575710122</c:v>
                </c:pt>
                <c:pt idx="18">
                  <c:v>0.52221827575710478</c:v>
                </c:pt>
                <c:pt idx="19">
                  <c:v>0.52221827575710122</c:v>
                </c:pt>
                <c:pt idx="20">
                  <c:v>0.34814551717140318</c:v>
                </c:pt>
                <c:pt idx="21">
                  <c:v>0.34814551717139963</c:v>
                </c:pt>
                <c:pt idx="22">
                  <c:v>0.34814551717140318</c:v>
                </c:pt>
                <c:pt idx="23">
                  <c:v>0.34814551717140318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D-4B53-B9C5-D0F9C7EDEA5D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Pefect_1!$S$25:$S$48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2.2983703507147961</c:v>
                </c:pt>
                <c:pt idx="12">
                  <c:v>1.2993541584713597</c:v>
                </c:pt>
                <c:pt idx="13">
                  <c:v>0.63790146150274296</c:v>
                </c:pt>
                <c:pt idx="14">
                  <c:v>0.41717451251367343</c:v>
                </c:pt>
                <c:pt idx="15">
                  <c:v>0.43063437546842742</c:v>
                </c:pt>
                <c:pt idx="16">
                  <c:v>0.26459411093976826</c:v>
                </c:pt>
                <c:pt idx="17">
                  <c:v>0.2691046432312536</c:v>
                </c:pt>
                <c:pt idx="18">
                  <c:v>0.27349774663575488</c:v>
                </c:pt>
                <c:pt idx="19">
                  <c:v>0.27777746233356204</c:v>
                </c:pt>
                <c:pt idx="20">
                  <c:v>0.18750835710456037</c:v>
                </c:pt>
                <c:pt idx="21">
                  <c:v>0.18933017300342314</c:v>
                </c:pt>
                <c:pt idx="22">
                  <c:v>0.19112117132695872</c:v>
                </c:pt>
                <c:pt idx="23">
                  <c:v>0.19288204325211566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D-4B53-B9C5-D0F9C7EDE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93204944"/>
        <c:axId val="-1793204400"/>
      </c:barChart>
      <c:catAx>
        <c:axId val="-1793204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3204400"/>
        <c:crosses val="autoZero"/>
        <c:auto val="1"/>
        <c:lblAlgn val="ctr"/>
        <c:lblOffset val="100"/>
        <c:noMultiLvlLbl val="0"/>
      </c:catAx>
      <c:valAx>
        <c:axId val="-1793204400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3204944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10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Pefect_1!$X$25:$X$48</c:f>
              <c:numCache>
                <c:formatCode>0.0</c:formatCode>
                <c:ptCount val="24"/>
                <c:pt idx="0">
                  <c:v>0.36552412290424929</c:v>
                </c:pt>
                <c:pt idx="1">
                  <c:v>0.36552412290424929</c:v>
                </c:pt>
                <c:pt idx="2">
                  <c:v>0.43198305434138584</c:v>
                </c:pt>
                <c:pt idx="3">
                  <c:v>0.4319830543413854</c:v>
                </c:pt>
                <c:pt idx="4">
                  <c:v>0.53167145149708994</c:v>
                </c:pt>
                <c:pt idx="5">
                  <c:v>0.53167145149709016</c:v>
                </c:pt>
                <c:pt idx="6">
                  <c:v>0.59813038293422593</c:v>
                </c:pt>
                <c:pt idx="7">
                  <c:v>0.73104824580849881</c:v>
                </c:pt>
                <c:pt idx="8">
                  <c:v>0.8971955744013389</c:v>
                </c:pt>
                <c:pt idx="9">
                  <c:v>1.1298018344313165</c:v>
                </c:pt>
                <c:pt idx="10">
                  <c:v>1.7943911488026778</c:v>
                </c:pt>
                <c:pt idx="11">
                  <c:v>14.222211327547157</c:v>
                </c:pt>
                <c:pt idx="12">
                  <c:v>3.6220117633239255</c:v>
                </c:pt>
                <c:pt idx="13">
                  <c:v>1.5950143544912692</c:v>
                </c:pt>
                <c:pt idx="14">
                  <c:v>0.99688397155704322</c:v>
                </c:pt>
                <c:pt idx="15">
                  <c:v>0.99688397155704678</c:v>
                </c:pt>
                <c:pt idx="16">
                  <c:v>0.59813038293422593</c:v>
                </c:pt>
                <c:pt idx="17">
                  <c:v>0.59813038293422593</c:v>
                </c:pt>
                <c:pt idx="18">
                  <c:v>0.59813038293422593</c:v>
                </c:pt>
                <c:pt idx="19">
                  <c:v>0.59813038293422238</c:v>
                </c:pt>
                <c:pt idx="20">
                  <c:v>0.39875358862282084</c:v>
                </c:pt>
                <c:pt idx="21">
                  <c:v>0.39875358862281729</c:v>
                </c:pt>
                <c:pt idx="22">
                  <c:v>0.39875358862281729</c:v>
                </c:pt>
                <c:pt idx="23">
                  <c:v>0.39875358862281729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1-417F-9694-D76A382D5963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Pefect_1!$AC$25:$AC$48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3.43630107073432</c:v>
                </c:pt>
                <c:pt idx="12">
                  <c:v>1.7087780244173381</c:v>
                </c:pt>
                <c:pt idx="13">
                  <c:v>0.82534994508063342</c:v>
                </c:pt>
                <c:pt idx="14">
                  <c:v>0.5361751533359147</c:v>
                </c:pt>
                <c:pt idx="15">
                  <c:v>0.5509141093664347</c:v>
                </c:pt>
                <c:pt idx="16">
                  <c:v>0.33733172850407023</c:v>
                </c:pt>
                <c:pt idx="17">
                  <c:v>0.34224351462787617</c:v>
                </c:pt>
                <c:pt idx="18">
                  <c:v>0.34701783507546224</c:v>
                </c:pt>
                <c:pt idx="19">
                  <c:v>0.35165977208596466</c:v>
                </c:pt>
                <c:pt idx="20">
                  <c:v>0.23695552939359921</c:v>
                </c:pt>
                <c:pt idx="21">
                  <c:v>0.23892519949084523</c:v>
                </c:pt>
                <c:pt idx="22">
                  <c:v>0.24085912012888322</c:v>
                </c:pt>
                <c:pt idx="23">
                  <c:v>0.24275815124076949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21-417F-9694-D76A382D5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91235328"/>
        <c:axId val="-1791226624"/>
      </c:barChart>
      <c:catAx>
        <c:axId val="-17912353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26624"/>
        <c:crosses val="autoZero"/>
        <c:auto val="1"/>
        <c:lblAlgn val="ctr"/>
        <c:lblOffset val="100"/>
        <c:noMultiLvlLbl val="0"/>
      </c:catAx>
      <c:valAx>
        <c:axId val="-1791226624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5328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lang="es-PE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20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Pefect_1!$AH$25:$AH$48</c:f>
              <c:numCache>
                <c:formatCode>0.0</c:formatCode>
                <c:ptCount val="24"/>
                <c:pt idx="0">
                  <c:v>0.40607596877232516</c:v>
                </c:pt>
                <c:pt idx="1">
                  <c:v>0.40607596877232516</c:v>
                </c:pt>
                <c:pt idx="2">
                  <c:v>0.47990796309456629</c:v>
                </c:pt>
                <c:pt idx="3">
                  <c:v>0.47990796309456618</c:v>
                </c:pt>
                <c:pt idx="4">
                  <c:v>0.5906559545779273</c:v>
                </c:pt>
                <c:pt idx="5">
                  <c:v>0.59065595457792774</c:v>
                </c:pt>
                <c:pt idx="6">
                  <c:v>0.66448794890016849</c:v>
                </c:pt>
                <c:pt idx="7">
                  <c:v>0.81215193754464998</c:v>
                </c:pt>
                <c:pt idx="8">
                  <c:v>0.99673192335025274</c:v>
                </c:pt>
                <c:pt idx="9">
                  <c:v>1.2551439034780962</c:v>
                </c:pt>
                <c:pt idx="10">
                  <c:v>1.9934638467005055</c:v>
                </c:pt>
                <c:pt idx="11">
                  <c:v>15.800046784959564</c:v>
                </c:pt>
                <c:pt idx="12">
                  <c:v>4.0238436905621313</c:v>
                </c:pt>
                <c:pt idx="13">
                  <c:v>1.7719678637337779</c:v>
                </c:pt>
                <c:pt idx="14">
                  <c:v>1.1074799148336183</c:v>
                </c:pt>
                <c:pt idx="15">
                  <c:v>1.1074799148336112</c:v>
                </c:pt>
                <c:pt idx="16">
                  <c:v>0.66448794890017382</c:v>
                </c:pt>
                <c:pt idx="17">
                  <c:v>0.66448794890016671</c:v>
                </c:pt>
                <c:pt idx="18">
                  <c:v>0.66448794890016671</c:v>
                </c:pt>
                <c:pt idx="19">
                  <c:v>0.66448794890016671</c:v>
                </c:pt>
                <c:pt idx="20">
                  <c:v>0.44299196593344448</c:v>
                </c:pt>
                <c:pt idx="21">
                  <c:v>0.44299196593345158</c:v>
                </c:pt>
                <c:pt idx="22">
                  <c:v>0.44299196593344448</c:v>
                </c:pt>
                <c:pt idx="23">
                  <c:v>0.44299196593344448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2-42F4-884F-D4F30EB01253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Pefect_1!$AM$25:$AM$48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3.9378832617350534E-3</c:v>
                </c:pt>
                <c:pt idx="11">
                  <c:v>4.5590424242938274</c:v>
                </c:pt>
                <c:pt idx="12">
                  <c:v>2.0826796960945071</c:v>
                </c:pt>
                <c:pt idx="13">
                  <c:v>0.99534993679100481</c:v>
                </c:pt>
                <c:pt idx="14">
                  <c:v>0.64377684432774629</c:v>
                </c:pt>
                <c:pt idx="15">
                  <c:v>0.659441930380952</c:v>
                </c:pt>
                <c:pt idx="16">
                  <c:v>0.40285748753162487</c:v>
                </c:pt>
                <c:pt idx="17">
                  <c:v>0.40805526217649479</c:v>
                </c:pt>
                <c:pt idx="18">
                  <c:v>0.41309966516872265</c:v>
                </c:pt>
                <c:pt idx="19">
                  <c:v>0.41799667182260691</c:v>
                </c:pt>
                <c:pt idx="20">
                  <c:v>0.28131480154195643</c:v>
                </c:pt>
                <c:pt idx="21">
                  <c:v>0.28338751562800724</c:v>
                </c:pt>
                <c:pt idx="22">
                  <c:v>0.28542062504279642</c:v>
                </c:pt>
                <c:pt idx="23">
                  <c:v>0.28741513240278493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2-42F4-884F-D4F30EB01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91233152"/>
        <c:axId val="-1791229344"/>
      </c:barChart>
      <c:catAx>
        <c:axId val="-1791233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29344"/>
        <c:crosses val="autoZero"/>
        <c:auto val="1"/>
        <c:lblAlgn val="ctr"/>
        <c:lblOffset val="100"/>
        <c:noMultiLvlLbl val="0"/>
      </c:catAx>
      <c:valAx>
        <c:axId val="-1791229344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3152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25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Pefect_1!$AR$25:$AR$48</c:f>
              <c:numCache>
                <c:formatCode>0.0</c:formatCode>
                <c:ptCount val="24"/>
                <c:pt idx="0">
                  <c:v>0.45420896281492612</c:v>
                </c:pt>
                <c:pt idx="1">
                  <c:v>0.45420896281492612</c:v>
                </c:pt>
                <c:pt idx="2">
                  <c:v>0.53679241059945826</c:v>
                </c:pt>
                <c:pt idx="3">
                  <c:v>0.53679241059945815</c:v>
                </c:pt>
                <c:pt idx="4">
                  <c:v>0.66066758227625622</c:v>
                </c:pt>
                <c:pt idx="5">
                  <c:v>0.66066758227625622</c:v>
                </c:pt>
                <c:pt idx="6">
                  <c:v>0.74325103006078796</c:v>
                </c:pt>
                <c:pt idx="7">
                  <c:v>0.9084179256298528</c:v>
                </c:pt>
                <c:pt idx="8">
                  <c:v>1.1148765450911817</c:v>
                </c:pt>
                <c:pt idx="9">
                  <c:v>1.4039186123370442</c:v>
                </c:pt>
                <c:pt idx="10">
                  <c:v>2.2297530901823643</c:v>
                </c:pt>
                <c:pt idx="11">
                  <c:v>17.672857825889857</c:v>
                </c:pt>
                <c:pt idx="12">
                  <c:v>4.500797904256995</c:v>
                </c:pt>
                <c:pt idx="13">
                  <c:v>1.982002746828762</c:v>
                </c:pt>
                <c:pt idx="14">
                  <c:v>1.238751716767986</c:v>
                </c:pt>
                <c:pt idx="15">
                  <c:v>1.2387517167679789</c:v>
                </c:pt>
                <c:pt idx="16">
                  <c:v>0.74325103006079019</c:v>
                </c:pt>
                <c:pt idx="17">
                  <c:v>0.74325103006079019</c:v>
                </c:pt>
                <c:pt idx="18">
                  <c:v>0.74325103006079019</c:v>
                </c:pt>
                <c:pt idx="19">
                  <c:v>0.74325103006078308</c:v>
                </c:pt>
                <c:pt idx="20">
                  <c:v>0.49550068670718872</c:v>
                </c:pt>
                <c:pt idx="21">
                  <c:v>0.49550068670719583</c:v>
                </c:pt>
                <c:pt idx="22">
                  <c:v>0.49550068670718872</c:v>
                </c:pt>
                <c:pt idx="23">
                  <c:v>0.49550068670719583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4A-4686-99CC-E86CD5DECDC8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Pefect_1!$AW$25:$AW$48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4.8050980892371919E-2</c:v>
                </c:pt>
                <c:pt idx="11">
                  <c:v>5.9905064147473404</c:v>
                </c:pt>
                <c:pt idx="12">
                  <c:v>2.5412347163965716</c:v>
                </c:pt>
                <c:pt idx="13">
                  <c:v>1.2026480909865604</c:v>
                </c:pt>
                <c:pt idx="14">
                  <c:v>0.77466601267943247</c:v>
                </c:pt>
                <c:pt idx="15">
                  <c:v>0.79122959249981406</c:v>
                </c:pt>
                <c:pt idx="16">
                  <c:v>0.48232329350404513</c:v>
                </c:pt>
                <c:pt idx="17">
                  <c:v>0.48779377441815086</c:v>
                </c:pt>
                <c:pt idx="18">
                  <c:v>0.49309400297956429</c:v>
                </c:pt>
                <c:pt idx="19">
                  <c:v>0.49823097144417261</c:v>
                </c:pt>
                <c:pt idx="20">
                  <c:v>0.33493024465044741</c:v>
                </c:pt>
                <c:pt idx="21">
                  <c:v>0.33709876439751341</c:v>
                </c:pt>
                <c:pt idx="22">
                  <c:v>0.33922364967704866</c:v>
                </c:pt>
                <c:pt idx="23">
                  <c:v>0.34130606336002245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4A-4686-99CC-E86CD5DEC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91232608"/>
        <c:axId val="-1791239136"/>
      </c:barChart>
      <c:catAx>
        <c:axId val="-1791232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9136"/>
        <c:crosses val="autoZero"/>
        <c:auto val="1"/>
        <c:lblAlgn val="ctr"/>
        <c:lblOffset val="100"/>
        <c:noMultiLvlLbl val="0"/>
      </c:catAx>
      <c:valAx>
        <c:axId val="-1791239136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2608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50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Pefect_1!$BB$25:$BB$48</c:f>
              <c:numCache>
                <c:formatCode>0.0</c:formatCode>
                <c:ptCount val="24"/>
                <c:pt idx="0">
                  <c:v>0.48780024657203774</c:v>
                </c:pt>
                <c:pt idx="1">
                  <c:v>0.48780024657203774</c:v>
                </c:pt>
                <c:pt idx="2">
                  <c:v>0.57649120049422653</c:v>
                </c:pt>
                <c:pt idx="3">
                  <c:v>0.57649120049422664</c:v>
                </c:pt>
                <c:pt idx="4">
                  <c:v>0.7095276313775094</c:v>
                </c:pt>
                <c:pt idx="5">
                  <c:v>0.7095276313775094</c:v>
                </c:pt>
                <c:pt idx="6">
                  <c:v>0.79821858529969791</c:v>
                </c:pt>
                <c:pt idx="7">
                  <c:v>0.97560049314407582</c:v>
                </c:pt>
                <c:pt idx="8">
                  <c:v>1.1973278779495464</c:v>
                </c:pt>
                <c:pt idx="9">
                  <c:v>1.5077462166772078</c:v>
                </c:pt>
                <c:pt idx="10">
                  <c:v>2.3946557558990946</c:v>
                </c:pt>
                <c:pt idx="11">
                  <c:v>18.979864139348379</c:v>
                </c:pt>
                <c:pt idx="12">
                  <c:v>4.8336569887592802</c:v>
                </c:pt>
                <c:pt idx="13">
                  <c:v>2.1285828941325278</c:v>
                </c:pt>
                <c:pt idx="14">
                  <c:v>1.3303643088328343</c:v>
                </c:pt>
                <c:pt idx="15">
                  <c:v>1.3303643088328272</c:v>
                </c:pt>
                <c:pt idx="16">
                  <c:v>0.79821858529970058</c:v>
                </c:pt>
                <c:pt idx="17">
                  <c:v>0.79821858529970058</c:v>
                </c:pt>
                <c:pt idx="18">
                  <c:v>0.79821858529970058</c:v>
                </c:pt>
                <c:pt idx="19">
                  <c:v>0.79821858529969347</c:v>
                </c:pt>
                <c:pt idx="20">
                  <c:v>0.53214572353312661</c:v>
                </c:pt>
                <c:pt idx="21">
                  <c:v>0.53214572353313372</c:v>
                </c:pt>
                <c:pt idx="22">
                  <c:v>0.53214572353313372</c:v>
                </c:pt>
                <c:pt idx="23">
                  <c:v>0.53214572353313372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38-4EAF-904B-260BEE66B819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Pefect_1!$BG$25:$BG$48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0.10640411849025444</c:v>
                </c:pt>
                <c:pt idx="11">
                  <c:v>7.0403674824291889</c:v>
                </c:pt>
                <c:pt idx="12">
                  <c:v>2.8686839197186718</c:v>
                </c:pt>
                <c:pt idx="13">
                  <c:v>1.3500289190394188</c:v>
                </c:pt>
                <c:pt idx="14">
                  <c:v>0.8675499858589113</c:v>
                </c:pt>
                <c:pt idx="15">
                  <c:v>0.88462863425604965</c:v>
                </c:pt>
                <c:pt idx="16">
                  <c:v>0.53858597321222845</c:v>
                </c:pt>
                <c:pt idx="17">
                  <c:v>0.54420998698000744</c:v>
                </c:pt>
                <c:pt idx="18">
                  <c:v>0.54965322243167591</c:v>
                </c:pt>
                <c:pt idx="19">
                  <c:v>0.55492334534927323</c:v>
                </c:pt>
                <c:pt idx="20">
                  <c:v>0.37279455493341018</c:v>
                </c:pt>
                <c:pt idx="21">
                  <c:v>0.37501555439440537</c:v>
                </c:pt>
                <c:pt idx="22">
                  <c:v>0.37719044154715675</c:v>
                </c:pt>
                <c:pt idx="23">
                  <c:v>0.37932048412750419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38-4EAF-904B-260BEE66B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91234240"/>
        <c:axId val="-1791236416"/>
      </c:barChart>
      <c:catAx>
        <c:axId val="-17912342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6416"/>
        <c:crosses val="autoZero"/>
        <c:auto val="1"/>
        <c:lblAlgn val="ctr"/>
        <c:lblOffset val="100"/>
        <c:noMultiLvlLbl val="0"/>
      </c:catAx>
      <c:valAx>
        <c:axId val="-1791236416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4240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100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Pefect_1!$BL$25:$BL$48</c:f>
              <c:numCache>
                <c:formatCode>0.0</c:formatCode>
                <c:ptCount val="24"/>
                <c:pt idx="0">
                  <c:v>0.5066010218099557</c:v>
                </c:pt>
                <c:pt idx="1">
                  <c:v>0.5066010218099557</c:v>
                </c:pt>
                <c:pt idx="2">
                  <c:v>0.5987102985026751</c:v>
                </c:pt>
                <c:pt idx="3">
                  <c:v>0.59871029850267465</c:v>
                </c:pt>
                <c:pt idx="4">
                  <c:v>0.73687421354175386</c:v>
                </c:pt>
                <c:pt idx="5">
                  <c:v>0.73687421354175386</c:v>
                </c:pt>
                <c:pt idx="6">
                  <c:v>0.82898349023447349</c:v>
                </c:pt>
                <c:pt idx="7">
                  <c:v>1.013202043619911</c:v>
                </c:pt>
                <c:pt idx="8">
                  <c:v>1.2434752353517089</c:v>
                </c:pt>
                <c:pt idx="9">
                  <c:v>1.5658577037762278</c:v>
                </c:pt>
                <c:pt idx="10">
                  <c:v>2.4869504707034178</c:v>
                </c:pt>
                <c:pt idx="11">
                  <c:v>19.711385212241915</c:v>
                </c:pt>
                <c:pt idx="12">
                  <c:v>5.0199555797531978</c:v>
                </c:pt>
                <c:pt idx="13">
                  <c:v>2.2106226406252603</c:v>
                </c:pt>
                <c:pt idx="14">
                  <c:v>1.3816391503907894</c:v>
                </c:pt>
                <c:pt idx="15">
                  <c:v>1.3816391503907894</c:v>
                </c:pt>
                <c:pt idx="16">
                  <c:v>0.82898349023447082</c:v>
                </c:pt>
                <c:pt idx="17">
                  <c:v>0.82898349023447082</c:v>
                </c:pt>
                <c:pt idx="18">
                  <c:v>0.82898349023447793</c:v>
                </c:pt>
                <c:pt idx="19">
                  <c:v>0.82898349023447082</c:v>
                </c:pt>
                <c:pt idx="20">
                  <c:v>0.55265566015631151</c:v>
                </c:pt>
                <c:pt idx="21">
                  <c:v>0.55265566015631862</c:v>
                </c:pt>
                <c:pt idx="22">
                  <c:v>0.55265566015631151</c:v>
                </c:pt>
                <c:pt idx="23">
                  <c:v>0.55265566015631862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F1-4C07-9CCD-FC1D8DBF7E5F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Pefect_1!$BQ$25:$BQ$48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1.0556890618287906E-4</c:v>
                </c:pt>
                <c:pt idx="10">
                  <c:v>0.14836586612121502</c:v>
                </c:pt>
                <c:pt idx="11">
                  <c:v>7.6440203764092942</c:v>
                </c:pt>
                <c:pt idx="12">
                  <c:v>3.0541343688942053</c:v>
                </c:pt>
                <c:pt idx="13">
                  <c:v>1.4332945712027403</c:v>
                </c:pt>
                <c:pt idx="14">
                  <c:v>0.91997271131165448</c:v>
                </c:pt>
                <c:pt idx="15">
                  <c:v>0.93730408234146978</c:v>
                </c:pt>
                <c:pt idx="16">
                  <c:v>0.57030003267075813</c:v>
                </c:pt>
                <c:pt idx="17">
                  <c:v>0.57599840450120254</c:v>
                </c:pt>
                <c:pt idx="18">
                  <c:v>0.58151053892117943</c:v>
                </c:pt>
                <c:pt idx="19">
                  <c:v>0.58684446409218083</c:v>
                </c:pt>
                <c:pt idx="20">
                  <c:v>0.39410838260601366</c:v>
                </c:pt>
                <c:pt idx="21">
                  <c:v>0.39635428419932595</c:v>
                </c:pt>
                <c:pt idx="22">
                  <c:v>0.39855279993346926</c:v>
                </c:pt>
                <c:pt idx="23">
                  <c:v>0.400705253545933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F1-4C07-9CCD-FC1D8DBF7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91228256"/>
        <c:axId val="-1791231520"/>
      </c:barChart>
      <c:catAx>
        <c:axId val="-17912282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1520"/>
        <c:crosses val="autoZero"/>
        <c:auto val="1"/>
        <c:lblAlgn val="ctr"/>
        <c:lblOffset val="100"/>
        <c:noMultiLvlLbl val="0"/>
      </c:catAx>
      <c:valAx>
        <c:axId val="-1791231520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28256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500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Pefect_1!$BV$25:$BV$48</c:f>
              <c:numCache>
                <c:formatCode>0.0</c:formatCode>
                <c:ptCount val="24"/>
                <c:pt idx="0">
                  <c:v>0.55958362690595509</c:v>
                </c:pt>
                <c:pt idx="1">
                  <c:v>0.55958362690595509</c:v>
                </c:pt>
                <c:pt idx="2">
                  <c:v>0.66132610452522012</c:v>
                </c:pt>
                <c:pt idx="3">
                  <c:v>0.66132610452521967</c:v>
                </c:pt>
                <c:pt idx="4">
                  <c:v>0.81393982095411666</c:v>
                </c:pt>
                <c:pt idx="5">
                  <c:v>0.81393982095411666</c:v>
                </c:pt>
                <c:pt idx="6">
                  <c:v>0.91568229857338146</c:v>
                </c:pt>
                <c:pt idx="7">
                  <c:v>1.1191672538119093</c:v>
                </c:pt>
                <c:pt idx="8">
                  <c:v>1.3735234478600722</c:v>
                </c:pt>
                <c:pt idx="9">
                  <c:v>1.7296221195274972</c:v>
                </c:pt>
                <c:pt idx="10">
                  <c:v>2.7470468957201444</c:v>
                </c:pt>
                <c:pt idx="11">
                  <c:v>21.772890210522622</c:v>
                </c:pt>
                <c:pt idx="12">
                  <c:v>5.5449650302499194</c:v>
                </c:pt>
                <c:pt idx="13">
                  <c:v>2.4418194628623482</c:v>
                </c:pt>
                <c:pt idx="14">
                  <c:v>1.5261371642889685</c:v>
                </c:pt>
                <c:pt idx="15">
                  <c:v>1.5261371642889685</c:v>
                </c:pt>
                <c:pt idx="16">
                  <c:v>0.91568229857337968</c:v>
                </c:pt>
                <c:pt idx="17">
                  <c:v>0.91568229857338679</c:v>
                </c:pt>
                <c:pt idx="18">
                  <c:v>0.91568229857337968</c:v>
                </c:pt>
                <c:pt idx="19">
                  <c:v>0.91568229857337258</c:v>
                </c:pt>
                <c:pt idx="20">
                  <c:v>0.61045486571558882</c:v>
                </c:pt>
                <c:pt idx="21">
                  <c:v>0.61045486571558882</c:v>
                </c:pt>
                <c:pt idx="22">
                  <c:v>0.61045486571558882</c:v>
                </c:pt>
                <c:pt idx="23">
                  <c:v>0.61045486571558882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D4-4B95-893A-EE28A8266543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Pefect_1!$CA$25:$CA$48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2.0803357046682014E-2</c:v>
                </c:pt>
                <c:pt idx="10">
                  <c:v>0.2807263323767607</c:v>
                </c:pt>
                <c:pt idx="11">
                  <c:v>9.3996353603841065</c:v>
                </c:pt>
                <c:pt idx="12">
                  <c:v>3.5836071250982044</c:v>
                </c:pt>
                <c:pt idx="13">
                  <c:v>1.6703338287067417</c:v>
                </c:pt>
                <c:pt idx="14">
                  <c:v>1.0690277325174833</c:v>
                </c:pt>
                <c:pt idx="15">
                  <c:v>1.086950653244088</c:v>
                </c:pt>
                <c:pt idx="16">
                  <c:v>0.66033997955396018</c:v>
                </c:pt>
                <c:pt idx="17">
                  <c:v>0.66620897753851338</c:v>
                </c:pt>
                <c:pt idx="18">
                  <c:v>0.67187792773552957</c:v>
                </c:pt>
                <c:pt idx="19">
                  <c:v>0.67735581964880609</c:v>
                </c:pt>
                <c:pt idx="20">
                  <c:v>0.45452332751725066</c:v>
                </c:pt>
                <c:pt idx="21">
                  <c:v>0.4568245449209769</c:v>
                </c:pt>
                <c:pt idx="22">
                  <c:v>0.45907519386441109</c:v>
                </c:pt>
                <c:pt idx="23">
                  <c:v>0.46127674520634798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D4-4B95-893A-EE28A8266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91227712"/>
        <c:axId val="-1791241856"/>
      </c:barChart>
      <c:catAx>
        <c:axId val="-1791227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41856"/>
        <c:crosses val="autoZero"/>
        <c:auto val="1"/>
        <c:lblAlgn val="ctr"/>
        <c:lblOffset val="100"/>
        <c:noMultiLvlLbl val="0"/>
      </c:catAx>
      <c:valAx>
        <c:axId val="-1791241856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27712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Unitario Estándar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</a:t>
            </a:r>
            <a:r>
              <a:rPr lang="es-PE" sz="1200">
                <a:latin typeface="Arial" pitchFamily="34" charset="0"/>
                <a:cs typeface="Arial" pitchFamily="34" charset="0"/>
              </a:rPr>
              <a:t>(Snyder)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HUS_1!$J$47</c:f>
              <c:strCache>
                <c:ptCount val="1"/>
                <c:pt idx="0">
                  <c:v>Q (m3/s)/cm</c:v>
                </c:pt>
              </c:strCache>
            </c:strRef>
          </c:tx>
          <c:marker>
            <c:symbol val="circle"/>
            <c:size val="4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HUS_1!$I$49:$I$55</c:f>
              <c:numCache>
                <c:formatCode>0.00</c:formatCode>
                <c:ptCount val="7"/>
                <c:pt idx="0">
                  <c:v>0</c:v>
                </c:pt>
                <c:pt idx="1">
                  <c:v>5.1410582181111151</c:v>
                </c:pt>
                <c:pt idx="2">
                  <c:v>7.1041774925406358</c:v>
                </c:pt>
                <c:pt idx="3">
                  <c:v>9.7074443564580442</c:v>
                </c:pt>
                <c:pt idx="4">
                  <c:v>14.913978084292861</c:v>
                </c:pt>
                <c:pt idx="5">
                  <c:v>18.840216633151904</c:v>
                </c:pt>
                <c:pt idx="6">
                  <c:v>31.019190012590077</c:v>
                </c:pt>
              </c:numCache>
            </c:numRef>
          </c:xVal>
          <c:yVal>
            <c:numRef>
              <c:f>HUS_1!$J$49:$J$55</c:f>
              <c:numCache>
                <c:formatCode>0.00</c:formatCode>
                <c:ptCount val="7"/>
                <c:pt idx="0">
                  <c:v>0</c:v>
                </c:pt>
                <c:pt idx="1">
                  <c:v>182.77495514353691</c:v>
                </c:pt>
                <c:pt idx="2">
                  <c:v>274.16243271530539</c:v>
                </c:pt>
                <c:pt idx="3">
                  <c:v>365.54991028707383</c:v>
                </c:pt>
                <c:pt idx="4">
                  <c:v>274.16243271530539</c:v>
                </c:pt>
                <c:pt idx="5">
                  <c:v>182.77495514353691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CB-4372-B6CA-8D113D553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1230976"/>
        <c:axId val="-1791241312"/>
      </c:scatterChart>
      <c:valAx>
        <c:axId val="-179123097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41312"/>
        <c:crosses val="autoZero"/>
        <c:crossBetween val="midCat"/>
      </c:valAx>
      <c:valAx>
        <c:axId val="-1791241312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por cm de lluvia efectiva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.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097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Unitario para una Lluvia de duración t</a:t>
            </a:r>
            <a:r>
              <a:rPr lang="es-PE" sz="1200" baseline="-25000">
                <a:latin typeface="Arial" pitchFamily="34" charset="0"/>
                <a:cs typeface="Arial" pitchFamily="34" charset="0"/>
              </a:rPr>
              <a:t>R 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HUS_1!$J$47</c:f>
              <c:strCache>
                <c:ptCount val="1"/>
                <c:pt idx="0">
                  <c:v>Q (m3/s)/cm</c:v>
                </c:pt>
              </c:strCache>
            </c:strRef>
          </c:tx>
          <c:marker>
            <c:symbol val="circle"/>
            <c:size val="4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og"/>
            <c:dispRSqr val="0"/>
            <c:dispEq val="0"/>
          </c:trendline>
          <c:xVal>
            <c:numRef>
              <c:f>HUS_1!$N$35:$N$41</c:f>
              <c:numCache>
                <c:formatCode>0.00</c:formatCode>
                <c:ptCount val="7"/>
                <c:pt idx="0">
                  <c:v>0</c:v>
                </c:pt>
                <c:pt idx="1">
                  <c:v>4.7631816386903623</c:v>
                </c:pt>
                <c:pt idx="2">
                  <c:v>6.6895207038088635</c:v>
                </c:pt>
                <c:pt idx="3">
                  <c:v>9.2440138119007891</c:v>
                </c:pt>
                <c:pt idx="4">
                  <c:v>14.35300002808464</c:v>
                </c:pt>
                <c:pt idx="5">
                  <c:v>18.205678158321643</c:v>
                </c:pt>
                <c:pt idx="6">
                  <c:v>30.480700184431591</c:v>
                </c:pt>
              </c:numCache>
            </c:numRef>
          </c:xVal>
          <c:yVal>
            <c:numRef>
              <c:f>HUS_1!$O$35:$O$41</c:f>
              <c:numCache>
                <c:formatCode>0.00</c:formatCode>
                <c:ptCount val="7"/>
                <c:pt idx="0">
                  <c:v>0</c:v>
                </c:pt>
                <c:pt idx="1">
                  <c:v>186.00396410958385</c:v>
                </c:pt>
                <c:pt idx="2">
                  <c:v>279.00594616437576</c:v>
                </c:pt>
                <c:pt idx="3">
                  <c:v>372.0079282191677</c:v>
                </c:pt>
                <c:pt idx="4">
                  <c:v>279.00594616437576</c:v>
                </c:pt>
                <c:pt idx="5">
                  <c:v>186.00396410958385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D4-4DA6-BAC5-ABF620C9C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1240224"/>
        <c:axId val="-1791230432"/>
      </c:scatterChart>
      <c:valAx>
        <c:axId val="-1791240224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0432"/>
        <c:crosses val="autoZero"/>
        <c:crossBetween val="midCat"/>
        <c:majorUnit val="1"/>
        <c:minorUnit val="1"/>
      </c:valAx>
      <c:valAx>
        <c:axId val="-1791230432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por cm de lluvia efectiva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/s/cm)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.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40224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100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>
                <a:alpha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Pefect_1!$BB$25:$BB$48</c:f>
              <c:numCache>
                <c:formatCode>0.0</c:formatCode>
                <c:ptCount val="24"/>
                <c:pt idx="0">
                  <c:v>0.48780024657203774</c:v>
                </c:pt>
                <c:pt idx="1">
                  <c:v>0.48780024657203774</c:v>
                </c:pt>
                <c:pt idx="2">
                  <c:v>0.57649120049422653</c:v>
                </c:pt>
                <c:pt idx="3">
                  <c:v>0.57649120049422664</c:v>
                </c:pt>
                <c:pt idx="4">
                  <c:v>0.7095276313775094</c:v>
                </c:pt>
                <c:pt idx="5">
                  <c:v>0.7095276313775094</c:v>
                </c:pt>
                <c:pt idx="6">
                  <c:v>0.79821858529969791</c:v>
                </c:pt>
                <c:pt idx="7">
                  <c:v>0.97560049314407582</c:v>
                </c:pt>
                <c:pt idx="8">
                  <c:v>1.1973278779495464</c:v>
                </c:pt>
                <c:pt idx="9">
                  <c:v>1.5077462166772078</c:v>
                </c:pt>
                <c:pt idx="10">
                  <c:v>2.3946557558990946</c:v>
                </c:pt>
                <c:pt idx="11">
                  <c:v>18.979864139348379</c:v>
                </c:pt>
                <c:pt idx="12">
                  <c:v>4.8336569887592802</c:v>
                </c:pt>
                <c:pt idx="13">
                  <c:v>2.1285828941325278</c:v>
                </c:pt>
                <c:pt idx="14">
                  <c:v>1.3303643088328343</c:v>
                </c:pt>
                <c:pt idx="15">
                  <c:v>1.3303643088328272</c:v>
                </c:pt>
                <c:pt idx="16">
                  <c:v>0.79821858529970058</c:v>
                </c:pt>
                <c:pt idx="17">
                  <c:v>0.79821858529970058</c:v>
                </c:pt>
                <c:pt idx="18">
                  <c:v>0.79821858529970058</c:v>
                </c:pt>
                <c:pt idx="19">
                  <c:v>0.79821858529969347</c:v>
                </c:pt>
                <c:pt idx="20">
                  <c:v>0.53214572353312661</c:v>
                </c:pt>
                <c:pt idx="21">
                  <c:v>0.53214572353313372</c:v>
                </c:pt>
                <c:pt idx="22">
                  <c:v>0.53214572353313372</c:v>
                </c:pt>
                <c:pt idx="23">
                  <c:v>0.53214572353313372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CB-4D36-A0EE-290B32DB58B0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Pefect_1!$BG$25:$BG$48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0.10640411849025444</c:v>
                </c:pt>
                <c:pt idx="11">
                  <c:v>7.0403674824291889</c:v>
                </c:pt>
                <c:pt idx="12">
                  <c:v>2.8686839197186718</c:v>
                </c:pt>
                <c:pt idx="13">
                  <c:v>1.3500289190394188</c:v>
                </c:pt>
                <c:pt idx="14">
                  <c:v>0.8675499858589113</c:v>
                </c:pt>
                <c:pt idx="15">
                  <c:v>0.88462863425604965</c:v>
                </c:pt>
                <c:pt idx="16">
                  <c:v>0.53858597321222845</c:v>
                </c:pt>
                <c:pt idx="17">
                  <c:v>0.54420998698000744</c:v>
                </c:pt>
                <c:pt idx="18">
                  <c:v>0.54965322243167591</c:v>
                </c:pt>
                <c:pt idx="19">
                  <c:v>0.55492334534927323</c:v>
                </c:pt>
                <c:pt idx="20">
                  <c:v>0.37279455493341018</c:v>
                </c:pt>
                <c:pt idx="21">
                  <c:v>0.37501555439440537</c:v>
                </c:pt>
                <c:pt idx="22">
                  <c:v>0.37719044154715675</c:v>
                </c:pt>
                <c:pt idx="23">
                  <c:v>0.37932048412750419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CB-4D36-A0EE-290B32DB5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91235872"/>
        <c:axId val="-1791234784"/>
      </c:barChart>
      <c:catAx>
        <c:axId val="-17912358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4784"/>
        <c:crosses val="autoZero"/>
        <c:auto val="1"/>
        <c:lblAlgn val="ctr"/>
        <c:lblOffset val="100"/>
        <c:noMultiLvlLbl val="0"/>
      </c:catAx>
      <c:valAx>
        <c:axId val="-1791234784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5872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Escorrentia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Directa </a:t>
            </a:r>
            <a:r>
              <a:rPr lang="es-PE" sz="1200">
                <a:latin typeface="Arial" pitchFamily="34" charset="0"/>
                <a:cs typeface="Arial" pitchFamily="34" charset="0"/>
              </a:rPr>
              <a:t>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- (Tr = 100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HidrogramaTr50</c:v>
          </c:tx>
          <c:spPr>
            <a:ln w="31750">
              <a:solidFill>
                <a:srgbClr val="C00000"/>
              </a:solidFill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HUS_1!$BB$3:$BB$33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HUS_1!$BF$3:$BF$33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0.41551192749002314</c:v>
                </c:pt>
                <c:pt idx="12">
                  <c:v>28.323913269125864</c:v>
                </c:pt>
                <c:pt idx="13">
                  <c:v>67.434628973726078</c:v>
                </c:pt>
                <c:pt idx="14">
                  <c:v>111.8172563888558</c:v>
                </c:pt>
                <c:pt idx="15">
                  <c:v>159.6109529226128</c:v>
                </c:pt>
                <c:pt idx="16">
                  <c:v>212.47280158184228</c:v>
                </c:pt>
                <c:pt idx="17">
                  <c:v>272.98428338408991</c:v>
                </c:pt>
                <c:pt idx="18">
                  <c:v>335.25428903088806</c:v>
                </c:pt>
                <c:pt idx="19">
                  <c:v>393.99058307203035</c:v>
                </c:pt>
                <c:pt idx="20">
                  <c:v>452.41305373851282</c:v>
                </c:pt>
                <c:pt idx="21">
                  <c:v>482.39920369281936</c:v>
                </c:pt>
                <c:pt idx="22">
                  <c:v>492.08661810156684</c:v>
                </c:pt>
                <c:pt idx="23">
                  <c:v>493.4313826949201</c:v>
                </c:pt>
                <c:pt idx="24">
                  <c:v>490.74364040298434</c:v>
                </c:pt>
                <c:pt idx="25">
                  <c:v>483.03099482534179</c:v>
                </c:pt>
                <c:pt idx="26">
                  <c:v>468.87980516162321</c:v>
                </c:pt>
                <c:pt idx="27">
                  <c:v>448.94206396946413</c:v>
                </c:pt>
                <c:pt idx="28">
                  <c:v>424.79545384211053</c:v>
                </c:pt>
                <c:pt idx="29">
                  <c:v>396.90641237657383</c:v>
                </c:pt>
                <c:pt idx="30">
                  <c:v>370.81390768015422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B1-46D4-97F4-71C9272F3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1237504"/>
        <c:axId val="-1791240768"/>
      </c:scatterChart>
      <c:valAx>
        <c:axId val="-1791237504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40768"/>
        <c:crosses val="autoZero"/>
        <c:crossBetween val="midCat"/>
        <c:majorUnit val="1"/>
        <c:minorUnit val="1"/>
      </c:valAx>
      <c:valAx>
        <c:axId val="-1791240768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7504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Salida 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+ caudal base - (Tr = 100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HidrogramaTr50</c:v>
          </c:tx>
          <c:spPr>
            <a:ln w="31750">
              <a:solidFill>
                <a:srgbClr val="C00000"/>
              </a:solidFill>
              <a:headEnd type="none" w="med" len="med"/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HUS_1!$BB$3:$BB$33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HUS_1!$BG$3:$BG$33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1.4155119274900232</c:v>
                </c:pt>
                <c:pt idx="12">
                  <c:v>29.323913269125864</c:v>
                </c:pt>
                <c:pt idx="13">
                  <c:v>68.434628973726078</c:v>
                </c:pt>
                <c:pt idx="14">
                  <c:v>112.8172563888558</c:v>
                </c:pt>
                <c:pt idx="15">
                  <c:v>160.6109529226128</c:v>
                </c:pt>
                <c:pt idx="16">
                  <c:v>213.47280158184228</c:v>
                </c:pt>
                <c:pt idx="17">
                  <c:v>273.98428338408991</c:v>
                </c:pt>
                <c:pt idx="18">
                  <c:v>336.25428903088806</c:v>
                </c:pt>
                <c:pt idx="19">
                  <c:v>394.99058307203035</c:v>
                </c:pt>
                <c:pt idx="20">
                  <c:v>453.41305373851282</c:v>
                </c:pt>
                <c:pt idx="21">
                  <c:v>483.39920369281936</c:v>
                </c:pt>
                <c:pt idx="22">
                  <c:v>493.08661810156684</c:v>
                </c:pt>
                <c:pt idx="23">
                  <c:v>494.4313826949201</c:v>
                </c:pt>
                <c:pt idx="24">
                  <c:v>491.74364040298434</c:v>
                </c:pt>
                <c:pt idx="25">
                  <c:v>484.03099482534179</c:v>
                </c:pt>
                <c:pt idx="26">
                  <c:v>469.87980516162321</c:v>
                </c:pt>
                <c:pt idx="27">
                  <c:v>449.94206396946413</c:v>
                </c:pt>
                <c:pt idx="28">
                  <c:v>425.79545384211053</c:v>
                </c:pt>
                <c:pt idx="29">
                  <c:v>397.90641237657383</c:v>
                </c:pt>
                <c:pt idx="30">
                  <c:v>371.81390768015422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20-4BA1-9B9D-0A5C1AFE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1229888"/>
        <c:axId val="-1791227168"/>
      </c:scatterChart>
      <c:valAx>
        <c:axId val="-1791229888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27168"/>
        <c:crosses val="autoZero"/>
        <c:crossBetween val="midCat"/>
        <c:majorUnit val="1"/>
        <c:minorUnit val="1"/>
      </c:valAx>
      <c:valAx>
        <c:axId val="-1791227168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2988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Escorrentia Directa 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- (Tr = 150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HidrogramaTr100</c:v>
          </c:tx>
          <c:spPr>
            <a:ln w="31750">
              <a:solidFill>
                <a:srgbClr val="C00000"/>
              </a:solidFill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HUS_1!$BJ$3:$BJ$33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HUS_1!$BN$3:$BN$33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4.1225039325032436E-4</c:v>
                </c:pt>
                <c:pt idx="11">
                  <c:v>0.58019856901299605</c:v>
                </c:pt>
                <c:pt idx="12">
                  <c:v>31.010160665046325</c:v>
                </c:pt>
                <c:pt idx="13">
                  <c:v>73.366627829104686</c:v>
                </c:pt>
                <c:pt idx="14">
                  <c:v>121.32018515663184</c:v>
                </c:pt>
                <c:pt idx="15">
                  <c:v>172.89876951424259</c:v>
                </c:pt>
                <c:pt idx="16">
                  <c:v>229.91265216280823</c:v>
                </c:pt>
                <c:pt idx="17">
                  <c:v>295.1501566508486</c:v>
                </c:pt>
                <c:pt idx="18">
                  <c:v>362.16227983559548</c:v>
                </c:pt>
                <c:pt idx="19">
                  <c:v>425.27225967658012</c:v>
                </c:pt>
                <c:pt idx="20">
                  <c:v>487.88562427127391</c:v>
                </c:pt>
                <c:pt idx="21">
                  <c:v>519.55434748745267</c:v>
                </c:pt>
                <c:pt idx="22">
                  <c:v>529.40457092318718</c:v>
                </c:pt>
                <c:pt idx="23">
                  <c:v>530.37921771132926</c:v>
                </c:pt>
                <c:pt idx="24">
                  <c:v>527.06917614932013</c:v>
                </c:pt>
                <c:pt idx="25">
                  <c:v>518.4201419695803</c:v>
                </c:pt>
                <c:pt idx="26">
                  <c:v>502.87263964286478</c:v>
                </c:pt>
                <c:pt idx="27">
                  <c:v>481.1530847355445</c:v>
                </c:pt>
                <c:pt idx="28">
                  <c:v>454.97442169702265</c:v>
                </c:pt>
                <c:pt idx="29">
                  <c:v>424.86120027718806</c:v>
                </c:pt>
                <c:pt idx="30">
                  <c:v>396.7960544051785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26-4A09-850E-DC3C951CD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1233696"/>
        <c:axId val="-1791239680"/>
      </c:scatterChart>
      <c:valAx>
        <c:axId val="-1791233696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9680"/>
        <c:crosses val="autoZero"/>
        <c:crossBetween val="midCat"/>
        <c:majorUnit val="1"/>
        <c:minorUnit val="1"/>
      </c:valAx>
      <c:valAx>
        <c:axId val="-1791239680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369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Salida 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+ caudal base - (Tr = 150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HidrogramaTr100</c:v>
          </c:tx>
          <c:spPr>
            <a:ln w="31750">
              <a:solidFill>
                <a:srgbClr val="C00000"/>
              </a:solidFill>
              <a:headEnd type="none" w="med" len="med"/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HUS_1!$BJ$3:$BJ$33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HUS_1!$BO$3:$BO$33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1.0004122503932504</c:v>
                </c:pt>
                <c:pt idx="11">
                  <c:v>1.580198569012996</c:v>
                </c:pt>
                <c:pt idx="12">
                  <c:v>32.010160665046328</c:v>
                </c:pt>
                <c:pt idx="13">
                  <c:v>74.366627829104686</c:v>
                </c:pt>
                <c:pt idx="14">
                  <c:v>122.32018515663184</c:v>
                </c:pt>
                <c:pt idx="15">
                  <c:v>173.89876951424259</c:v>
                </c:pt>
                <c:pt idx="16">
                  <c:v>230.91265216280823</c:v>
                </c:pt>
                <c:pt idx="17">
                  <c:v>296.1501566508486</c:v>
                </c:pt>
                <c:pt idx="18">
                  <c:v>363.16227983559548</c:v>
                </c:pt>
                <c:pt idx="19">
                  <c:v>426.27225967658012</c:v>
                </c:pt>
                <c:pt idx="20">
                  <c:v>488.88562427127391</c:v>
                </c:pt>
                <c:pt idx="21">
                  <c:v>520.55434748745267</c:v>
                </c:pt>
                <c:pt idx="22">
                  <c:v>530.40457092318718</c:v>
                </c:pt>
                <c:pt idx="23">
                  <c:v>531.37921771132926</c:v>
                </c:pt>
                <c:pt idx="24">
                  <c:v>528.06917614932013</c:v>
                </c:pt>
                <c:pt idx="25">
                  <c:v>519.4201419695803</c:v>
                </c:pt>
                <c:pt idx="26">
                  <c:v>503.87263964286478</c:v>
                </c:pt>
                <c:pt idx="27">
                  <c:v>482.1530847355445</c:v>
                </c:pt>
                <c:pt idx="28">
                  <c:v>455.97442169702265</c:v>
                </c:pt>
                <c:pt idx="29">
                  <c:v>425.86120027718806</c:v>
                </c:pt>
                <c:pt idx="30">
                  <c:v>397.7960544051785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16-4BED-A4DD-208CC79CA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1228800"/>
        <c:axId val="-1791232064"/>
      </c:scatterChart>
      <c:valAx>
        <c:axId val="-1791228800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2064"/>
        <c:crosses val="autoZero"/>
        <c:crossBetween val="midCat"/>
        <c:majorUnit val="1"/>
        <c:minorUnit val="1"/>
      </c:valAx>
      <c:valAx>
        <c:axId val="-1791232064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2880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150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>
                <a:alpha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Pefect_1!$BL$25:$BL$48</c:f>
              <c:numCache>
                <c:formatCode>0.0</c:formatCode>
                <c:ptCount val="24"/>
                <c:pt idx="0">
                  <c:v>0.5066010218099557</c:v>
                </c:pt>
                <c:pt idx="1">
                  <c:v>0.5066010218099557</c:v>
                </c:pt>
                <c:pt idx="2">
                  <c:v>0.5987102985026751</c:v>
                </c:pt>
                <c:pt idx="3">
                  <c:v>0.59871029850267465</c:v>
                </c:pt>
                <c:pt idx="4">
                  <c:v>0.73687421354175386</c:v>
                </c:pt>
                <c:pt idx="5">
                  <c:v>0.73687421354175386</c:v>
                </c:pt>
                <c:pt idx="6">
                  <c:v>0.82898349023447349</c:v>
                </c:pt>
                <c:pt idx="7">
                  <c:v>1.013202043619911</c:v>
                </c:pt>
                <c:pt idx="8">
                  <c:v>1.2434752353517089</c:v>
                </c:pt>
                <c:pt idx="9">
                  <c:v>1.5658577037762278</c:v>
                </c:pt>
                <c:pt idx="10">
                  <c:v>2.4869504707034178</c:v>
                </c:pt>
                <c:pt idx="11">
                  <c:v>19.711385212241915</c:v>
                </c:pt>
                <c:pt idx="12">
                  <c:v>5.0199555797531978</c:v>
                </c:pt>
                <c:pt idx="13">
                  <c:v>2.2106226406252603</c:v>
                </c:pt>
                <c:pt idx="14">
                  <c:v>1.3816391503907894</c:v>
                </c:pt>
                <c:pt idx="15">
                  <c:v>1.3816391503907894</c:v>
                </c:pt>
                <c:pt idx="16">
                  <c:v>0.82898349023447082</c:v>
                </c:pt>
                <c:pt idx="17">
                  <c:v>0.82898349023447082</c:v>
                </c:pt>
                <c:pt idx="18">
                  <c:v>0.82898349023447793</c:v>
                </c:pt>
                <c:pt idx="19">
                  <c:v>0.82898349023447082</c:v>
                </c:pt>
                <c:pt idx="20">
                  <c:v>0.55265566015631151</c:v>
                </c:pt>
                <c:pt idx="21">
                  <c:v>0.55265566015631862</c:v>
                </c:pt>
                <c:pt idx="22">
                  <c:v>0.55265566015631151</c:v>
                </c:pt>
                <c:pt idx="23">
                  <c:v>0.55265566015631862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D0-4FE1-B704-0F2F45A15A80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Pefect_1!$BQ$25:$BQ$48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1.0556890618287906E-4</c:v>
                </c:pt>
                <c:pt idx="10">
                  <c:v>0.14836586612121502</c:v>
                </c:pt>
                <c:pt idx="11">
                  <c:v>7.6440203764092942</c:v>
                </c:pt>
                <c:pt idx="12">
                  <c:v>3.0541343688942053</c:v>
                </c:pt>
                <c:pt idx="13">
                  <c:v>1.4332945712027403</c:v>
                </c:pt>
                <c:pt idx="14">
                  <c:v>0.91997271131165448</c:v>
                </c:pt>
                <c:pt idx="15">
                  <c:v>0.93730408234146978</c:v>
                </c:pt>
                <c:pt idx="16">
                  <c:v>0.57030003267075813</c:v>
                </c:pt>
                <c:pt idx="17">
                  <c:v>0.57599840450120254</c:v>
                </c:pt>
                <c:pt idx="18">
                  <c:v>0.58151053892117943</c:v>
                </c:pt>
                <c:pt idx="19">
                  <c:v>0.58684446409218083</c:v>
                </c:pt>
                <c:pt idx="20">
                  <c:v>0.39410838260601366</c:v>
                </c:pt>
                <c:pt idx="21">
                  <c:v>0.39635428419932595</c:v>
                </c:pt>
                <c:pt idx="22">
                  <c:v>0.39855279993346926</c:v>
                </c:pt>
                <c:pt idx="23">
                  <c:v>0.400705253545933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D0-4FE1-B704-0F2F45A15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91238592"/>
        <c:axId val="-1791238048"/>
      </c:barChart>
      <c:catAx>
        <c:axId val="-1791238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8048"/>
        <c:crosses val="autoZero"/>
        <c:auto val="1"/>
        <c:lblAlgn val="ctr"/>
        <c:lblOffset val="100"/>
        <c:noMultiLvlLbl val="0"/>
      </c:catAx>
      <c:valAx>
        <c:axId val="-1791238048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8592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Escorrentia Directa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</a:t>
            </a:r>
            <a:r>
              <a:rPr lang="es-PE" sz="1200">
                <a:latin typeface="Arial" pitchFamily="34" charset="0"/>
                <a:cs typeface="Arial" pitchFamily="34" charset="0"/>
              </a:rPr>
              <a:t>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- (Tr = 500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HidrogramaTr500</c:v>
          </c:tx>
          <c:spPr>
            <a:ln w="31750">
              <a:solidFill>
                <a:srgbClr val="C00000"/>
              </a:solidFill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HUS_1!$BR$3:$BR$33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HUS_1!$BV$3:$BV$33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8.1237860971722697E-2</c:v>
                </c:pt>
                <c:pt idx="11">
                  <c:v>1.258722193585013</c:v>
                </c:pt>
                <c:pt idx="12">
                  <c:v>39.142122253081546</c:v>
                </c:pt>
                <c:pt idx="13">
                  <c:v>91.019637625444616</c:v>
                </c:pt>
                <c:pt idx="14">
                  <c:v>149.42441361723408</c:v>
                </c:pt>
                <c:pt idx="15">
                  <c:v>212.07978775789408</c:v>
                </c:pt>
                <c:pt idx="16">
                  <c:v>281.22412797894862</c:v>
                </c:pt>
                <c:pt idx="17">
                  <c:v>360.23020688523303</c:v>
                </c:pt>
                <c:pt idx="18">
                  <c:v>441.03243940354417</c:v>
                </c:pt>
                <c:pt idx="19">
                  <c:v>516.76719684314469</c:v>
                </c:pt>
                <c:pt idx="20">
                  <c:v>591.40165073410765</c:v>
                </c:pt>
                <c:pt idx="21">
                  <c:v>627.77904139600957</c:v>
                </c:pt>
                <c:pt idx="22">
                  <c:v>637.9546026226792</c:v>
                </c:pt>
                <c:pt idx="23">
                  <c:v>637.73434681650087</c:v>
                </c:pt>
                <c:pt idx="24">
                  <c:v>632.50321155352697</c:v>
                </c:pt>
                <c:pt idx="25">
                  <c:v>621.0312669211288</c:v>
                </c:pt>
                <c:pt idx="26">
                  <c:v>601.33614904393107</c:v>
                </c:pt>
                <c:pt idx="27">
                  <c:v>574.36479782442427</c:v>
                </c:pt>
                <c:pt idx="28">
                  <c:v>542.23795725246919</c:v>
                </c:pt>
                <c:pt idx="29">
                  <c:v>505.64470550314422</c:v>
                </c:pt>
                <c:pt idx="30">
                  <c:v>471.84657304974849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B1-48D6-9D1B-52B0F08CB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1236960"/>
        <c:axId val="-1787526304"/>
      </c:scatterChart>
      <c:valAx>
        <c:axId val="-1791236960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26304"/>
        <c:crosses val="autoZero"/>
        <c:crossBetween val="midCat"/>
        <c:majorUnit val="1"/>
        <c:minorUnit val="1"/>
      </c:valAx>
      <c:valAx>
        <c:axId val="-1787526304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9123696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Salida 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+ caudal base - (Tr = 500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HidrogramaTr500</c:v>
          </c:tx>
          <c:spPr>
            <a:ln w="31750">
              <a:solidFill>
                <a:srgbClr val="C00000"/>
              </a:solidFill>
              <a:headEnd type="none" w="med" len="med"/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HUS_1!$BR$3:$BR$33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HUS_1!$BW$3:$BW$33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1.0812378609717226</c:v>
                </c:pt>
                <c:pt idx="11">
                  <c:v>2.258722193585013</c:v>
                </c:pt>
                <c:pt idx="12">
                  <c:v>40.142122253081546</c:v>
                </c:pt>
                <c:pt idx="13">
                  <c:v>92.019637625444616</c:v>
                </c:pt>
                <c:pt idx="14">
                  <c:v>150.42441361723408</c:v>
                </c:pt>
                <c:pt idx="15">
                  <c:v>213.07978775789408</c:v>
                </c:pt>
                <c:pt idx="16">
                  <c:v>282.22412797894862</c:v>
                </c:pt>
                <c:pt idx="17">
                  <c:v>361.23020688523303</c:v>
                </c:pt>
                <c:pt idx="18">
                  <c:v>442.03243940354417</c:v>
                </c:pt>
                <c:pt idx="19">
                  <c:v>517.76719684314469</c:v>
                </c:pt>
                <c:pt idx="20">
                  <c:v>592.40165073410765</c:v>
                </c:pt>
                <c:pt idx="21">
                  <c:v>628.77904139600957</c:v>
                </c:pt>
                <c:pt idx="22">
                  <c:v>638.9546026226792</c:v>
                </c:pt>
                <c:pt idx="23">
                  <c:v>638.73434681650087</c:v>
                </c:pt>
                <c:pt idx="24">
                  <c:v>633.50321155352697</c:v>
                </c:pt>
                <c:pt idx="25">
                  <c:v>622.0312669211288</c:v>
                </c:pt>
                <c:pt idx="26">
                  <c:v>602.33614904393107</c:v>
                </c:pt>
                <c:pt idx="27">
                  <c:v>575.36479782442427</c:v>
                </c:pt>
                <c:pt idx="28">
                  <c:v>543.23795725246919</c:v>
                </c:pt>
                <c:pt idx="29">
                  <c:v>506.64470550314422</c:v>
                </c:pt>
                <c:pt idx="30">
                  <c:v>472.84657304974849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5D-4B0C-9598-CCA67704D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87539360"/>
        <c:axId val="-1787538272"/>
      </c:scatterChart>
      <c:valAx>
        <c:axId val="-1787539360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8272"/>
        <c:crosses val="autoZero"/>
        <c:crossBetween val="midCat"/>
        <c:majorUnit val="1"/>
        <c:minorUnit val="1"/>
      </c:valAx>
      <c:valAx>
        <c:axId val="-1787538272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936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500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>
                <a:alpha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Pefect_1!$BV$25:$BV$48</c:f>
              <c:numCache>
                <c:formatCode>0.0</c:formatCode>
                <c:ptCount val="24"/>
                <c:pt idx="0">
                  <c:v>0.55958362690595509</c:v>
                </c:pt>
                <c:pt idx="1">
                  <c:v>0.55958362690595509</c:v>
                </c:pt>
                <c:pt idx="2">
                  <c:v>0.66132610452522012</c:v>
                </c:pt>
                <c:pt idx="3">
                  <c:v>0.66132610452521967</c:v>
                </c:pt>
                <c:pt idx="4">
                  <c:v>0.81393982095411666</c:v>
                </c:pt>
                <c:pt idx="5">
                  <c:v>0.81393982095411666</c:v>
                </c:pt>
                <c:pt idx="6">
                  <c:v>0.91568229857338146</c:v>
                </c:pt>
                <c:pt idx="7">
                  <c:v>1.1191672538119093</c:v>
                </c:pt>
                <c:pt idx="8">
                  <c:v>1.3735234478600722</c:v>
                </c:pt>
                <c:pt idx="9">
                  <c:v>1.7296221195274972</c:v>
                </c:pt>
                <c:pt idx="10">
                  <c:v>2.7470468957201444</c:v>
                </c:pt>
                <c:pt idx="11">
                  <c:v>21.772890210522622</c:v>
                </c:pt>
                <c:pt idx="12">
                  <c:v>5.5449650302499194</c:v>
                </c:pt>
                <c:pt idx="13">
                  <c:v>2.4418194628623482</c:v>
                </c:pt>
                <c:pt idx="14">
                  <c:v>1.5261371642889685</c:v>
                </c:pt>
                <c:pt idx="15">
                  <c:v>1.5261371642889685</c:v>
                </c:pt>
                <c:pt idx="16">
                  <c:v>0.91568229857337968</c:v>
                </c:pt>
                <c:pt idx="17">
                  <c:v>0.91568229857338679</c:v>
                </c:pt>
                <c:pt idx="18">
                  <c:v>0.91568229857337968</c:v>
                </c:pt>
                <c:pt idx="19">
                  <c:v>0.91568229857337258</c:v>
                </c:pt>
                <c:pt idx="20">
                  <c:v>0.61045486571558882</c:v>
                </c:pt>
                <c:pt idx="21">
                  <c:v>0.61045486571558882</c:v>
                </c:pt>
                <c:pt idx="22">
                  <c:v>0.61045486571558882</c:v>
                </c:pt>
                <c:pt idx="23">
                  <c:v>0.61045486571558882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6-41AF-B84F-3E281554EFD0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Pefect_1!$CA$25:$CA$48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2.0803357046682014E-2</c:v>
                </c:pt>
                <c:pt idx="10">
                  <c:v>0.2807263323767607</c:v>
                </c:pt>
                <c:pt idx="11">
                  <c:v>9.3996353603841065</c:v>
                </c:pt>
                <c:pt idx="12">
                  <c:v>3.5836071250982044</c:v>
                </c:pt>
                <c:pt idx="13">
                  <c:v>1.6703338287067417</c:v>
                </c:pt>
                <c:pt idx="14">
                  <c:v>1.0690277325174833</c:v>
                </c:pt>
                <c:pt idx="15">
                  <c:v>1.086950653244088</c:v>
                </c:pt>
                <c:pt idx="16">
                  <c:v>0.66033997955396018</c:v>
                </c:pt>
                <c:pt idx="17">
                  <c:v>0.66620897753851338</c:v>
                </c:pt>
                <c:pt idx="18">
                  <c:v>0.67187792773552957</c:v>
                </c:pt>
                <c:pt idx="19">
                  <c:v>0.67735581964880609</c:v>
                </c:pt>
                <c:pt idx="20">
                  <c:v>0.45452332751725066</c:v>
                </c:pt>
                <c:pt idx="21">
                  <c:v>0.4568245449209769</c:v>
                </c:pt>
                <c:pt idx="22">
                  <c:v>0.45907519386441109</c:v>
                </c:pt>
                <c:pt idx="23">
                  <c:v>0.46127674520634798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6-41AF-B84F-3E281554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87530112"/>
        <c:axId val="-1787533376"/>
      </c:barChart>
      <c:catAx>
        <c:axId val="-17875301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3376"/>
        <c:crosses val="autoZero"/>
        <c:auto val="1"/>
        <c:lblAlgn val="ctr"/>
        <c:lblOffset val="100"/>
        <c:noMultiLvlLbl val="0"/>
      </c:catAx>
      <c:valAx>
        <c:axId val="-1787533376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0112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Unitario Triangular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</a:t>
            </a:r>
            <a:r>
              <a:rPr lang="es-PE" sz="1200">
                <a:latin typeface="Arial" pitchFamily="34" charset="0"/>
                <a:cs typeface="Arial" pitchFamily="34" charset="0"/>
              </a:rPr>
              <a:t>(SCS)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HUTriangular</c:v>
          </c:tx>
          <c:marker>
            <c:symbol val="circle"/>
            <c:size val="4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HUS_1!$E$102:$E$104</c:f>
              <c:numCache>
                <c:formatCode>0.00</c:formatCode>
                <c:ptCount val="3"/>
                <c:pt idx="0">
                  <c:v>0</c:v>
                </c:pt>
                <c:pt idx="1">
                  <c:v>111.56521099512766</c:v>
                </c:pt>
                <c:pt idx="2">
                  <c:v>297.87911335699084</c:v>
                </c:pt>
              </c:numCache>
            </c:numRef>
          </c:xVal>
          <c:yVal>
            <c:numRef>
              <c:f>HUS_1!$F$102:$F$104</c:f>
              <c:numCache>
                <c:formatCode>0.00</c:formatCode>
                <c:ptCount val="3"/>
                <c:pt idx="0">
                  <c:v>0</c:v>
                </c:pt>
                <c:pt idx="1">
                  <c:v>38.02216892885415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0-4C58-A70F-4859CF5FC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87524672"/>
        <c:axId val="-1787538816"/>
      </c:scatterChart>
      <c:valAx>
        <c:axId val="-178752467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.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8816"/>
        <c:crosses val="autoZero"/>
        <c:crossBetween val="midCat"/>
      </c:valAx>
      <c:valAx>
        <c:axId val="-1787538816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por cm de lluvia efectiva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2467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100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>
                <a:alpha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Pefect_1!$BB$25:$BB$48</c:f>
              <c:numCache>
                <c:formatCode>0.0</c:formatCode>
                <c:ptCount val="24"/>
                <c:pt idx="0">
                  <c:v>0.48780024657203774</c:v>
                </c:pt>
                <c:pt idx="1">
                  <c:v>0.48780024657203774</c:v>
                </c:pt>
                <c:pt idx="2">
                  <c:v>0.57649120049422653</c:v>
                </c:pt>
                <c:pt idx="3">
                  <c:v>0.57649120049422664</c:v>
                </c:pt>
                <c:pt idx="4">
                  <c:v>0.7095276313775094</c:v>
                </c:pt>
                <c:pt idx="5">
                  <c:v>0.7095276313775094</c:v>
                </c:pt>
                <c:pt idx="6">
                  <c:v>0.79821858529969791</c:v>
                </c:pt>
                <c:pt idx="7">
                  <c:v>0.97560049314407582</c:v>
                </c:pt>
                <c:pt idx="8">
                  <c:v>1.1973278779495464</c:v>
                </c:pt>
                <c:pt idx="9">
                  <c:v>1.5077462166772078</c:v>
                </c:pt>
                <c:pt idx="10">
                  <c:v>2.3946557558990946</c:v>
                </c:pt>
                <c:pt idx="11">
                  <c:v>18.979864139348379</c:v>
                </c:pt>
                <c:pt idx="12">
                  <c:v>4.8336569887592802</c:v>
                </c:pt>
                <c:pt idx="13">
                  <c:v>2.1285828941325278</c:v>
                </c:pt>
                <c:pt idx="14">
                  <c:v>1.3303643088328343</c:v>
                </c:pt>
                <c:pt idx="15">
                  <c:v>1.3303643088328272</c:v>
                </c:pt>
                <c:pt idx="16">
                  <c:v>0.79821858529970058</c:v>
                </c:pt>
                <c:pt idx="17">
                  <c:v>0.79821858529970058</c:v>
                </c:pt>
                <c:pt idx="18">
                  <c:v>0.79821858529970058</c:v>
                </c:pt>
                <c:pt idx="19">
                  <c:v>0.79821858529969347</c:v>
                </c:pt>
                <c:pt idx="20">
                  <c:v>0.53214572353312661</c:v>
                </c:pt>
                <c:pt idx="21">
                  <c:v>0.53214572353313372</c:v>
                </c:pt>
                <c:pt idx="22">
                  <c:v>0.53214572353313372</c:v>
                </c:pt>
                <c:pt idx="23">
                  <c:v>0.53214572353313372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C8-4F4B-BB56-460671AC0092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Pefect_1!$BG$25:$BG$48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0.10640411849025444</c:v>
                </c:pt>
                <c:pt idx="11">
                  <c:v>7.0403674824291889</c:v>
                </c:pt>
                <c:pt idx="12">
                  <c:v>2.8686839197186718</c:v>
                </c:pt>
                <c:pt idx="13">
                  <c:v>1.3500289190394188</c:v>
                </c:pt>
                <c:pt idx="14">
                  <c:v>0.8675499858589113</c:v>
                </c:pt>
                <c:pt idx="15">
                  <c:v>0.88462863425604965</c:v>
                </c:pt>
                <c:pt idx="16">
                  <c:v>0.53858597321222845</c:v>
                </c:pt>
                <c:pt idx="17">
                  <c:v>0.54420998698000744</c:v>
                </c:pt>
                <c:pt idx="18">
                  <c:v>0.54965322243167591</c:v>
                </c:pt>
                <c:pt idx="19">
                  <c:v>0.55492334534927323</c:v>
                </c:pt>
                <c:pt idx="20">
                  <c:v>0.37279455493341018</c:v>
                </c:pt>
                <c:pt idx="21">
                  <c:v>0.37501555439440537</c:v>
                </c:pt>
                <c:pt idx="22">
                  <c:v>0.37719044154715675</c:v>
                </c:pt>
                <c:pt idx="23">
                  <c:v>0.37932048412750419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C8-4F4B-BB56-460671AC0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87532832"/>
        <c:axId val="-1787531744"/>
      </c:barChart>
      <c:catAx>
        <c:axId val="-1787532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1744"/>
        <c:crosses val="autoZero"/>
        <c:auto val="1"/>
        <c:lblAlgn val="ctr"/>
        <c:lblOffset val="100"/>
        <c:noMultiLvlLbl val="0"/>
      </c:catAx>
      <c:valAx>
        <c:axId val="-1787531744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2832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Escorrentia Directa 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- (Tr = 100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HidrogramaTr50</c:v>
          </c:tx>
          <c:spPr>
            <a:ln w="31750">
              <a:solidFill>
                <a:srgbClr val="C00000"/>
              </a:solidFill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HUS_1!$BB$64:$BB$94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HUS_1!$BF$64:$BF$94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3.6263234137915577E-3</c:v>
                </c:pt>
                <c:pt idx="12">
                  <c:v>0.24719307211824554</c:v>
                </c:pt>
                <c:pt idx="13">
                  <c:v>0.58852648448615497</c:v>
                </c:pt>
                <c:pt idx="14">
                  <c:v>0.97586978395121404</c:v>
                </c:pt>
                <c:pt idx="15">
                  <c:v>1.3927797662758548</c:v>
                </c:pt>
                <c:pt idx="16">
                  <c:v>1.8398384832024082</c:v>
                </c:pt>
                <c:pt idx="17">
                  <c:v>2.3052525697585518</c:v>
                </c:pt>
                <c:pt idx="18">
                  <c:v>2.7892136960891514</c:v>
                </c:pt>
                <c:pt idx="19">
                  <c:v>3.2919073712933411</c:v>
                </c:pt>
                <c:pt idx="20">
                  <c:v>3.8135132046794897</c:v>
                </c:pt>
                <c:pt idx="21">
                  <c:v>4.347824125446377</c:v>
                </c:pt>
                <c:pt idx="22">
                  <c:v>4.8949158267387922</c:v>
                </c:pt>
                <c:pt idx="23">
                  <c:v>5.4548624301632751</c:v>
                </c:pt>
                <c:pt idx="24">
                  <c:v>6.027736528993378</c:v>
                </c:pt>
                <c:pt idx="25">
                  <c:v>6.600610627823488</c:v>
                </c:pt>
                <c:pt idx="26">
                  <c:v>7.1734847266535935</c:v>
                </c:pt>
                <c:pt idx="27">
                  <c:v>7.746358825483699</c:v>
                </c:pt>
                <c:pt idx="28">
                  <c:v>8.3192329243138055</c:v>
                </c:pt>
                <c:pt idx="29">
                  <c:v>8.892107023143911</c:v>
                </c:pt>
                <c:pt idx="30">
                  <c:v>9.4649811219740201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5-4C2C-AEC4-4DC9708B9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87531200"/>
        <c:axId val="-1787533920"/>
      </c:scatterChart>
      <c:valAx>
        <c:axId val="-1787531200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3920"/>
        <c:crosses val="autoZero"/>
        <c:crossBetween val="midCat"/>
        <c:majorUnit val="1"/>
        <c:minorUnit val="1"/>
      </c:valAx>
      <c:valAx>
        <c:axId val="-1787533920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120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Salida 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+ caudal base - (Tr = 100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HidrogramaTr50</c:v>
          </c:tx>
          <c:spPr>
            <a:ln w="31750">
              <a:solidFill>
                <a:srgbClr val="C00000"/>
              </a:solidFill>
              <a:headEnd type="none" w="med" len="med"/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HUS_1!$BB$64:$BB$94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HUS_1!$BG$64:$BG$94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1.0036263234137917</c:v>
                </c:pt>
                <c:pt idx="12">
                  <c:v>1.2471930721182456</c:v>
                </c:pt>
                <c:pt idx="13">
                  <c:v>1.5885264844861551</c:v>
                </c:pt>
                <c:pt idx="14">
                  <c:v>1.975869783951214</c:v>
                </c:pt>
                <c:pt idx="15">
                  <c:v>2.3927797662758548</c:v>
                </c:pt>
                <c:pt idx="16">
                  <c:v>2.8398384832024082</c:v>
                </c:pt>
                <c:pt idx="17">
                  <c:v>3.3052525697585518</c:v>
                </c:pt>
                <c:pt idx="18">
                  <c:v>3.7892136960891514</c:v>
                </c:pt>
                <c:pt idx="19">
                  <c:v>4.2919073712933411</c:v>
                </c:pt>
                <c:pt idx="20">
                  <c:v>4.8135132046794897</c:v>
                </c:pt>
                <c:pt idx="21">
                  <c:v>5.347824125446377</c:v>
                </c:pt>
                <c:pt idx="22">
                  <c:v>5.8949158267387922</c:v>
                </c:pt>
                <c:pt idx="23">
                  <c:v>6.4548624301632751</c:v>
                </c:pt>
                <c:pt idx="24">
                  <c:v>7.027736528993378</c:v>
                </c:pt>
                <c:pt idx="25">
                  <c:v>7.600610627823488</c:v>
                </c:pt>
                <c:pt idx="26">
                  <c:v>8.1734847266535944</c:v>
                </c:pt>
                <c:pt idx="27">
                  <c:v>8.7463588254836999</c:v>
                </c:pt>
                <c:pt idx="28">
                  <c:v>9.3192329243138055</c:v>
                </c:pt>
                <c:pt idx="29">
                  <c:v>9.892107023143911</c:v>
                </c:pt>
                <c:pt idx="30">
                  <c:v>10.46498112197402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8-46F2-BC4B-D30C43FB1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87524128"/>
        <c:axId val="-1787530656"/>
      </c:scatterChart>
      <c:valAx>
        <c:axId val="-1787524128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0656"/>
        <c:crosses val="autoZero"/>
        <c:crossBetween val="midCat"/>
        <c:majorUnit val="1"/>
        <c:minorUnit val="1"/>
      </c:valAx>
      <c:valAx>
        <c:axId val="-1787530656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2412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150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>
                <a:alpha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Pefect_1!$BL$25:$BL$48</c:f>
              <c:numCache>
                <c:formatCode>0.0</c:formatCode>
                <c:ptCount val="24"/>
                <c:pt idx="0">
                  <c:v>0.5066010218099557</c:v>
                </c:pt>
                <c:pt idx="1">
                  <c:v>0.5066010218099557</c:v>
                </c:pt>
                <c:pt idx="2">
                  <c:v>0.5987102985026751</c:v>
                </c:pt>
                <c:pt idx="3">
                  <c:v>0.59871029850267465</c:v>
                </c:pt>
                <c:pt idx="4">
                  <c:v>0.73687421354175386</c:v>
                </c:pt>
                <c:pt idx="5">
                  <c:v>0.73687421354175386</c:v>
                </c:pt>
                <c:pt idx="6">
                  <c:v>0.82898349023447349</c:v>
                </c:pt>
                <c:pt idx="7">
                  <c:v>1.013202043619911</c:v>
                </c:pt>
                <c:pt idx="8">
                  <c:v>1.2434752353517089</c:v>
                </c:pt>
                <c:pt idx="9">
                  <c:v>1.5658577037762278</c:v>
                </c:pt>
                <c:pt idx="10">
                  <c:v>2.4869504707034178</c:v>
                </c:pt>
                <c:pt idx="11">
                  <c:v>19.711385212241915</c:v>
                </c:pt>
                <c:pt idx="12">
                  <c:v>5.0199555797531978</c:v>
                </c:pt>
                <c:pt idx="13">
                  <c:v>2.2106226406252603</c:v>
                </c:pt>
                <c:pt idx="14">
                  <c:v>1.3816391503907894</c:v>
                </c:pt>
                <c:pt idx="15">
                  <c:v>1.3816391503907894</c:v>
                </c:pt>
                <c:pt idx="16">
                  <c:v>0.82898349023447082</c:v>
                </c:pt>
                <c:pt idx="17">
                  <c:v>0.82898349023447082</c:v>
                </c:pt>
                <c:pt idx="18">
                  <c:v>0.82898349023447793</c:v>
                </c:pt>
                <c:pt idx="19">
                  <c:v>0.82898349023447082</c:v>
                </c:pt>
                <c:pt idx="20">
                  <c:v>0.55265566015631151</c:v>
                </c:pt>
                <c:pt idx="21">
                  <c:v>0.55265566015631862</c:v>
                </c:pt>
                <c:pt idx="22">
                  <c:v>0.55265566015631151</c:v>
                </c:pt>
                <c:pt idx="23">
                  <c:v>0.55265566015631862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5B-46BD-ACC9-EB207DCC29A7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Pefect_1!$BQ$25:$BQ$48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1.0556890618287906E-4</c:v>
                </c:pt>
                <c:pt idx="10">
                  <c:v>0.14836586612121502</c:v>
                </c:pt>
                <c:pt idx="11">
                  <c:v>7.6440203764092942</c:v>
                </c:pt>
                <c:pt idx="12">
                  <c:v>3.0541343688942053</c:v>
                </c:pt>
                <c:pt idx="13">
                  <c:v>1.4332945712027403</c:v>
                </c:pt>
                <c:pt idx="14">
                  <c:v>0.91997271131165448</c:v>
                </c:pt>
                <c:pt idx="15">
                  <c:v>0.93730408234146978</c:v>
                </c:pt>
                <c:pt idx="16">
                  <c:v>0.57030003267075813</c:v>
                </c:pt>
                <c:pt idx="17">
                  <c:v>0.57599840450120254</c:v>
                </c:pt>
                <c:pt idx="18">
                  <c:v>0.58151053892117943</c:v>
                </c:pt>
                <c:pt idx="19">
                  <c:v>0.58684446409218083</c:v>
                </c:pt>
                <c:pt idx="20">
                  <c:v>0.39410838260601366</c:v>
                </c:pt>
                <c:pt idx="21">
                  <c:v>0.39635428419932595</c:v>
                </c:pt>
                <c:pt idx="22">
                  <c:v>0.39855279993346926</c:v>
                </c:pt>
                <c:pt idx="23">
                  <c:v>0.400705253545933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5B-46BD-ACC9-EB207DCC2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87536640"/>
        <c:axId val="-1787532288"/>
      </c:barChart>
      <c:catAx>
        <c:axId val="-17875366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2288"/>
        <c:crosses val="autoZero"/>
        <c:auto val="1"/>
        <c:lblAlgn val="ctr"/>
        <c:lblOffset val="100"/>
        <c:noMultiLvlLbl val="0"/>
      </c:catAx>
      <c:valAx>
        <c:axId val="-1787532288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6640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Escorrentia Directa 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- (Tr = 150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HidrogramaTr100</c:v>
          </c:tx>
          <c:spPr>
            <a:ln w="31750">
              <a:solidFill>
                <a:srgbClr val="C00000"/>
              </a:solidFill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HUS_1!$BJ$64:$BJ$94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HUS_1!$BN$64:$BN$94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3.5978588206094847E-6</c:v>
                </c:pt>
                <c:pt idx="11">
                  <c:v>5.0636035123461124E-3</c:v>
                </c:pt>
                <c:pt idx="12">
                  <c:v>0.27063692819695429</c:v>
                </c:pt>
                <c:pt idx="13">
                  <c:v>0.64029719169494059</c:v>
                </c:pt>
                <c:pt idx="14">
                  <c:v>1.0588050913198019</c:v>
                </c:pt>
                <c:pt idx="15">
                  <c:v>1.5086662752950646</c:v>
                </c:pt>
                <c:pt idx="16">
                  <c:v>1.990471408319147</c:v>
                </c:pt>
                <c:pt idx="17">
                  <c:v>2.4917127472975089</c:v>
                </c:pt>
                <c:pt idx="18">
                  <c:v>3.0125844965474475</c:v>
                </c:pt>
                <c:pt idx="19">
                  <c:v>3.5532745132909485</c:v>
                </c:pt>
                <c:pt idx="20">
                  <c:v>4.1139645812597818</c:v>
                </c:pt>
                <c:pt idx="21">
                  <c:v>4.6880861260896021</c:v>
                </c:pt>
                <c:pt idx="22">
                  <c:v>5.2757156896065034</c:v>
                </c:pt>
                <c:pt idx="23">
                  <c:v>5.8769281986948512</c:v>
                </c:pt>
                <c:pt idx="24">
                  <c:v>6.4917970104111467</c:v>
                </c:pt>
                <c:pt idx="25">
                  <c:v>7.1066658221274412</c:v>
                </c:pt>
                <c:pt idx="26">
                  <c:v>7.7215346338437358</c:v>
                </c:pt>
                <c:pt idx="27">
                  <c:v>8.336403445560034</c:v>
                </c:pt>
                <c:pt idx="28">
                  <c:v>8.9512722572763277</c:v>
                </c:pt>
                <c:pt idx="29">
                  <c:v>9.5661410689926232</c:v>
                </c:pt>
                <c:pt idx="30">
                  <c:v>10.181009880708917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0-4EE0-9D4F-613DDC52D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87529568"/>
        <c:axId val="-1787529024"/>
      </c:scatterChart>
      <c:valAx>
        <c:axId val="-1787529568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29024"/>
        <c:crosses val="autoZero"/>
        <c:crossBetween val="midCat"/>
        <c:majorUnit val="1"/>
        <c:minorUnit val="1"/>
      </c:valAx>
      <c:valAx>
        <c:axId val="-1787529024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295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Salida 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+ caudal base - (Tr = 150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HidrogramaTr100</c:v>
          </c:tx>
          <c:spPr>
            <a:ln w="31750">
              <a:solidFill>
                <a:srgbClr val="C00000"/>
              </a:solidFill>
              <a:headEnd type="none" w="med" len="med"/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HUS_1!$BJ$64:$BJ$94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HUS_1!$BO$64:$BO$94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1.0000035978588206</c:v>
                </c:pt>
                <c:pt idx="11">
                  <c:v>1.0050636035123461</c:v>
                </c:pt>
                <c:pt idx="12">
                  <c:v>1.2706369281969543</c:v>
                </c:pt>
                <c:pt idx="13">
                  <c:v>1.6402971916949407</c:v>
                </c:pt>
                <c:pt idx="14">
                  <c:v>2.0588050913198019</c:v>
                </c:pt>
                <c:pt idx="15">
                  <c:v>2.5086662752950648</c:v>
                </c:pt>
                <c:pt idx="16">
                  <c:v>2.9904714083191468</c:v>
                </c:pt>
                <c:pt idx="17">
                  <c:v>3.4917127472975089</c:v>
                </c:pt>
                <c:pt idx="18">
                  <c:v>4.0125844965474471</c:v>
                </c:pt>
                <c:pt idx="19">
                  <c:v>4.5532745132909485</c:v>
                </c:pt>
                <c:pt idx="20">
                  <c:v>5.1139645812597818</c:v>
                </c:pt>
                <c:pt idx="21">
                  <c:v>5.6880861260896021</c:v>
                </c:pt>
                <c:pt idx="22">
                  <c:v>6.2757156896065034</c:v>
                </c:pt>
                <c:pt idx="23">
                  <c:v>6.8769281986948512</c:v>
                </c:pt>
                <c:pt idx="24">
                  <c:v>7.4917970104111467</c:v>
                </c:pt>
                <c:pt idx="25">
                  <c:v>8.1066658221274412</c:v>
                </c:pt>
                <c:pt idx="26">
                  <c:v>8.721534633843735</c:v>
                </c:pt>
                <c:pt idx="27">
                  <c:v>9.336403445560034</c:v>
                </c:pt>
                <c:pt idx="28">
                  <c:v>9.9512722572763277</c:v>
                </c:pt>
                <c:pt idx="29">
                  <c:v>10.566141068992623</c:v>
                </c:pt>
                <c:pt idx="30">
                  <c:v>11.181009880708917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E3-4B62-8B26-2342E00FA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87528480"/>
        <c:axId val="-1787537728"/>
      </c:scatterChart>
      <c:valAx>
        <c:axId val="-1787528480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7728"/>
        <c:crosses val="autoZero"/>
        <c:crossBetween val="midCat"/>
        <c:majorUnit val="1"/>
        <c:minorUnit val="1"/>
      </c:valAx>
      <c:valAx>
        <c:axId val="-1787537728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2848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atin typeface="Arial" pitchFamily="34" charset="0"/>
                <a:cs typeface="Arial" pitchFamily="34" charset="0"/>
              </a:defRPr>
            </a:pPr>
            <a:r>
              <a:rPr lang="en-US" sz="1100">
                <a:latin typeface="Arial" pitchFamily="34" charset="0"/>
                <a:cs typeface="Arial" pitchFamily="34" charset="0"/>
              </a:rPr>
              <a:t>Precipitación Total y Efectiva- HIETOGRAMAS (Tr</a:t>
            </a:r>
            <a:r>
              <a:rPr lang="en-US" sz="1100" baseline="0">
                <a:latin typeface="Arial" pitchFamily="34" charset="0"/>
                <a:cs typeface="Arial" pitchFamily="34" charset="0"/>
              </a:rPr>
              <a:t> = 500 años</a:t>
            </a:r>
            <a:r>
              <a:rPr lang="en-US" sz="1100">
                <a:latin typeface="Arial" pitchFamily="34" charset="0"/>
                <a:cs typeface="Arial" pitchFamily="34" charset="0"/>
              </a:rPr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Precipitación Total</c:v>
          </c:tx>
          <c:spPr>
            <a:solidFill>
              <a:schemeClr val="accent1">
                <a:alpha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Pefect_1!$BV$25:$BV$48</c:f>
              <c:numCache>
                <c:formatCode>0.0</c:formatCode>
                <c:ptCount val="24"/>
                <c:pt idx="0">
                  <c:v>0.55958362690595509</c:v>
                </c:pt>
                <c:pt idx="1">
                  <c:v>0.55958362690595509</c:v>
                </c:pt>
                <c:pt idx="2">
                  <c:v>0.66132610452522012</c:v>
                </c:pt>
                <c:pt idx="3">
                  <c:v>0.66132610452521967</c:v>
                </c:pt>
                <c:pt idx="4">
                  <c:v>0.81393982095411666</c:v>
                </c:pt>
                <c:pt idx="5">
                  <c:v>0.81393982095411666</c:v>
                </c:pt>
                <c:pt idx="6">
                  <c:v>0.91568229857338146</c:v>
                </c:pt>
                <c:pt idx="7">
                  <c:v>1.1191672538119093</c:v>
                </c:pt>
                <c:pt idx="8">
                  <c:v>1.3735234478600722</c:v>
                </c:pt>
                <c:pt idx="9">
                  <c:v>1.7296221195274972</c:v>
                </c:pt>
                <c:pt idx="10">
                  <c:v>2.7470468957201444</c:v>
                </c:pt>
                <c:pt idx="11">
                  <c:v>21.772890210522622</c:v>
                </c:pt>
                <c:pt idx="12">
                  <c:v>5.5449650302499194</c:v>
                </c:pt>
                <c:pt idx="13">
                  <c:v>2.4418194628623482</c:v>
                </c:pt>
                <c:pt idx="14">
                  <c:v>1.5261371642889685</c:v>
                </c:pt>
                <c:pt idx="15">
                  <c:v>1.5261371642889685</c:v>
                </c:pt>
                <c:pt idx="16">
                  <c:v>0.91568229857337968</c:v>
                </c:pt>
                <c:pt idx="17">
                  <c:v>0.91568229857338679</c:v>
                </c:pt>
                <c:pt idx="18">
                  <c:v>0.91568229857337968</c:v>
                </c:pt>
                <c:pt idx="19">
                  <c:v>0.91568229857337258</c:v>
                </c:pt>
                <c:pt idx="20">
                  <c:v>0.61045486571558882</c:v>
                </c:pt>
                <c:pt idx="21">
                  <c:v>0.61045486571558882</c:v>
                </c:pt>
                <c:pt idx="22">
                  <c:v>0.61045486571558882</c:v>
                </c:pt>
                <c:pt idx="23">
                  <c:v>0.61045486571558882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9D-4E82-AF65-D3DF6E06566E}"/>
            </c:ext>
          </c:extLst>
        </c:ser>
        <c:ser>
          <c:idx val="0"/>
          <c:order val="1"/>
          <c:tx>
            <c:v>Precipitación Efectiva</c:v>
          </c:tx>
          <c:spPr>
            <a:solidFill>
              <a:schemeClr val="accent2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latin typeface="Arial" pitchFamily="34" charset="0"/>
                    <a:cs typeface="Arial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Pefect_1!$CA$25:$CA$48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2.0803357046682014E-2</c:v>
                </c:pt>
                <c:pt idx="10">
                  <c:v>0.2807263323767607</c:v>
                </c:pt>
                <c:pt idx="11">
                  <c:v>9.3996353603841065</c:v>
                </c:pt>
                <c:pt idx="12">
                  <c:v>3.5836071250982044</c:v>
                </c:pt>
                <c:pt idx="13">
                  <c:v>1.6703338287067417</c:v>
                </c:pt>
                <c:pt idx="14">
                  <c:v>1.0690277325174833</c:v>
                </c:pt>
                <c:pt idx="15">
                  <c:v>1.086950653244088</c:v>
                </c:pt>
                <c:pt idx="16">
                  <c:v>0.66033997955396018</c:v>
                </c:pt>
                <c:pt idx="17">
                  <c:v>0.66620897753851338</c:v>
                </c:pt>
                <c:pt idx="18">
                  <c:v>0.67187792773552957</c:v>
                </c:pt>
                <c:pt idx="19">
                  <c:v>0.67735581964880609</c:v>
                </c:pt>
                <c:pt idx="20">
                  <c:v>0.45452332751725066</c:v>
                </c:pt>
                <c:pt idx="21">
                  <c:v>0.4568245449209769</c:v>
                </c:pt>
                <c:pt idx="22">
                  <c:v>0.45907519386441109</c:v>
                </c:pt>
                <c:pt idx="23">
                  <c:v>0.46127674520634798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9D-4E82-AF65-D3DF6E065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787535008"/>
        <c:axId val="-1787537184"/>
      </c:barChart>
      <c:catAx>
        <c:axId val="-178753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Tiempo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(horas)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7184"/>
        <c:crosses val="autoZero"/>
        <c:auto val="1"/>
        <c:lblAlgn val="ctr"/>
        <c:lblOffset val="100"/>
        <c:noMultiLvlLbl val="0"/>
      </c:catAx>
      <c:valAx>
        <c:axId val="-1787537184"/>
        <c:scaling>
          <c:orientation val="minMax"/>
        </c:scaling>
        <c:delete val="0"/>
        <c:axPos val="l"/>
        <c:majorGridlines>
          <c:spPr>
            <a:ln w="12700">
              <a:solidFill>
                <a:schemeClr val="tx1"/>
              </a:solidFill>
            </a:ln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s-PE">
                    <a:latin typeface="Arial" pitchFamily="34" charset="0"/>
                    <a:cs typeface="Arial" pitchFamily="34" charset="0"/>
                  </a:rPr>
                  <a:t>Precipitación</a:t>
                </a:r>
                <a:r>
                  <a:rPr lang="es-PE" baseline="0">
                    <a:latin typeface="Arial" pitchFamily="34" charset="0"/>
                    <a:cs typeface="Arial" pitchFamily="34" charset="0"/>
                  </a:rPr>
                  <a:t> (mm)</a:t>
                </a:r>
                <a:endParaRPr lang="es-PE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5008"/>
        <c:crosses val="autoZero"/>
        <c:crossBetween val="between"/>
      </c:valAx>
    </c:plotArea>
    <c:legend>
      <c:legendPos val="r"/>
      <c:overlay val="1"/>
      <c:spPr>
        <a:solidFill>
          <a:schemeClr val="bg1"/>
        </a:solidFill>
        <a:ln w="6350"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Escorrentia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Directa</a:t>
            </a:r>
            <a:r>
              <a:rPr lang="es-PE" sz="1200">
                <a:latin typeface="Arial" pitchFamily="34" charset="0"/>
                <a:cs typeface="Arial" pitchFamily="34" charset="0"/>
              </a:rPr>
              <a:t> 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- (Tr = 500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HidrogramaTr500</c:v>
          </c:tx>
          <c:spPr>
            <a:ln w="31750">
              <a:solidFill>
                <a:srgbClr val="C00000"/>
              </a:solidFill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HUS_1!$BR$64:$BR$94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HUS_1!$BV$64:$BV$94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7.0899230043203741E-4</c:v>
                </c:pt>
                <c:pt idx="11">
                  <c:v>1.0985325474600249E-2</c:v>
                </c:pt>
                <c:pt idx="12">
                  <c:v>0.34160750871645995</c:v>
                </c:pt>
                <c:pt idx="13">
                  <c:v>0.79436141587992815</c:v>
                </c:pt>
                <c:pt idx="14">
                  <c:v>1.3040414153585365</c:v>
                </c:pt>
                <c:pt idx="15">
                  <c:v>1.8501545938477464</c:v>
                </c:pt>
                <c:pt idx="16">
                  <c:v>2.4333117764546732</c:v>
                </c:pt>
                <c:pt idx="17">
                  <c:v>3.0389737865334663</c:v>
                </c:pt>
                <c:pt idx="18">
                  <c:v>3.6673406434546987</c:v>
                </c:pt>
                <c:pt idx="19">
                  <c:v>4.3186055488267563</c:v>
                </c:pt>
                <c:pt idx="20">
                  <c:v>4.992955192864124</c:v>
                </c:pt>
                <c:pt idx="21">
                  <c:v>5.6827952954295746</c:v>
                </c:pt>
                <c:pt idx="22">
                  <c:v>6.3882042835489559</c:v>
                </c:pt>
                <c:pt idx="23">
                  <c:v>7.1092588608412193</c:v>
                </c:pt>
                <c:pt idx="24">
                  <c:v>7.8460340576462766</c:v>
                </c:pt>
                <c:pt idx="25">
                  <c:v>8.5828092544513321</c:v>
                </c:pt>
                <c:pt idx="26">
                  <c:v>9.319584451256393</c:v>
                </c:pt>
                <c:pt idx="27">
                  <c:v>10.056359648061447</c:v>
                </c:pt>
                <c:pt idx="28">
                  <c:v>10.793134844866506</c:v>
                </c:pt>
                <c:pt idx="29">
                  <c:v>11.529910041671558</c:v>
                </c:pt>
                <c:pt idx="30">
                  <c:v>12.266685238476615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18-4851-9482-F4AC10927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87527936"/>
        <c:axId val="-1787536096"/>
      </c:scatterChart>
      <c:valAx>
        <c:axId val="-1787527936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6096"/>
        <c:crosses val="autoZero"/>
        <c:crossBetween val="midCat"/>
        <c:majorUnit val="1"/>
        <c:minorUnit val="1"/>
      </c:valAx>
      <c:valAx>
        <c:axId val="-1787536096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27936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r>
              <a:rPr lang="es-PE" sz="1200">
                <a:latin typeface="Arial" pitchFamily="34" charset="0"/>
                <a:cs typeface="Arial" pitchFamily="34" charset="0"/>
              </a:rPr>
              <a:t>Hidrograma de Salida producido por la P</a:t>
            </a:r>
            <a:r>
              <a:rPr lang="es-PE" sz="1000">
                <a:latin typeface="Arial" pitchFamily="34" charset="0"/>
                <a:cs typeface="Arial" pitchFamily="34" charset="0"/>
              </a:rPr>
              <a:t>max</a:t>
            </a:r>
            <a:r>
              <a:rPr lang="es-PE" sz="1200">
                <a:latin typeface="Arial" pitchFamily="34" charset="0"/>
                <a:cs typeface="Arial" pitchFamily="34" charset="0"/>
              </a:rPr>
              <a:t>24h</a:t>
            </a:r>
            <a:r>
              <a:rPr lang="es-PE" sz="1200" baseline="0">
                <a:latin typeface="Arial" pitchFamily="34" charset="0"/>
                <a:cs typeface="Arial" pitchFamily="34" charset="0"/>
              </a:rPr>
              <a:t> + caudal base - (Tr = 500 años)</a:t>
            </a:r>
            <a:endParaRPr lang="es-PE" sz="1200">
              <a:latin typeface="Arial" pitchFamily="34" charset="0"/>
              <a:cs typeface="Arial" pitchFamily="34" charset="0"/>
            </a:endParaRP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HidrogramaTr500</c:v>
          </c:tx>
          <c:spPr>
            <a:ln w="31750">
              <a:solidFill>
                <a:srgbClr val="C00000"/>
              </a:solidFill>
              <a:headEnd type="none" w="med" len="med"/>
            </a:ln>
          </c:spPr>
          <c:marker>
            <c:symbol val="diamond"/>
            <c:size val="2"/>
            <c:spPr>
              <a:solidFill>
                <a:srgbClr val="C00000"/>
              </a:solidFill>
            </c:spPr>
          </c:marker>
          <c:xVal>
            <c:numRef>
              <c:f>HUS_1!$BR$64:$BR$94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HUS_1!$BW$64:$BW$94</c:f>
              <c:numCache>
                <c:formatCode>0.00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1.000708992300432</c:v>
                </c:pt>
                <c:pt idx="11">
                  <c:v>1.0109853254746002</c:v>
                </c:pt>
                <c:pt idx="12">
                  <c:v>1.3416075087164598</c:v>
                </c:pt>
                <c:pt idx="13">
                  <c:v>1.7943614158799281</c:v>
                </c:pt>
                <c:pt idx="14">
                  <c:v>2.3040414153585367</c:v>
                </c:pt>
                <c:pt idx="15">
                  <c:v>2.8501545938477464</c:v>
                </c:pt>
                <c:pt idx="16">
                  <c:v>3.4333117764546732</c:v>
                </c:pt>
                <c:pt idx="17">
                  <c:v>4.0389737865334663</c:v>
                </c:pt>
                <c:pt idx="18">
                  <c:v>4.6673406434546987</c:v>
                </c:pt>
                <c:pt idx="19">
                  <c:v>5.3186055488267563</c:v>
                </c:pt>
                <c:pt idx="20">
                  <c:v>5.992955192864124</c:v>
                </c:pt>
                <c:pt idx="21">
                  <c:v>6.6827952954295746</c:v>
                </c:pt>
                <c:pt idx="22">
                  <c:v>7.3882042835489559</c:v>
                </c:pt>
                <c:pt idx="23">
                  <c:v>8.1092588608412193</c:v>
                </c:pt>
                <c:pt idx="24">
                  <c:v>8.8460340576462766</c:v>
                </c:pt>
                <c:pt idx="25">
                  <c:v>9.5828092544513321</c:v>
                </c:pt>
                <c:pt idx="26">
                  <c:v>10.319584451256393</c:v>
                </c:pt>
                <c:pt idx="27">
                  <c:v>11.056359648061447</c:v>
                </c:pt>
                <c:pt idx="28">
                  <c:v>11.793134844866506</c:v>
                </c:pt>
                <c:pt idx="29">
                  <c:v>12.529910041671558</c:v>
                </c:pt>
                <c:pt idx="30">
                  <c:v>13.266685238476615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57-4193-9697-21447DDF2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87535552"/>
        <c:axId val="-1787534464"/>
      </c:scatterChart>
      <c:valAx>
        <c:axId val="-1787535552"/>
        <c:scaling>
          <c:orientation val="minMax"/>
          <c:max val="30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Tiempo (horas)</a:t>
                </a: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4464"/>
        <c:crosses val="autoZero"/>
        <c:crossBetween val="midCat"/>
        <c:majorUnit val="1"/>
        <c:minorUnit val="1"/>
      </c:valAx>
      <c:valAx>
        <c:axId val="-1787534464"/>
        <c:scaling>
          <c:orientation val="minMax"/>
          <c:min val="0"/>
        </c:scaling>
        <c:delete val="0"/>
        <c:axPos val="l"/>
        <c:majorGridlines/>
        <c:minorGridlines>
          <c:spPr>
            <a:ln>
              <a:solidFill>
                <a:schemeClr val="bg2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000">
                    <a:latin typeface="Arial" pitchFamily="34" charset="0"/>
                    <a:cs typeface="Arial" pitchFamily="34" charset="0"/>
                  </a:defRPr>
                </a:pPr>
                <a:r>
                  <a:rPr lang="es-PE" sz="1000">
                    <a:latin typeface="Arial" pitchFamily="34" charset="0"/>
                    <a:cs typeface="Arial" pitchFamily="34" charset="0"/>
                  </a:rPr>
                  <a:t>Caudal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 (m</a:t>
                </a:r>
                <a:r>
                  <a:rPr lang="es-PE" sz="1000" baseline="30000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es-PE" sz="1000" baseline="0">
                    <a:latin typeface="Arial" pitchFamily="34" charset="0"/>
                    <a:cs typeface="Arial" pitchFamily="34" charset="0"/>
                  </a:rPr>
                  <a:t>/s)</a:t>
                </a:r>
                <a:endParaRPr lang="es-PE" sz="1000"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0" sourceLinked="0"/>
        <c:majorTickMark val="in"/>
        <c:minorTickMark val="none"/>
        <c:tickLblPos val="nextTo"/>
        <c:spPr>
          <a:ln w="25400">
            <a:solidFill>
              <a:schemeClr val="tx1"/>
            </a:solidFill>
          </a:ln>
        </c:spPr>
        <c:crossAx val="-178753555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Style="combo" dx="16" fmlaLink="$AA$12" fmlaRange="$Y$12:$Y$18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19.png"/><Relationship Id="rId7" Type="http://schemas.openxmlformats.org/officeDocument/2006/relationships/chart" Target="../charts/chart6.xml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chart" Target="../charts/chart5.xml"/><Relationship Id="rId11" Type="http://schemas.openxmlformats.org/officeDocument/2006/relationships/image" Target="../media/image21.png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image" Target="../media/image20.png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26" Type="http://schemas.openxmlformats.org/officeDocument/2006/relationships/chart" Target="../charts/chart30.xml"/><Relationship Id="rId3" Type="http://schemas.openxmlformats.org/officeDocument/2006/relationships/chart" Target="../charts/chart12.xml"/><Relationship Id="rId21" Type="http://schemas.openxmlformats.org/officeDocument/2006/relationships/chart" Target="../charts/chart25.xml"/><Relationship Id="rId7" Type="http://schemas.openxmlformats.org/officeDocument/2006/relationships/chart" Target="../charts/chart14.xml"/><Relationship Id="rId12" Type="http://schemas.openxmlformats.org/officeDocument/2006/relationships/image" Target="../media/image26.png"/><Relationship Id="rId17" Type="http://schemas.openxmlformats.org/officeDocument/2006/relationships/chart" Target="../charts/chart21.xml"/><Relationship Id="rId25" Type="http://schemas.openxmlformats.org/officeDocument/2006/relationships/chart" Target="../charts/chart29.xml"/><Relationship Id="rId2" Type="http://schemas.openxmlformats.org/officeDocument/2006/relationships/chart" Target="../charts/chart11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1" Type="http://schemas.openxmlformats.org/officeDocument/2006/relationships/chart" Target="../charts/chart10.xml"/><Relationship Id="rId6" Type="http://schemas.openxmlformats.org/officeDocument/2006/relationships/chart" Target="../charts/chart13.xml"/><Relationship Id="rId11" Type="http://schemas.openxmlformats.org/officeDocument/2006/relationships/image" Target="../media/image25.png"/><Relationship Id="rId24" Type="http://schemas.openxmlformats.org/officeDocument/2006/relationships/chart" Target="../charts/chart28.xml"/><Relationship Id="rId5" Type="http://schemas.openxmlformats.org/officeDocument/2006/relationships/image" Target="../media/image23.png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28" Type="http://schemas.openxmlformats.org/officeDocument/2006/relationships/image" Target="../media/image27.png"/><Relationship Id="rId10" Type="http://schemas.openxmlformats.org/officeDocument/2006/relationships/image" Target="../media/image24.png"/><Relationship Id="rId19" Type="http://schemas.openxmlformats.org/officeDocument/2006/relationships/chart" Target="../charts/chart23.xml"/><Relationship Id="rId4" Type="http://schemas.openxmlformats.org/officeDocument/2006/relationships/image" Target="../media/image22.png"/><Relationship Id="rId9" Type="http://schemas.openxmlformats.org/officeDocument/2006/relationships/chart" Target="../charts/chart16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Relationship Id="rId27" Type="http://schemas.openxmlformats.org/officeDocument/2006/relationships/chart" Target="../charts/chart3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13" Type="http://schemas.openxmlformats.org/officeDocument/2006/relationships/image" Target="../media/image32.emf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12" Type="http://schemas.openxmlformats.org/officeDocument/2006/relationships/image" Target="../media/image31.emf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image" Target="../media/image30.emf"/><Relationship Id="rId5" Type="http://schemas.openxmlformats.org/officeDocument/2006/relationships/chart" Target="../charts/chart36.xml"/><Relationship Id="rId10" Type="http://schemas.openxmlformats.org/officeDocument/2006/relationships/image" Target="../media/image29.emf"/><Relationship Id="rId4" Type="http://schemas.openxmlformats.org/officeDocument/2006/relationships/chart" Target="../charts/chart35.xml"/><Relationship Id="rId9" Type="http://schemas.openxmlformats.org/officeDocument/2006/relationships/image" Target="../media/image28.emf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1.xml"/><Relationship Id="rId18" Type="http://schemas.openxmlformats.org/officeDocument/2006/relationships/chart" Target="../charts/chart56.xml"/><Relationship Id="rId26" Type="http://schemas.openxmlformats.org/officeDocument/2006/relationships/image" Target="../media/image37.emf"/><Relationship Id="rId39" Type="http://schemas.openxmlformats.org/officeDocument/2006/relationships/image" Target="../media/image50.emf"/><Relationship Id="rId21" Type="http://schemas.openxmlformats.org/officeDocument/2006/relationships/chart" Target="../charts/chart59.xml"/><Relationship Id="rId34" Type="http://schemas.openxmlformats.org/officeDocument/2006/relationships/image" Target="../media/image45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7" Type="http://schemas.openxmlformats.org/officeDocument/2006/relationships/chart" Target="../charts/chart45.xml"/><Relationship Id="rId2" Type="http://schemas.openxmlformats.org/officeDocument/2006/relationships/chart" Target="../charts/chart41.xml"/><Relationship Id="rId16" Type="http://schemas.openxmlformats.org/officeDocument/2006/relationships/chart" Target="../charts/chart54.xml"/><Relationship Id="rId29" Type="http://schemas.openxmlformats.org/officeDocument/2006/relationships/image" Target="../media/image40.emf"/><Relationship Id="rId11" Type="http://schemas.openxmlformats.org/officeDocument/2006/relationships/chart" Target="../charts/chart49.xml"/><Relationship Id="rId24" Type="http://schemas.openxmlformats.org/officeDocument/2006/relationships/image" Target="../media/image35.emf"/><Relationship Id="rId32" Type="http://schemas.openxmlformats.org/officeDocument/2006/relationships/image" Target="../media/image43.emf"/><Relationship Id="rId37" Type="http://schemas.openxmlformats.org/officeDocument/2006/relationships/image" Target="../media/image48.emf"/><Relationship Id="rId40" Type="http://schemas.openxmlformats.org/officeDocument/2006/relationships/image" Target="../media/image51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" Type="http://schemas.openxmlformats.org/officeDocument/2006/relationships/chart" Target="../charts/chart43.xml"/><Relationship Id="rId10" Type="http://schemas.openxmlformats.org/officeDocument/2006/relationships/chart" Target="../charts/chart48.xml"/><Relationship Id="rId19" Type="http://schemas.openxmlformats.org/officeDocument/2006/relationships/chart" Target="../charts/chart57.xml"/><Relationship Id="rId31" Type="http://schemas.openxmlformats.org/officeDocument/2006/relationships/image" Target="../media/image42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4" Type="http://schemas.openxmlformats.org/officeDocument/2006/relationships/chart" Target="../charts/chart42.xml"/><Relationship Id="rId9" Type="http://schemas.openxmlformats.org/officeDocument/2006/relationships/chart" Target="../charts/chart47.xml"/><Relationship Id="rId14" Type="http://schemas.openxmlformats.org/officeDocument/2006/relationships/chart" Target="../charts/chart52.xml"/><Relationship Id="rId22" Type="http://schemas.openxmlformats.org/officeDocument/2006/relationships/chart" Target="../charts/chart60.xml"/><Relationship Id="rId27" Type="http://schemas.openxmlformats.org/officeDocument/2006/relationships/image" Target="../media/image38.emf"/><Relationship Id="rId30" Type="http://schemas.openxmlformats.org/officeDocument/2006/relationships/image" Target="../media/image41.emf"/><Relationship Id="rId35" Type="http://schemas.openxmlformats.org/officeDocument/2006/relationships/image" Target="../media/image46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8" Type="http://schemas.openxmlformats.org/officeDocument/2006/relationships/chart" Target="../charts/chart46.xml"/><Relationship Id="rId51" Type="http://schemas.openxmlformats.org/officeDocument/2006/relationships/image" Target="../media/image62.emf"/><Relationship Id="rId3" Type="http://schemas.openxmlformats.org/officeDocument/2006/relationships/image" Target="../media/image33.png"/><Relationship Id="rId12" Type="http://schemas.openxmlformats.org/officeDocument/2006/relationships/chart" Target="../charts/chart50.xml"/><Relationship Id="rId17" Type="http://schemas.openxmlformats.org/officeDocument/2006/relationships/chart" Target="../charts/chart55.xml"/><Relationship Id="rId25" Type="http://schemas.openxmlformats.org/officeDocument/2006/relationships/image" Target="../media/image36.emf"/><Relationship Id="rId33" Type="http://schemas.openxmlformats.org/officeDocument/2006/relationships/image" Target="../media/image44.emf"/><Relationship Id="rId38" Type="http://schemas.openxmlformats.org/officeDocument/2006/relationships/image" Target="../media/image49.emf"/><Relationship Id="rId46" Type="http://schemas.openxmlformats.org/officeDocument/2006/relationships/image" Target="../media/image57.emf"/><Relationship Id="rId20" Type="http://schemas.openxmlformats.org/officeDocument/2006/relationships/chart" Target="../charts/chart58.xml"/><Relationship Id="rId41" Type="http://schemas.openxmlformats.org/officeDocument/2006/relationships/image" Target="../media/image52.emf"/><Relationship Id="rId54" Type="http://schemas.openxmlformats.org/officeDocument/2006/relationships/image" Target="../media/image65.emf"/><Relationship Id="rId1" Type="http://schemas.openxmlformats.org/officeDocument/2006/relationships/chart" Target="../charts/chart40.xml"/><Relationship Id="rId6" Type="http://schemas.openxmlformats.org/officeDocument/2006/relationships/chart" Target="../charts/chart44.xml"/><Relationship Id="rId15" Type="http://schemas.openxmlformats.org/officeDocument/2006/relationships/chart" Target="../charts/chart53.xml"/><Relationship Id="rId23" Type="http://schemas.openxmlformats.org/officeDocument/2006/relationships/image" Target="../media/image34.emf"/><Relationship Id="rId28" Type="http://schemas.openxmlformats.org/officeDocument/2006/relationships/image" Target="../media/image39.emf"/><Relationship Id="rId36" Type="http://schemas.openxmlformats.org/officeDocument/2006/relationships/image" Target="../media/image47.emf"/><Relationship Id="rId49" Type="http://schemas.openxmlformats.org/officeDocument/2006/relationships/image" Target="../media/image60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pn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png"/><Relationship Id="rId1" Type="http://schemas.openxmlformats.org/officeDocument/2006/relationships/image" Target="../media/image67.png"/><Relationship Id="rId6" Type="http://schemas.openxmlformats.org/officeDocument/2006/relationships/image" Target="../media/image72.emf"/><Relationship Id="rId11" Type="http://schemas.openxmlformats.org/officeDocument/2006/relationships/image" Target="../media/image77.jpeg"/><Relationship Id="rId5" Type="http://schemas.openxmlformats.org/officeDocument/2006/relationships/image" Target="../media/image71.png"/><Relationship Id="rId10" Type="http://schemas.openxmlformats.org/officeDocument/2006/relationships/image" Target="../media/image76.png"/><Relationship Id="rId4" Type="http://schemas.openxmlformats.org/officeDocument/2006/relationships/image" Target="../media/image70.png"/><Relationship Id="rId9" Type="http://schemas.openxmlformats.org/officeDocument/2006/relationships/image" Target="../media/image7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0.png"/><Relationship Id="rId2" Type="http://schemas.openxmlformats.org/officeDocument/2006/relationships/image" Target="../media/image79.png"/><Relationship Id="rId1" Type="http://schemas.openxmlformats.org/officeDocument/2006/relationships/image" Target="../media/image78.png"/><Relationship Id="rId5" Type="http://schemas.openxmlformats.org/officeDocument/2006/relationships/image" Target="../media/image82.emf"/><Relationship Id="rId4" Type="http://schemas.openxmlformats.org/officeDocument/2006/relationships/image" Target="../media/image81.w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5.png"/><Relationship Id="rId2" Type="http://schemas.openxmlformats.org/officeDocument/2006/relationships/image" Target="../media/image84.png"/><Relationship Id="rId1" Type="http://schemas.openxmlformats.org/officeDocument/2006/relationships/image" Target="../media/image83.png"/><Relationship Id="rId6" Type="http://schemas.openxmlformats.org/officeDocument/2006/relationships/image" Target="../media/image88.emf"/><Relationship Id="rId5" Type="http://schemas.openxmlformats.org/officeDocument/2006/relationships/image" Target="../media/image87.emf"/><Relationship Id="rId4" Type="http://schemas.openxmlformats.org/officeDocument/2006/relationships/image" Target="../media/image8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7" Type="http://schemas.openxmlformats.org/officeDocument/2006/relationships/image" Target="../media/image97.emf"/><Relationship Id="rId2" Type="http://schemas.openxmlformats.org/officeDocument/2006/relationships/image" Target="../media/image92.emf"/><Relationship Id="rId1" Type="http://schemas.openxmlformats.org/officeDocument/2006/relationships/image" Target="../media/image91.png"/><Relationship Id="rId6" Type="http://schemas.openxmlformats.org/officeDocument/2006/relationships/image" Target="../media/image96.emf"/><Relationship Id="rId5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9.png"/><Relationship Id="rId1" Type="http://schemas.openxmlformats.org/officeDocument/2006/relationships/image" Target="../media/image98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90.png"/><Relationship Id="rId1" Type="http://schemas.openxmlformats.org/officeDocument/2006/relationships/image" Target="../media/image8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105977</xdr:colOff>
      <xdr:row>6</xdr:row>
      <xdr:rowOff>15793</xdr:rowOff>
    </xdr:from>
    <xdr:to>
      <xdr:col>30</xdr:col>
      <xdr:colOff>828261</xdr:colOff>
      <xdr:row>36</xdr:row>
      <xdr:rowOff>122465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1</xdr:row>
          <xdr:rowOff>30480</xdr:rowOff>
        </xdr:from>
        <xdr:to>
          <xdr:col>2</xdr:col>
          <xdr:colOff>365760</xdr:colOff>
          <xdr:row>4</xdr:row>
          <xdr:rowOff>38100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0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Preparar para 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4</xdr:row>
          <xdr:rowOff>99060</xdr:rowOff>
        </xdr:from>
        <xdr:to>
          <xdr:col>2</xdr:col>
          <xdr:colOff>365760</xdr:colOff>
          <xdr:row>7</xdr:row>
          <xdr:rowOff>152400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0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Restaurar Colores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415541</xdr:colOff>
      <xdr:row>37</xdr:row>
      <xdr:rowOff>13606</xdr:rowOff>
    </xdr:from>
    <xdr:to>
      <xdr:col>30</xdr:col>
      <xdr:colOff>320408</xdr:colOff>
      <xdr:row>70</xdr:row>
      <xdr:rowOff>183374</xdr:rowOff>
    </xdr:to>
    <xdr:graphicFrame macro="">
      <xdr:nvGraphicFramePr>
        <xdr:cNvPr id="22" name="21 Gráfico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</xdr:row>
          <xdr:rowOff>144780</xdr:rowOff>
        </xdr:from>
        <xdr:to>
          <xdr:col>2</xdr:col>
          <xdr:colOff>533400</xdr:colOff>
          <xdr:row>15</xdr:row>
          <xdr:rowOff>60960</xdr:rowOff>
        </xdr:to>
        <xdr:sp macro="" textlink="">
          <xdr:nvSpPr>
            <xdr:cNvPr id="44038" name="Group Box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0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Nro de Estaciones a trabajar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106680</xdr:rowOff>
        </xdr:from>
        <xdr:to>
          <xdr:col>2</xdr:col>
          <xdr:colOff>403860</xdr:colOff>
          <xdr:row>10</xdr:row>
          <xdr:rowOff>68580</xdr:rowOff>
        </xdr:to>
        <xdr:sp macro="" textlink="">
          <xdr:nvSpPr>
            <xdr:cNvPr id="44039" name="Option 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0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Estación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10</xdr:row>
          <xdr:rowOff>175260</xdr:rowOff>
        </xdr:from>
        <xdr:to>
          <xdr:col>2</xdr:col>
          <xdr:colOff>373380</xdr:colOff>
          <xdr:row>11</xdr:row>
          <xdr:rowOff>144780</xdr:rowOff>
        </xdr:to>
        <xdr:sp macro="" textlink="">
          <xdr:nvSpPr>
            <xdr:cNvPr id="44040" name="Option 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0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 Estaciones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12</xdr:row>
          <xdr:rowOff>68580</xdr:rowOff>
        </xdr:from>
        <xdr:to>
          <xdr:col>2</xdr:col>
          <xdr:colOff>373380</xdr:colOff>
          <xdr:row>13</xdr:row>
          <xdr:rowOff>68580</xdr:rowOff>
        </xdr:to>
        <xdr:sp macro="" textlink="">
          <xdr:nvSpPr>
            <xdr:cNvPr id="44041" name="Option 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0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 Estaciones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13</xdr:row>
          <xdr:rowOff>144780</xdr:rowOff>
        </xdr:from>
        <xdr:to>
          <xdr:col>2</xdr:col>
          <xdr:colOff>381000</xdr:colOff>
          <xdr:row>14</xdr:row>
          <xdr:rowOff>121920</xdr:rowOff>
        </xdr:to>
        <xdr:sp macro="" textlink="">
          <xdr:nvSpPr>
            <xdr:cNvPr id="44043" name="Option 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0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Estaciones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22860</xdr:rowOff>
        </xdr:from>
        <xdr:to>
          <xdr:col>2</xdr:col>
          <xdr:colOff>381000</xdr:colOff>
          <xdr:row>16</xdr:row>
          <xdr:rowOff>7620</xdr:rowOff>
        </xdr:to>
        <xdr:sp macro="" textlink="">
          <xdr:nvSpPr>
            <xdr:cNvPr id="44044" name="Option 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0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 Estaciones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738376</xdr:colOff>
      <xdr:row>12</xdr:row>
      <xdr:rowOff>2</xdr:rowOff>
    </xdr:from>
    <xdr:to>
      <xdr:col>21</xdr:col>
      <xdr:colOff>235326</xdr:colOff>
      <xdr:row>18</xdr:row>
      <xdr:rowOff>85009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4695" b="2448"/>
        <a:stretch/>
      </xdr:blipFill>
      <xdr:spPr>
        <a:xfrm>
          <a:off x="957451" y="2085977"/>
          <a:ext cx="6964549" cy="1102820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10086</xdr:colOff>
      <xdr:row>10</xdr:row>
      <xdr:rowOff>16254</xdr:rowOff>
    </xdr:from>
    <xdr:to>
      <xdr:col>11</xdr:col>
      <xdr:colOff>209549</xdr:colOff>
      <xdr:row>26</xdr:row>
      <xdr:rowOff>166994</xdr:rowOff>
    </xdr:to>
    <xdr:pic>
      <xdr:nvPicPr>
        <xdr:cNvPr id="24" name="Imagen 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77311" y="1921254"/>
          <a:ext cx="4438089" cy="3406929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>
    <xdr:from>
      <xdr:col>5</xdr:col>
      <xdr:colOff>57151</xdr:colOff>
      <xdr:row>37</xdr:row>
      <xdr:rowOff>1</xdr:rowOff>
    </xdr:from>
    <xdr:to>
      <xdr:col>11</xdr:col>
      <xdr:colOff>549088</xdr:colOff>
      <xdr:row>62</xdr:row>
      <xdr:rowOff>179294</xdr:rowOff>
    </xdr:to>
    <xdr:graphicFrame macro="">
      <xdr:nvGraphicFramePr>
        <xdr:cNvPr id="7" name="21 Gráfic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8</xdr:col>
      <xdr:colOff>752476</xdr:colOff>
      <xdr:row>5</xdr:row>
      <xdr:rowOff>152400</xdr:rowOff>
    </xdr:from>
    <xdr:ext cx="1142999" cy="250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9 CuadroTexto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6915151" y="1104900"/>
              <a:ext cx="1142999" cy="250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bPr>
                      <m:e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𝑦</m:t>
                        </m:r>
                      </m:e>
                      <m:sub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𝐻</m:t>
                        </m:r>
                      </m:sub>
                    </m:sSub>
                    <m:r>
                      <a:rPr lang="es-PE" sz="100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s-PE" sz="1000" b="0" i="1">
                        <a:latin typeface="Cambria Math" panose="02040503050406030204" pitchFamily="18" charset="0"/>
                        <a:ea typeface="Cambria Math"/>
                      </a:rPr>
                      <m:t>𝑋</m:t>
                    </m:r>
                    <m:r>
                      <a:rPr lang="es-PE" sz="1000" b="0" i="1">
                        <a:latin typeface="Cambria Math" panose="02040503050406030204" pitchFamily="18" charset="0"/>
                        <a:ea typeface="Cambria Math"/>
                      </a:rPr>
                      <m:t>+</m:t>
                    </m:r>
                    <m:d>
                      <m:dPr>
                        <m:ctrlP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𝐾</m:t>
                            </m:r>
                          </m:e>
                          <m:sub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𝑛</m:t>
                            </m:r>
                          </m:sub>
                        </m:sSub>
                      </m:e>
                    </m:d>
                    <m:r>
                      <a:rPr lang="es-PE" sz="1000" b="0" i="1">
                        <a:latin typeface="Cambria Math" panose="02040503050406030204" pitchFamily="18" charset="0"/>
                        <a:ea typeface="Cambria Math"/>
                      </a:rPr>
                      <m:t> </m:t>
                    </m:r>
                    <m:r>
                      <a:rPr lang="es-PE" sz="1000" b="0" i="1">
                        <a:latin typeface="Cambria Math" panose="02040503050406030204" pitchFamily="18" charset="0"/>
                        <a:ea typeface="Cambria Math"/>
                      </a:rPr>
                      <m:t>𝑆</m:t>
                    </m:r>
                  </m:oMath>
                </m:oMathPara>
              </a14:m>
              <a:endParaRPr lang="es-PE" sz="10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6" name="9 CuadroTexto"/>
            <xdr:cNvSpPr txBox="1"/>
          </xdr:nvSpPr>
          <xdr:spPr>
            <a:xfrm>
              <a:off x="6915151" y="1104900"/>
              <a:ext cx="1142999" cy="250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/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𝑦</a:t>
              </a:r>
              <a:r>
                <a:rPr lang="es-PE" sz="1000" b="0" i="0">
                  <a:latin typeface="Cambria Math"/>
                  <a:ea typeface="Cambria Math"/>
                </a:rPr>
                <a:t>_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𝐻</a:t>
              </a:r>
              <a:r>
                <a:rPr lang="es-PE" sz="1000" b="0" i="0">
                  <a:latin typeface="Cambria Math"/>
                  <a:ea typeface="Cambria Math"/>
                </a:rPr>
                <a:t>=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𝑋+</a:t>
              </a:r>
              <a:r>
                <a:rPr lang="es-PE" sz="1000" b="0" i="0">
                  <a:latin typeface="Cambria Math"/>
                  <a:ea typeface="Cambria Math"/>
                </a:rPr>
                <a:t>(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𝐾</a:t>
              </a:r>
              <a:r>
                <a:rPr lang="es-PE" sz="1000" b="0" i="0">
                  <a:latin typeface="Cambria Math"/>
                  <a:ea typeface="Cambria Math"/>
                </a:rPr>
                <a:t>_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𝑛</a:t>
              </a:r>
              <a:r>
                <a:rPr lang="es-PE" sz="1000" b="0" i="0">
                  <a:latin typeface="Cambria Math"/>
                  <a:ea typeface="Cambria Math"/>
                </a:rPr>
                <a:t> )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  𝑆</a:t>
              </a:r>
              <a:endParaRPr lang="es-PE" sz="10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742950</xdr:colOff>
      <xdr:row>6</xdr:row>
      <xdr:rowOff>171450</xdr:rowOff>
    </xdr:from>
    <xdr:ext cx="1142999" cy="250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26 CuadroTexto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6905625" y="1314450"/>
              <a:ext cx="1142999" cy="250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bPr>
                      <m:e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𝑦</m:t>
                        </m:r>
                      </m:e>
                      <m:sub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𝐿</m:t>
                        </m:r>
                      </m:sub>
                    </m:sSub>
                    <m:r>
                      <a:rPr lang="es-PE" sz="100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s-PE" sz="1000" b="0" i="1">
                        <a:latin typeface="Cambria Math" panose="02040503050406030204" pitchFamily="18" charset="0"/>
                        <a:ea typeface="Cambria Math"/>
                      </a:rPr>
                      <m:t>𝑋</m:t>
                    </m:r>
                    <m:r>
                      <a:rPr lang="es-PE" sz="1000" b="0" i="1">
                        <a:latin typeface="Cambria Math" panose="02040503050406030204" pitchFamily="18" charset="0"/>
                        <a:ea typeface="Cambria Math"/>
                      </a:rPr>
                      <m:t>−</m:t>
                    </m:r>
                    <m:d>
                      <m:dPr>
                        <m:ctrlP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𝐾</m:t>
                            </m:r>
                          </m:e>
                          <m:sub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𝑛</m:t>
                            </m:r>
                          </m:sub>
                        </m:sSub>
                      </m:e>
                    </m:d>
                    <m:r>
                      <a:rPr lang="es-PE" sz="1000" b="0" i="1">
                        <a:latin typeface="Cambria Math" panose="02040503050406030204" pitchFamily="18" charset="0"/>
                        <a:ea typeface="Cambria Math"/>
                      </a:rPr>
                      <m:t> </m:t>
                    </m:r>
                    <m:r>
                      <a:rPr lang="es-PE" sz="1000" b="0" i="1">
                        <a:latin typeface="Cambria Math" panose="02040503050406030204" pitchFamily="18" charset="0"/>
                        <a:ea typeface="Cambria Math"/>
                      </a:rPr>
                      <m:t>𝑆</m:t>
                    </m:r>
                  </m:oMath>
                </m:oMathPara>
              </a14:m>
              <a:endParaRPr lang="es-PE" sz="10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7" name="26 CuadroTexto"/>
            <xdr:cNvSpPr txBox="1"/>
          </xdr:nvSpPr>
          <xdr:spPr>
            <a:xfrm>
              <a:off x="6905625" y="1314450"/>
              <a:ext cx="1142999" cy="250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/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𝑦</a:t>
              </a:r>
              <a:r>
                <a:rPr lang="es-PE" sz="1000" b="0" i="0">
                  <a:latin typeface="Cambria Math"/>
                  <a:ea typeface="Cambria Math"/>
                </a:rPr>
                <a:t>_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𝐿</a:t>
              </a:r>
              <a:r>
                <a:rPr lang="es-PE" sz="1000" b="0" i="0">
                  <a:latin typeface="Cambria Math"/>
                  <a:ea typeface="Cambria Math"/>
                </a:rPr>
                <a:t>=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𝑋−</a:t>
              </a:r>
              <a:r>
                <a:rPr lang="es-PE" sz="1000" b="0" i="0">
                  <a:latin typeface="Cambria Math"/>
                  <a:ea typeface="Cambria Math"/>
                </a:rPr>
                <a:t>(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𝐾</a:t>
              </a:r>
              <a:r>
                <a:rPr lang="es-PE" sz="1000" b="0" i="0">
                  <a:latin typeface="Cambria Math"/>
                  <a:ea typeface="Cambria Math"/>
                </a:rPr>
                <a:t>_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𝑛</a:t>
              </a:r>
              <a:r>
                <a:rPr lang="es-PE" sz="1000" b="0" i="0">
                  <a:latin typeface="Cambria Math"/>
                  <a:ea typeface="Cambria Math"/>
                </a:rPr>
                <a:t> )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  𝑆</a:t>
              </a:r>
              <a:endParaRPr lang="es-PE" sz="10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762000</xdr:colOff>
      <xdr:row>31</xdr:row>
      <xdr:rowOff>152400</xdr:rowOff>
    </xdr:from>
    <xdr:ext cx="1076325" cy="250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9 CuadroTexto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 txBox="1"/>
          </xdr:nvSpPr>
          <xdr:spPr>
            <a:xfrm>
              <a:off x="6924675" y="6057900"/>
              <a:ext cx="1076325" cy="250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bPr>
                      <m:e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𝑃</m:t>
                        </m:r>
                      </m:e>
                      <m:sub>
                        <m:func>
                          <m:funcPr>
                            <m:ctrlP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PE" sz="1000" b="0" i="0">
                                <a:latin typeface="Cambria Math" panose="02040503050406030204" pitchFamily="18" charset="0"/>
                                <a:ea typeface="Cambria Math"/>
                              </a:rPr>
                              <m:t>max</m:t>
                            </m:r>
                          </m:fName>
                          <m:e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𝐻</m:t>
                            </m:r>
                          </m:e>
                        </m:func>
                      </m:sub>
                    </m:sSub>
                    <m:r>
                      <a:rPr lang="es-PE" sz="1000" b="0" i="1">
                        <a:latin typeface="Cambria Math"/>
                        <a:ea typeface="Cambria Math"/>
                      </a:rPr>
                      <m:t>=</m:t>
                    </m:r>
                    <m:sSup>
                      <m:sSupPr>
                        <m:ctrlP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10</m:t>
                        </m:r>
                      </m:e>
                      <m:sup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(</m:t>
                        </m:r>
                        <m:sSub>
                          <m:sSubPr>
                            <m:ctrlP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𝑦</m:t>
                            </m:r>
                          </m:e>
                          <m:sub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𝐻</m:t>
                            </m:r>
                          </m:sub>
                        </m:sSub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s-PE" sz="10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8" name="9 CuadroTexto"/>
            <xdr:cNvSpPr txBox="1"/>
          </xdr:nvSpPr>
          <xdr:spPr>
            <a:xfrm>
              <a:off x="6924675" y="6057900"/>
              <a:ext cx="1076325" cy="250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/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𝑃</a:t>
              </a:r>
              <a:r>
                <a:rPr lang="es-PE" sz="1000" b="0" i="0">
                  <a:latin typeface="Cambria Math"/>
                  <a:ea typeface="Cambria Math"/>
                </a:rPr>
                <a:t>_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max</a:t>
              </a:r>
              <a:r>
                <a:rPr lang="es-PE" sz="1000" b="0" i="0">
                  <a:latin typeface="Cambria Math"/>
                  <a:ea typeface="Cambria Math"/>
                </a:rPr>
                <a:t>⁡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𝐻</a:t>
              </a:r>
              <a:r>
                <a:rPr lang="es-PE" sz="1000" b="0" i="0">
                  <a:latin typeface="Cambria Math"/>
                  <a:ea typeface="Cambria Math"/>
                </a:rPr>
                <a:t> =〖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10</a:t>
              </a:r>
              <a:r>
                <a:rPr lang="es-PE" sz="1000" b="0" i="0">
                  <a:latin typeface="Cambria Math"/>
                  <a:ea typeface="Cambria Math"/>
                </a:rPr>
                <a:t>〗^(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(𝑦</a:t>
              </a:r>
              <a:r>
                <a:rPr lang="es-PE" sz="1000" b="0" i="0">
                  <a:latin typeface="Cambria Math"/>
                  <a:ea typeface="Cambria Math"/>
                </a:rPr>
                <a:t>_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𝐻)</a:t>
              </a:r>
              <a:r>
                <a:rPr lang="es-PE" sz="1000" b="0" i="0">
                  <a:latin typeface="Cambria Math"/>
                  <a:ea typeface="Cambria Math"/>
                </a:rPr>
                <a:t>)</a:t>
              </a:r>
              <a:endParaRPr lang="es-PE" sz="10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742950</xdr:colOff>
      <xdr:row>34</xdr:row>
      <xdr:rowOff>152400</xdr:rowOff>
    </xdr:from>
    <xdr:ext cx="1076325" cy="250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9 CuadroTexto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 txBox="1"/>
          </xdr:nvSpPr>
          <xdr:spPr>
            <a:xfrm>
              <a:off x="6905625" y="6629400"/>
              <a:ext cx="1076325" cy="250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bPr>
                      <m:e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𝑃</m:t>
                        </m:r>
                      </m:e>
                      <m:sub>
                        <m:func>
                          <m:funcPr>
                            <m:ctrlP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PE" sz="1000" b="0" i="0">
                                <a:latin typeface="Cambria Math" panose="02040503050406030204" pitchFamily="18" charset="0"/>
                                <a:ea typeface="Cambria Math"/>
                              </a:rPr>
                              <m:t>m</m:t>
                            </m:r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𝑖𝑛</m:t>
                            </m:r>
                          </m:fName>
                          <m:e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𝐿</m:t>
                            </m:r>
                          </m:e>
                        </m:func>
                      </m:sub>
                    </m:sSub>
                    <m:r>
                      <a:rPr lang="es-PE" sz="1000" b="0" i="1">
                        <a:latin typeface="Cambria Math"/>
                        <a:ea typeface="Cambria Math"/>
                      </a:rPr>
                      <m:t>=</m:t>
                    </m:r>
                    <m:sSup>
                      <m:sSupPr>
                        <m:ctrlP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10</m:t>
                        </m:r>
                      </m:e>
                      <m:sup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(</m:t>
                        </m:r>
                        <m:sSub>
                          <m:sSubPr>
                            <m:ctrlP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𝑦</m:t>
                            </m:r>
                          </m:e>
                          <m:sub>
                            <m:r>
                              <a:rPr lang="es-PE" sz="100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𝐿</m:t>
                            </m:r>
                          </m:sub>
                        </m:sSub>
                        <m:r>
                          <a:rPr lang="es-PE" sz="1000" b="0" i="1">
                            <a:latin typeface="Cambria Math" panose="02040503050406030204" pitchFamily="18" charset="0"/>
                            <a:ea typeface="Cambria Math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s-PE" sz="10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9" name="9 CuadroTexto"/>
            <xdr:cNvSpPr txBox="1"/>
          </xdr:nvSpPr>
          <xdr:spPr>
            <a:xfrm>
              <a:off x="6905625" y="6629400"/>
              <a:ext cx="1076325" cy="250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/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𝑃</a:t>
              </a:r>
              <a:r>
                <a:rPr lang="es-PE" sz="1000" b="0" i="0">
                  <a:latin typeface="Cambria Math"/>
                  <a:ea typeface="Cambria Math"/>
                </a:rPr>
                <a:t>_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m𝑖𝑛</a:t>
              </a:r>
              <a:r>
                <a:rPr lang="es-PE" sz="1000" b="0" i="0">
                  <a:latin typeface="Cambria Math"/>
                  <a:ea typeface="Cambria Math"/>
                </a:rPr>
                <a:t>⁡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𝐿</a:t>
              </a:r>
              <a:r>
                <a:rPr lang="es-PE" sz="1000" b="0" i="0">
                  <a:latin typeface="Cambria Math"/>
                  <a:ea typeface="Cambria Math"/>
                </a:rPr>
                <a:t> =〖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10</a:t>
              </a:r>
              <a:r>
                <a:rPr lang="es-PE" sz="1000" b="0" i="0">
                  <a:latin typeface="Cambria Math"/>
                  <a:ea typeface="Cambria Math"/>
                </a:rPr>
                <a:t>〗^(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(𝑦</a:t>
              </a:r>
              <a:r>
                <a:rPr lang="es-PE" sz="1000" b="0" i="0">
                  <a:latin typeface="Cambria Math"/>
                  <a:ea typeface="Cambria Math"/>
                </a:rPr>
                <a:t>_</a:t>
              </a:r>
              <a:r>
                <a:rPr lang="es-PE" sz="1000" b="0" i="0">
                  <a:latin typeface="Cambria Math" panose="02040503050406030204" pitchFamily="18" charset="0"/>
                  <a:ea typeface="Cambria Math"/>
                </a:rPr>
                <a:t>𝐿)</a:t>
              </a:r>
              <a:r>
                <a:rPr lang="es-PE" sz="1000" b="0" i="0">
                  <a:latin typeface="Cambria Math"/>
                  <a:ea typeface="Cambria Math"/>
                </a:rPr>
                <a:t>)</a:t>
              </a:r>
              <a:endParaRPr lang="es-PE" sz="10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273325</xdr:colOff>
      <xdr:row>152</xdr:row>
      <xdr:rowOff>74242</xdr:rowOff>
    </xdr:from>
    <xdr:to>
      <xdr:col>13</xdr:col>
      <xdr:colOff>886617</xdr:colOff>
      <xdr:row>164</xdr:row>
      <xdr:rowOff>285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12325" y="27901896"/>
          <a:ext cx="4137542" cy="2202518"/>
        </a:xfrm>
        <a:prstGeom prst="rect">
          <a:avLst/>
        </a:prstGeom>
      </xdr:spPr>
    </xdr:pic>
    <xdr:clientData/>
  </xdr:twoCellAnchor>
  <xdr:twoCellAnchor editAs="oneCell">
    <xdr:from>
      <xdr:col>10</xdr:col>
      <xdr:colOff>481262</xdr:colOff>
      <xdr:row>81</xdr:row>
      <xdr:rowOff>22373</xdr:rowOff>
    </xdr:from>
    <xdr:to>
      <xdr:col>14</xdr:col>
      <xdr:colOff>182707</xdr:colOff>
      <xdr:row>95</xdr:row>
      <xdr:rowOff>41930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09080" y="14257918"/>
          <a:ext cx="3649991" cy="2842421"/>
        </a:xfrm>
        <a:prstGeom prst="rect">
          <a:avLst/>
        </a:prstGeom>
      </xdr:spPr>
    </xdr:pic>
    <xdr:clientData/>
  </xdr:twoCellAnchor>
  <xdr:twoCellAnchor editAs="oneCell">
    <xdr:from>
      <xdr:col>29</xdr:col>
      <xdr:colOff>209096</xdr:colOff>
      <xdr:row>80</xdr:row>
      <xdr:rowOff>60778</xdr:rowOff>
    </xdr:from>
    <xdr:to>
      <xdr:col>31</xdr:col>
      <xdr:colOff>249238</xdr:colOff>
      <xdr:row>110</xdr:row>
      <xdr:rowOff>61314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824417" y="14021707"/>
          <a:ext cx="1781857" cy="6055713"/>
        </a:xfrm>
        <a:prstGeom prst="rect">
          <a:avLst/>
        </a:prstGeom>
      </xdr:spPr>
    </xdr:pic>
    <xdr:clientData/>
  </xdr:twoCellAnchor>
  <xdr:twoCellAnchor editAs="oneCell">
    <xdr:from>
      <xdr:col>25</xdr:col>
      <xdr:colOff>253546</xdr:colOff>
      <xdr:row>80</xdr:row>
      <xdr:rowOff>91136</xdr:rowOff>
    </xdr:from>
    <xdr:to>
      <xdr:col>28</xdr:col>
      <xdr:colOff>910771</xdr:colOff>
      <xdr:row>83</xdr:row>
      <xdr:rowOff>3615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344617" y="14052065"/>
          <a:ext cx="3201761" cy="505505"/>
        </a:xfrm>
        <a:prstGeom prst="rect">
          <a:avLst/>
        </a:prstGeom>
      </xdr:spPr>
    </xdr:pic>
    <xdr:clientData/>
  </xdr:twoCellAnchor>
  <xdr:twoCellAnchor editAs="oneCell">
    <xdr:from>
      <xdr:col>38</xdr:col>
      <xdr:colOff>539562</xdr:colOff>
      <xdr:row>78</xdr:row>
      <xdr:rowOff>158675</xdr:rowOff>
    </xdr:from>
    <xdr:to>
      <xdr:col>42</xdr:col>
      <xdr:colOff>174626</xdr:colOff>
      <xdr:row>82</xdr:row>
      <xdr:rowOff>37515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800737" y="13665125"/>
          <a:ext cx="2625914" cy="6694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77</xdr:row>
          <xdr:rowOff>137160</xdr:rowOff>
        </xdr:from>
        <xdr:to>
          <xdr:col>7</xdr:col>
          <xdr:colOff>251460</xdr:colOff>
          <xdr:row>80</xdr:row>
          <xdr:rowOff>60960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Preparar para Imprimir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190500</xdr:colOff>
      <xdr:row>25</xdr:row>
      <xdr:rowOff>107811</xdr:rowOff>
    </xdr:from>
    <xdr:to>
      <xdr:col>3</xdr:col>
      <xdr:colOff>587201</xdr:colOff>
      <xdr:row>27</xdr:row>
      <xdr:rowOff>73270</xdr:rowOff>
    </xdr:to>
    <xdr:sp macro="" textlink="">
      <xdr:nvSpPr>
        <xdr:cNvPr id="4" name="3 Flecha derech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88981" y="4980215"/>
          <a:ext cx="396701" cy="353786"/>
        </a:xfrm>
        <a:prstGeom prst="rightArrow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60</xdr:col>
      <xdr:colOff>458932</xdr:colOff>
      <xdr:row>4</xdr:row>
      <xdr:rowOff>59971</xdr:rowOff>
    </xdr:from>
    <xdr:to>
      <xdr:col>72</xdr:col>
      <xdr:colOff>54070</xdr:colOff>
      <xdr:row>53</xdr:row>
      <xdr:rowOff>10741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1114614" y="752698"/>
          <a:ext cx="8739138" cy="842839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571501</xdr:colOff>
      <xdr:row>112</xdr:row>
      <xdr:rowOff>142465</xdr:rowOff>
    </xdr:from>
    <xdr:to>
      <xdr:col>28</xdr:col>
      <xdr:colOff>776822</xdr:colOff>
      <xdr:row>120</xdr:row>
      <xdr:rowOff>6676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855610" y="20318900"/>
          <a:ext cx="3452103" cy="1454471"/>
        </a:xfrm>
        <a:prstGeom prst="rect">
          <a:avLst/>
        </a:prstGeom>
      </xdr:spPr>
    </xdr:pic>
    <xdr:clientData/>
  </xdr:twoCellAnchor>
  <xdr:twoCellAnchor>
    <xdr:from>
      <xdr:col>28</xdr:col>
      <xdr:colOff>853109</xdr:colOff>
      <xdr:row>115</xdr:row>
      <xdr:rowOff>41413</xdr:rowOff>
    </xdr:from>
    <xdr:to>
      <xdr:col>29</xdr:col>
      <xdr:colOff>886239</xdr:colOff>
      <xdr:row>115</xdr:row>
      <xdr:rowOff>91108</xdr:rowOff>
    </xdr:to>
    <xdr:cxnSp macro="">
      <xdr:nvCxnSpPr>
        <xdr:cNvPr id="10" name="9 Conector recto de flecha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24384000" y="20814196"/>
          <a:ext cx="1010478" cy="4969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119</xdr:row>
      <xdr:rowOff>24848</xdr:rowOff>
    </xdr:from>
    <xdr:to>
      <xdr:col>29</xdr:col>
      <xdr:colOff>828261</xdr:colOff>
      <xdr:row>119</xdr:row>
      <xdr:rowOff>74544</xdr:rowOff>
    </xdr:to>
    <xdr:cxnSp macro="">
      <xdr:nvCxnSpPr>
        <xdr:cNvPr id="15" name="14 Conector recto de flecha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23911891" y="21592761"/>
          <a:ext cx="1424609" cy="49696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32</xdr:col>
      <xdr:colOff>529558</xdr:colOff>
      <xdr:row>82</xdr:row>
      <xdr:rowOff>74085</xdr:rowOff>
    </xdr:from>
    <xdr:to>
      <xdr:col>36</xdr:col>
      <xdr:colOff>507333</xdr:colOff>
      <xdr:row>99</xdr:row>
      <xdr:rowOff>153811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665225" y="12054418"/>
          <a:ext cx="3248025" cy="3445226"/>
        </a:xfrm>
        <a:prstGeom prst="rect">
          <a:avLst/>
        </a:prstGeom>
      </xdr:spPr>
    </xdr:pic>
    <xdr:clientData/>
  </xdr:twoCellAnchor>
  <xdr:twoCellAnchor>
    <xdr:from>
      <xdr:col>34</xdr:col>
      <xdr:colOff>857250</xdr:colOff>
      <xdr:row>92</xdr:row>
      <xdr:rowOff>127000</xdr:rowOff>
    </xdr:from>
    <xdr:to>
      <xdr:col>36</xdr:col>
      <xdr:colOff>772583</xdr:colOff>
      <xdr:row>93</xdr:row>
      <xdr:rowOff>116417</xdr:rowOff>
    </xdr:to>
    <xdr:cxnSp macro="">
      <xdr:nvCxnSpPr>
        <xdr:cNvPr id="19" name="18 Conector recto de flecha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29294667" y="14065250"/>
          <a:ext cx="1883833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106003</xdr:colOff>
      <xdr:row>84</xdr:row>
      <xdr:rowOff>79376</xdr:rowOff>
    </xdr:from>
    <xdr:to>
      <xdr:col>44</xdr:col>
      <xdr:colOff>944492</xdr:colOff>
      <xdr:row>105</xdr:row>
      <xdr:rowOff>55356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4777003" y="14766926"/>
          <a:ext cx="3381664" cy="4147930"/>
        </a:xfrm>
        <a:prstGeom prst="rect">
          <a:avLst/>
        </a:prstGeom>
      </xdr:spPr>
    </xdr:pic>
    <xdr:clientData/>
  </xdr:twoCellAnchor>
  <xdr:twoCellAnchor editAs="oneCell">
    <xdr:from>
      <xdr:col>9</xdr:col>
      <xdr:colOff>269886</xdr:colOff>
      <xdr:row>123</xdr:row>
      <xdr:rowOff>115955</xdr:rowOff>
    </xdr:from>
    <xdr:to>
      <xdr:col>14</xdr:col>
      <xdr:colOff>1386</xdr:colOff>
      <xdr:row>154</xdr:row>
      <xdr:rowOff>1954</xdr:rowOff>
    </xdr:to>
    <xdr:pic>
      <xdr:nvPicPr>
        <xdr:cNvPr id="7" name="6 Imagen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484038" y="22495564"/>
          <a:ext cx="4220674" cy="57914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80</xdr:row>
          <xdr:rowOff>144780</xdr:rowOff>
        </xdr:from>
        <xdr:to>
          <xdr:col>7</xdr:col>
          <xdr:colOff>251460</xdr:colOff>
          <xdr:row>82</xdr:row>
          <xdr:rowOff>114300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Restaurar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556260</xdr:colOff>
          <xdr:row>77</xdr:row>
          <xdr:rowOff>137160</xdr:rowOff>
        </xdr:from>
        <xdr:to>
          <xdr:col>5</xdr:col>
          <xdr:colOff>685800</xdr:colOff>
          <xdr:row>80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 Resultados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309563</xdr:colOff>
      <xdr:row>122</xdr:row>
      <xdr:rowOff>114750</xdr:rowOff>
    </xdr:from>
    <xdr:to>
      <xdr:col>31</xdr:col>
      <xdr:colOff>619126</xdr:colOff>
      <xdr:row>139</xdr:row>
      <xdr:rowOff>22840</xdr:rowOff>
    </xdr:to>
    <xdr:pic>
      <xdr:nvPicPr>
        <xdr:cNvPr id="12" name="11 Image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574001" y="21641250"/>
          <a:ext cx="6262688" cy="3146590"/>
        </a:xfrm>
        <a:prstGeom prst="rect">
          <a:avLst/>
        </a:prstGeom>
      </xdr:spPr>
    </xdr:pic>
    <xdr:clientData/>
  </xdr:twoCellAnchor>
  <xdr:twoCellAnchor editAs="oneCell">
    <xdr:from>
      <xdr:col>48</xdr:col>
      <xdr:colOff>504825</xdr:colOff>
      <xdr:row>36</xdr:row>
      <xdr:rowOff>47625</xdr:rowOff>
    </xdr:from>
    <xdr:to>
      <xdr:col>55</xdr:col>
      <xdr:colOff>113596</xdr:colOff>
      <xdr:row>66</xdr:row>
      <xdr:rowOff>37458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1405175" y="6219825"/>
          <a:ext cx="5628571" cy="5133333"/>
        </a:xfrm>
        <a:prstGeom prst="rect">
          <a:avLst/>
        </a:prstGeom>
      </xdr:spPr>
    </xdr:pic>
    <xdr:clientData/>
  </xdr:twoCellAnchor>
  <xdr:twoCellAnchor editAs="oneCell">
    <xdr:from>
      <xdr:col>48</xdr:col>
      <xdr:colOff>465200</xdr:colOff>
      <xdr:row>68</xdr:row>
      <xdr:rowOff>62032</xdr:rowOff>
    </xdr:from>
    <xdr:to>
      <xdr:col>54</xdr:col>
      <xdr:colOff>886219</xdr:colOff>
      <xdr:row>90</xdr:row>
      <xdr:rowOff>74322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A64BB6E2-9E36-3F46-04C4-CB02BAD4C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2420920" y="11461552"/>
          <a:ext cx="5617859" cy="3997550"/>
        </a:xfrm>
        <a:prstGeom prst="rect">
          <a:avLst/>
        </a:prstGeom>
      </xdr:spPr>
    </xdr:pic>
    <xdr:clientData/>
  </xdr:twoCellAnchor>
  <xdr:twoCellAnchor editAs="oneCell">
    <xdr:from>
      <xdr:col>48</xdr:col>
      <xdr:colOff>410661</xdr:colOff>
      <xdr:row>91</xdr:row>
      <xdr:rowOff>21329</xdr:rowOff>
    </xdr:from>
    <xdr:to>
      <xdr:col>54</xdr:col>
      <xdr:colOff>902644</xdr:colOff>
      <xdr:row>112</xdr:row>
      <xdr:rowOff>59774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B973CFA-A44F-4047-B233-E0441E678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2366381" y="15596609"/>
          <a:ext cx="5688823" cy="40389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192765</xdr:colOff>
      <xdr:row>64</xdr:row>
      <xdr:rowOff>185964</xdr:rowOff>
    </xdr:from>
    <xdr:to>
      <xdr:col>27</xdr:col>
      <xdr:colOff>813785</xdr:colOff>
      <xdr:row>67</xdr:row>
      <xdr:rowOff>155123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33490" y="11777889"/>
          <a:ext cx="4652815" cy="540659"/>
        </a:xfrm>
        <a:prstGeom prst="rect">
          <a:avLst/>
        </a:prstGeom>
      </xdr:spPr>
    </xdr:pic>
    <xdr:clientData/>
  </xdr:twoCellAnchor>
  <xdr:twoCellAnchor editAs="oneCell">
    <xdr:from>
      <xdr:col>22</xdr:col>
      <xdr:colOff>191365</xdr:colOff>
      <xdr:row>58</xdr:row>
      <xdr:rowOff>163784</xdr:rowOff>
    </xdr:from>
    <xdr:to>
      <xdr:col>27</xdr:col>
      <xdr:colOff>511955</xdr:colOff>
      <xdr:row>61</xdr:row>
      <xdr:rowOff>163713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2090" y="10612709"/>
          <a:ext cx="4352385" cy="571429"/>
        </a:xfrm>
        <a:prstGeom prst="rect">
          <a:avLst/>
        </a:prstGeom>
      </xdr:spPr>
    </xdr:pic>
    <xdr:clientData/>
  </xdr:twoCellAnchor>
  <xdr:twoCellAnchor editAs="oneCell">
    <xdr:from>
      <xdr:col>23</xdr:col>
      <xdr:colOff>559376</xdr:colOff>
      <xdr:row>54</xdr:row>
      <xdr:rowOff>44288</xdr:rowOff>
    </xdr:from>
    <xdr:to>
      <xdr:col>24</xdr:col>
      <xdr:colOff>931722</xdr:colOff>
      <xdr:row>58</xdr:row>
      <xdr:rowOff>160967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981226" y="9731213"/>
          <a:ext cx="1353420" cy="878679"/>
        </a:xfrm>
        <a:prstGeom prst="rect">
          <a:avLst/>
        </a:prstGeom>
      </xdr:spPr>
    </xdr:pic>
    <xdr:clientData/>
  </xdr:twoCellAnchor>
  <xdr:twoCellAnchor editAs="oneCell">
    <xdr:from>
      <xdr:col>23</xdr:col>
      <xdr:colOff>735157</xdr:colOff>
      <xdr:row>61</xdr:row>
      <xdr:rowOff>150396</xdr:rowOff>
    </xdr:from>
    <xdr:to>
      <xdr:col>24</xdr:col>
      <xdr:colOff>779445</xdr:colOff>
      <xdr:row>65</xdr:row>
      <xdr:rowOff>16967</xdr:rowOff>
    </xdr:to>
    <xdr:pic>
      <xdr:nvPicPr>
        <xdr:cNvPr id="12" name="11 Imagen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157007" y="11170821"/>
          <a:ext cx="1025362" cy="628571"/>
        </a:xfrm>
        <a:prstGeom prst="rect">
          <a:avLst/>
        </a:prstGeom>
      </xdr:spPr>
    </xdr:pic>
    <xdr:clientData/>
  </xdr:twoCellAnchor>
  <xdr:twoCellAnchor>
    <xdr:from>
      <xdr:col>0</xdr:col>
      <xdr:colOff>51156</xdr:colOff>
      <xdr:row>22</xdr:row>
      <xdr:rowOff>19486</xdr:rowOff>
    </xdr:from>
    <xdr:to>
      <xdr:col>7</xdr:col>
      <xdr:colOff>932500</xdr:colOff>
      <xdr:row>49</xdr:row>
      <xdr:rowOff>75518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54079</xdr:colOff>
      <xdr:row>22</xdr:row>
      <xdr:rowOff>37172</xdr:rowOff>
    </xdr:from>
    <xdr:to>
      <xdr:col>14</xdr:col>
      <xdr:colOff>920854</xdr:colOff>
      <xdr:row>49</xdr:row>
      <xdr:rowOff>92082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62364</xdr:colOff>
      <xdr:row>22</xdr:row>
      <xdr:rowOff>37172</xdr:rowOff>
    </xdr:from>
    <xdr:to>
      <xdr:col>21</xdr:col>
      <xdr:colOff>934181</xdr:colOff>
      <xdr:row>49</xdr:row>
      <xdr:rowOff>92082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59441</xdr:colOff>
      <xdr:row>22</xdr:row>
      <xdr:rowOff>17685</xdr:rowOff>
    </xdr:from>
    <xdr:to>
      <xdr:col>29</xdr:col>
      <xdr:colOff>940783</xdr:colOff>
      <xdr:row>49</xdr:row>
      <xdr:rowOff>95006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53837</xdr:colOff>
      <xdr:row>22</xdr:row>
      <xdr:rowOff>16564</xdr:rowOff>
    </xdr:from>
    <xdr:to>
      <xdr:col>37</xdr:col>
      <xdr:colOff>935935</xdr:colOff>
      <xdr:row>49</xdr:row>
      <xdr:rowOff>101230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46</xdr:col>
      <xdr:colOff>37613</xdr:colOff>
      <xdr:row>4</xdr:row>
      <xdr:rowOff>470</xdr:rowOff>
    </xdr:from>
    <xdr:to>
      <xdr:col>58</xdr:col>
      <xdr:colOff>1490869</xdr:colOff>
      <xdr:row>30</xdr:row>
      <xdr:rowOff>194095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57</xdr:col>
      <xdr:colOff>458579</xdr:colOff>
      <xdr:row>34</xdr:row>
      <xdr:rowOff>19956</xdr:rowOff>
    </xdr:from>
    <xdr:ext cx="1322596" cy="5324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13 CuadroTexto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SpPr txBox="1"/>
          </xdr:nvSpPr>
          <xdr:spPr>
            <a:xfrm>
              <a:off x="49569479" y="5849256"/>
              <a:ext cx="1322596" cy="5324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2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2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e>
                      <m:sub>
                        <m:r>
                          <a:rPr lang="es-PE" sz="12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𝑟</m:t>
                        </m:r>
                      </m:sub>
                    </m:sSub>
                    <m: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2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2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s-PE" sz="12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num>
                      <m:den>
                        <m:r>
                          <a:rPr lang="es-PE" sz="12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s-PE" sz="12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PE" sz="12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</m:t>
                        </m:r>
                        <m:r>
                          <a:rPr lang="es-PE" sz="12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den>
                    </m:f>
                  </m:oMath>
                </m:oMathPara>
              </a14:m>
              <a:endParaRPr lang="es-PE" sz="12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4" name="13 CuadroTexto"/>
            <xdr:cNvSpPr txBox="1"/>
          </xdr:nvSpPr>
          <xdr:spPr>
            <a:xfrm>
              <a:off x="49569479" y="5849256"/>
              <a:ext cx="1322596" cy="5324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𝑇_𝑟=(𝑛+1)/(𝑛−𝑚+1)</a:t>
              </a:r>
              <a:endParaRPr lang="es-PE" sz="12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0</xdr:col>
      <xdr:colOff>405095</xdr:colOff>
      <xdr:row>59</xdr:row>
      <xdr:rowOff>182656</xdr:rowOff>
    </xdr:from>
    <xdr:ext cx="1221440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14 CuadroTexto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 txBox="1"/>
          </xdr:nvSpPr>
          <xdr:spPr>
            <a:xfrm>
              <a:off x="405095" y="10822081"/>
              <a:ext cx="122144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P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𝑇𝑟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𝑇𝑟</m:t>
                        </m:r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5" name="14 CuadroTexto"/>
            <xdr:cNvSpPr txBox="1"/>
          </xdr:nvSpPr>
          <xdr:spPr>
            <a:xfrm>
              <a:off x="405095" y="10822081"/>
              <a:ext cx="122144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P=(𝑇𝑟−1)/𝑇𝑟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42824</xdr:colOff>
      <xdr:row>60</xdr:row>
      <xdr:rowOff>23613</xdr:rowOff>
    </xdr:from>
    <xdr:ext cx="1905000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15 CuadroTexto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 txBox="1"/>
          </xdr:nvSpPr>
          <xdr:spPr>
            <a:xfrm>
              <a:off x="3052724" y="10853538"/>
              <a:ext cx="190500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𝑚𝑎𝑥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24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X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𝑇𝑟</m:t>
                        </m:r>
                      </m:sub>
                    </m:sSub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)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𝑆</m:t>
                    </m:r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6" name="15 CuadroTexto"/>
            <xdr:cNvSpPr txBox="1"/>
          </xdr:nvSpPr>
          <xdr:spPr>
            <a:xfrm>
              <a:off x="3052724" y="10853538"/>
              <a:ext cx="190500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𝑃_𝑚𝑎𝑥24ℎ=X+〖(𝑍〗_𝑇𝑟)𝑆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690442</xdr:colOff>
      <xdr:row>59</xdr:row>
      <xdr:rowOff>179213</xdr:rowOff>
    </xdr:from>
    <xdr:ext cx="1221440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16 CuadroTexto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 txBox="1"/>
          </xdr:nvSpPr>
          <xdr:spPr>
            <a:xfrm>
              <a:off x="1738192" y="10818638"/>
              <a:ext cx="122144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𝑇𝑟</m:t>
                        </m:r>
                      </m:sub>
                    </m:sSub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de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Tabla</m:t>
                    </m:r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7" name="16 CuadroTexto"/>
            <xdr:cNvSpPr txBox="1"/>
          </xdr:nvSpPr>
          <xdr:spPr>
            <a:xfrm>
              <a:off x="1738192" y="10818638"/>
              <a:ext cx="122144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𝑍_𝑇𝑟  de Tabla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711013</xdr:colOff>
      <xdr:row>59</xdr:row>
      <xdr:rowOff>164166</xdr:rowOff>
    </xdr:from>
    <xdr:ext cx="1221440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17 CuadroTexto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SpPr txBox="1"/>
          </xdr:nvSpPr>
          <xdr:spPr>
            <a:xfrm>
              <a:off x="7645213" y="10803591"/>
              <a:ext cx="122144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P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𝑇𝑟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𝑇𝑟</m:t>
                        </m:r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8" name="17 CuadroTexto"/>
            <xdr:cNvSpPr txBox="1"/>
          </xdr:nvSpPr>
          <xdr:spPr>
            <a:xfrm>
              <a:off x="7645213" y="10803591"/>
              <a:ext cx="122144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P=(𝑇𝑟−1)/𝑇𝑟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9</xdr:col>
      <xdr:colOff>928968</xdr:colOff>
      <xdr:row>59</xdr:row>
      <xdr:rowOff>141754</xdr:rowOff>
    </xdr:from>
    <xdr:ext cx="1221440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18 CuadroTexto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SpPr txBox="1"/>
          </xdr:nvSpPr>
          <xdr:spPr>
            <a:xfrm>
              <a:off x="8910918" y="10781179"/>
              <a:ext cx="122144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𝑇𝑟</m:t>
                        </m:r>
                      </m:sub>
                    </m:sSub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de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Tabla</m:t>
                    </m:r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9" name="18 CuadroTexto"/>
            <xdr:cNvSpPr txBox="1"/>
          </xdr:nvSpPr>
          <xdr:spPr>
            <a:xfrm>
              <a:off x="8910918" y="10781179"/>
              <a:ext cx="122144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𝑍_𝑇𝑟  de Tabla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28</xdr:col>
      <xdr:colOff>838200</xdr:colOff>
      <xdr:row>54</xdr:row>
      <xdr:rowOff>114300</xdr:rowOff>
    </xdr:from>
    <xdr:ext cx="1221440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19 CuadroTexto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SpPr txBox="1"/>
          </xdr:nvSpPr>
          <xdr:spPr>
            <a:xfrm>
              <a:off x="27184350" y="9801225"/>
              <a:ext cx="122144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P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𝑇𝑟</m:t>
                        </m:r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0" name="19 CuadroTexto"/>
            <xdr:cNvSpPr txBox="1"/>
          </xdr:nvSpPr>
          <xdr:spPr>
            <a:xfrm>
              <a:off x="27184350" y="9801225"/>
              <a:ext cx="122144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P=1/𝑇𝑟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28</xdr:col>
      <xdr:colOff>723899</xdr:colOff>
      <xdr:row>57</xdr:row>
      <xdr:rowOff>95251</xdr:rowOff>
    </xdr:from>
    <xdr:ext cx="1419225" cy="666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20 CuadroTexto">
              <a:extLst>
                <a:ext uri="{FF2B5EF4-FFF2-40B4-BE49-F238E27FC236}">
                  <a16:creationId xmlns:a16="http://schemas.microsoft.com/office/drawing/2014/main" id="{00000000-0008-0000-0500-000015000000}"/>
                </a:ext>
              </a:extLst>
            </xdr:cNvPr>
            <xdr:cNvSpPr txBox="1"/>
          </xdr:nvSpPr>
          <xdr:spPr>
            <a:xfrm>
              <a:off x="27070049" y="10353676"/>
              <a:ext cx="1419225" cy="6667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W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𝐿𝑛</m:t>
                            </m:r>
                            <m:f>
                              <m:fPr>
                                <m:ctrlPr>
                                  <a:rPr lang="es-PE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PE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num>
                              <m:den>
                                <m:sSup>
                                  <m:sSupPr>
                                    <m:ctrlPr>
                                      <a:rPr lang="es-PE" sz="1400" b="0" i="1"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s-PE" sz="1400" b="0" i="1"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p>
                                    <m:r>
                                      <a:rPr lang="es-PE" sz="1400" b="0" i="1"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1/2</m:t>
                        </m:r>
                      </m:sup>
                    </m:sSup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1" name="20 CuadroTexto"/>
            <xdr:cNvSpPr txBox="1"/>
          </xdr:nvSpPr>
          <xdr:spPr>
            <a:xfrm>
              <a:off x="27070049" y="10353676"/>
              <a:ext cx="1419225" cy="6667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W=[𝐿𝑛 1/𝑃^2 ]^(1/2)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54</xdr:row>
          <xdr:rowOff>137160</xdr:rowOff>
        </xdr:from>
        <xdr:to>
          <xdr:col>3</xdr:col>
          <xdr:colOff>251460</xdr:colOff>
          <xdr:row>57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Preparar para 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487680</xdr:colOff>
          <xdr:row>55</xdr:row>
          <xdr:rowOff>22860</xdr:rowOff>
        </xdr:from>
        <xdr:to>
          <xdr:col>5</xdr:col>
          <xdr:colOff>899160</xdr:colOff>
          <xdr:row>57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Restaurar Color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35</xdr:col>
      <xdr:colOff>742950</xdr:colOff>
      <xdr:row>55</xdr:row>
      <xdr:rowOff>19050</xdr:rowOff>
    </xdr:from>
    <xdr:to>
      <xdr:col>38</xdr:col>
      <xdr:colOff>390201</xdr:colOff>
      <xdr:row>80</xdr:row>
      <xdr:rowOff>170802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718375" y="10601325"/>
          <a:ext cx="2590476" cy="51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650906</xdr:colOff>
      <xdr:row>72</xdr:row>
      <xdr:rowOff>134244</xdr:rowOff>
    </xdr:from>
    <xdr:ext cx="4151431" cy="3564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8 CuadroTexto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 txBox="1"/>
          </xdr:nvSpPr>
          <xdr:spPr>
            <a:xfrm>
              <a:off x="3155981" y="734319"/>
              <a:ext cx="4151431" cy="3564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sub>
                        </m:sSub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p>
                    </m:sSup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=(0.21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Ln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Tr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)+0.52)(0.54</m:t>
                    </m:r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0.25</m:t>
                        </m:r>
                      </m:sup>
                    </m:sSup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−0.5)</m:t>
                    </m:r>
                    <m:sSup>
                      <m:sSupPr>
                        <m:ctrlPr>
                          <a:rPr lang="es-PE" sz="1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PE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10</m:t>
                            </m:r>
                          </m:sub>
                        </m:sSub>
                      </m:e>
                      <m:sup>
                        <m:r>
                          <a:rPr lang="es-PE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60</m:t>
                        </m:r>
                      </m:sup>
                    </m:sSup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9" name="8 CuadroTexto"/>
            <xdr:cNvSpPr txBox="1"/>
          </xdr:nvSpPr>
          <xdr:spPr>
            <a:xfrm>
              <a:off x="3155981" y="734319"/>
              <a:ext cx="4151431" cy="3564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〖𝑃_𝑇𝑟〗^𝑡=(0.21Ln(Tr)+0.52)(0.54𝑡^0.25−0.5)</a:t>
              </a:r>
              <a:r>
                <a:rPr lang="es-P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〖𝑃_10〗^60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 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5</xdr:col>
      <xdr:colOff>523876</xdr:colOff>
      <xdr:row>81</xdr:row>
      <xdr:rowOff>19050</xdr:rowOff>
    </xdr:from>
    <xdr:ext cx="2095499" cy="3564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4 CuadroTexto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4010026" y="2486025"/>
              <a:ext cx="2095499" cy="3564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a</m:t>
                    </m:r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24</m:t>
                            </m:r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sub>
                        </m:sSub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5" name="4 CuadroTexto"/>
            <xdr:cNvSpPr txBox="1"/>
          </xdr:nvSpPr>
          <xdr:spPr>
            <a:xfrm>
              <a:off x="4010026" y="2486025"/>
              <a:ext cx="2095499" cy="3564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I=a〖𝑃_24ℎ〗^𝑏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4</xdr:col>
      <xdr:colOff>342900</xdr:colOff>
      <xdr:row>86</xdr:row>
      <xdr:rowOff>0</xdr:rowOff>
    </xdr:from>
    <xdr:ext cx="4391025" cy="3564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5 CuadroTexto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SpPr txBox="1"/>
          </xdr:nvSpPr>
          <xdr:spPr>
            <a:xfrm>
              <a:off x="2847975" y="3429000"/>
              <a:ext cx="4391025" cy="3564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10</m:t>
                            </m:r>
                          </m:sub>
                        </m:sSub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60</m:t>
                        </m:r>
                      </m:sup>
                    </m:sSup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0.4602</m:t>
                    </m:r>
                    <m:sSup>
                      <m:sSupPr>
                        <m:ctrlPr>
                          <a:rPr lang="es-P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𝑚𝑎𝑥</m:t>
                            </m:r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24</m:t>
                            </m:r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=10</m:t>
                            </m:r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ñ</m:t>
                            </m:r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𝑜𝑠</m:t>
                            </m:r>
                            <m: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)</m:t>
                            </m:r>
                          </m:sub>
                        </m:sSub>
                        <m:r>
                          <a:rPr lang="es-PE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lang="es-PE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0.876</m:t>
                        </m:r>
                      </m:sup>
                    </m:sSup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6" name="5 CuadroTexto"/>
            <xdr:cNvSpPr txBox="1"/>
          </xdr:nvSpPr>
          <xdr:spPr>
            <a:xfrm>
              <a:off x="2847975" y="3429000"/>
              <a:ext cx="4391025" cy="3564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〖𝑃_10〗^60=0.4602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〖〖(𝑃〗_(𝑚𝑎𝑥24ℎ(𝑇𝑟=10𝑎ñ𝑜𝑠)))〗^0.876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4</xdr:col>
      <xdr:colOff>948358</xdr:colOff>
      <xdr:row>115</xdr:row>
      <xdr:rowOff>115952</xdr:rowOff>
    </xdr:from>
    <xdr:ext cx="1381125" cy="5619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7 CuadroTexto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 txBox="1"/>
          </xdr:nvSpPr>
          <xdr:spPr>
            <a:xfrm>
              <a:off x="3449706" y="9210256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8" name="7 CuadroTexto"/>
            <xdr:cNvSpPr txBox="1"/>
          </xdr:nvSpPr>
          <xdr:spPr>
            <a:xfrm>
              <a:off x="3449706" y="9210256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401684</xdr:colOff>
      <xdr:row>122</xdr:row>
      <xdr:rowOff>123818</xdr:rowOff>
    </xdr:from>
    <xdr:ext cx="1076762" cy="53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9 CuadroTexto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 txBox="1"/>
          </xdr:nvSpPr>
          <xdr:spPr>
            <a:xfrm>
              <a:off x="5840459" y="10572743"/>
              <a:ext cx="1076762" cy="53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0" name="9 CuadroTexto"/>
            <xdr:cNvSpPr txBox="1"/>
          </xdr:nvSpPr>
          <xdr:spPr>
            <a:xfrm>
              <a:off x="5840459" y="10572743"/>
              <a:ext cx="1076762" cy="53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>
    <xdr:from>
      <xdr:col>12</xdr:col>
      <xdr:colOff>36631</xdr:colOff>
      <xdr:row>91</xdr:row>
      <xdr:rowOff>8053</xdr:rowOff>
    </xdr:from>
    <xdr:to>
      <xdr:col>21</xdr:col>
      <xdr:colOff>729343</xdr:colOff>
      <xdr:row>119</xdr:row>
      <xdr:rowOff>7326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19</xdr:col>
      <xdr:colOff>286311</xdr:colOff>
      <xdr:row>120</xdr:row>
      <xdr:rowOff>6163</xdr:rowOff>
    </xdr:from>
    <xdr:ext cx="1076762" cy="53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11 CuadroTexto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SpPr txBox="1"/>
          </xdr:nvSpPr>
          <xdr:spPr>
            <a:xfrm>
              <a:off x="17095135" y="10225928"/>
              <a:ext cx="1076762" cy="53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2" name="11 CuadroTexto"/>
            <xdr:cNvSpPr txBox="1"/>
          </xdr:nvSpPr>
          <xdr:spPr>
            <a:xfrm>
              <a:off x="17095135" y="10225928"/>
              <a:ext cx="1076762" cy="53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4</xdr:col>
      <xdr:colOff>455463</xdr:colOff>
      <xdr:row>133</xdr:row>
      <xdr:rowOff>125861</xdr:rowOff>
    </xdr:from>
    <xdr:ext cx="2004391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12 CuadroTexto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:cNvPr>
            <xdr:cNvSpPr txBox="1"/>
          </xdr:nvSpPr>
          <xdr:spPr>
            <a:xfrm>
              <a:off x="3277244" y="24867049"/>
              <a:ext cx="200439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𝑚𝑎𝑥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24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</m:t>
                        </m:r>
                        <m:f>
                          <m:f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1440</m:t>
                            </m:r>
                          </m:den>
                        </m:f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0.25</m:t>
                        </m:r>
                      </m:sup>
                    </m:sSup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3" name="12 CuadroTexto"/>
            <xdr:cNvSpPr txBox="1"/>
          </xdr:nvSpPr>
          <xdr:spPr>
            <a:xfrm>
              <a:off x="3277244" y="24867049"/>
              <a:ext cx="200439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𝑃_𝑡=𝑃_𝑚𝑎𝑥24ℎ 〖(𝑡/1440)〗^0.25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604610</xdr:colOff>
      <xdr:row>74</xdr:row>
      <xdr:rowOff>23077</xdr:rowOff>
    </xdr:from>
    <xdr:ext cx="2153476" cy="5963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13 CuadroTexto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:cNvPr>
            <xdr:cNvSpPr txBox="1"/>
          </xdr:nvSpPr>
          <xdr:spPr>
            <a:xfrm>
              <a:off x="7571467" y="12990684"/>
              <a:ext cx="2153476" cy="5963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5</m:t>
                    </m:r>
                    <m:r>
                      <m:rPr>
                        <m:sty m:val="p"/>
                      </m:rP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min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𝑡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≤120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𝑚𝑖𝑛</m:t>
                    </m:r>
                  </m:oMath>
                </m:oMathPara>
              </a14:m>
              <a:endParaRPr lang="es-PE" sz="1200" b="0" i="1">
                <a:solidFill>
                  <a:sysClr val="windowText" lastClr="000000"/>
                </a:solidFill>
                <a:effectLst/>
                <a:latin typeface="Arial" pitchFamily="34" charset="0"/>
                <a:ea typeface="Cambria Math"/>
                <a:cs typeface="Arial" pitchFamily="34" charset="0"/>
              </a:endParaRPr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2</m:t>
                    </m:r>
                    <m:r>
                      <m:rPr>
                        <m:sty m:val="p"/>
                      </m:rP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a</m:t>
                    </m:r>
                    <m: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ñ</m:t>
                    </m:r>
                    <m:r>
                      <m:rPr>
                        <m:sty m:val="p"/>
                      </m:rP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os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𝑇𝑟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≤100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𝑎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ñ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𝑜</m:t>
                    </m:r>
                    <m:r>
                      <m:rPr>
                        <m:sty m:val="p"/>
                      </m:rP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s</m:t>
                    </m:r>
                    <m: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s-PE" sz="12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4" name="13 CuadroTexto"/>
            <xdr:cNvSpPr txBox="1"/>
          </xdr:nvSpPr>
          <xdr:spPr>
            <a:xfrm>
              <a:off x="7571467" y="12990684"/>
              <a:ext cx="2153476" cy="5963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5min</a:t>
              </a:r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Cambria Math"/>
                  <a:cs typeface="+mn-cs"/>
                </a:rPr>
                <a:t>≤𝑡≤120𝑚𝑖𝑛</a:t>
              </a:r>
              <a:endParaRPr lang="es-PE" sz="1200" b="0" i="1">
                <a:solidFill>
                  <a:sysClr val="windowText" lastClr="000000"/>
                </a:solidFill>
                <a:effectLst/>
                <a:latin typeface="Arial" pitchFamily="34" charset="0"/>
                <a:ea typeface="Cambria Math"/>
                <a:cs typeface="Arial" pitchFamily="34" charset="0"/>
              </a:endParaRPr>
            </a:p>
            <a:p>
              <a:pPr algn="ctr"/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2años</a:t>
              </a:r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Cambria Math"/>
                  <a:cs typeface="+mn-cs"/>
                </a:rPr>
                <a:t>≤𝑇𝑟≤100𝑎ñ𝑜s</a:t>
              </a:r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endParaRPr lang="es-PE" sz="12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93660</xdr:colOff>
      <xdr:row>133</xdr:row>
      <xdr:rowOff>181403</xdr:rowOff>
    </xdr:from>
    <xdr:ext cx="1318846" cy="3950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14 CuadroTexto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 txBox="1"/>
          </xdr:nvSpPr>
          <xdr:spPr>
            <a:xfrm>
              <a:off x="5594348" y="24922591"/>
              <a:ext cx="1318846" cy="3950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𝑡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≤1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h𝑜𝑟𝑎</m:t>
                    </m:r>
                  </m:oMath>
                </m:oMathPara>
              </a14:m>
              <a:endParaRPr lang="es-PE" sz="1400" b="0" i="1">
                <a:solidFill>
                  <a:sysClr val="windowText" lastClr="000000"/>
                </a:solidFill>
                <a:effectLst/>
                <a:latin typeface="Arial" pitchFamily="34" charset="0"/>
                <a:ea typeface="Cambria Math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5" name="14 CuadroTexto"/>
            <xdr:cNvSpPr txBox="1"/>
          </xdr:nvSpPr>
          <xdr:spPr>
            <a:xfrm>
              <a:off x="5594348" y="24922591"/>
              <a:ext cx="1318846" cy="3950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Cambria Math"/>
                  <a:cs typeface="+mn-cs"/>
                </a:rPr>
                <a:t>𝑡≤1ℎ𝑜𝑟𝑎</a:t>
              </a:r>
              <a:endParaRPr lang="es-PE" sz="1400" b="0" i="1">
                <a:solidFill>
                  <a:sysClr val="windowText" lastClr="000000"/>
                </a:solidFill>
                <a:effectLst/>
                <a:latin typeface="Arial" pitchFamily="34" charset="0"/>
                <a:ea typeface="Cambria Math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4</xdr:col>
      <xdr:colOff>948358</xdr:colOff>
      <xdr:row>168</xdr:row>
      <xdr:rowOff>115952</xdr:rowOff>
    </xdr:from>
    <xdr:ext cx="1381125" cy="5619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15 CuadroTexto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SpPr txBox="1"/>
          </xdr:nvSpPr>
          <xdr:spPr>
            <a:xfrm>
              <a:off x="4396408" y="9336152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6" name="15 CuadroTexto"/>
            <xdr:cNvSpPr txBox="1"/>
          </xdr:nvSpPr>
          <xdr:spPr>
            <a:xfrm>
              <a:off x="4396408" y="9336152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401684</xdr:colOff>
      <xdr:row>175</xdr:row>
      <xdr:rowOff>123818</xdr:rowOff>
    </xdr:from>
    <xdr:ext cx="1525728" cy="53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16 CuadroTexto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 txBox="1"/>
          </xdr:nvSpPr>
          <xdr:spPr>
            <a:xfrm>
              <a:off x="6464066" y="21101230"/>
              <a:ext cx="1525728" cy="53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7" name="16 CuadroTexto"/>
            <xdr:cNvSpPr txBox="1"/>
          </xdr:nvSpPr>
          <xdr:spPr>
            <a:xfrm>
              <a:off x="6464066" y="21101230"/>
              <a:ext cx="1525728" cy="53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>
    <xdr:from>
      <xdr:col>12</xdr:col>
      <xdr:colOff>29323</xdr:colOff>
      <xdr:row>145</xdr:row>
      <xdr:rowOff>9525</xdr:rowOff>
    </xdr:from>
    <xdr:to>
      <xdr:col>21</xdr:col>
      <xdr:colOff>714509</xdr:colOff>
      <xdr:row>173</xdr:row>
      <xdr:rowOff>148070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228601</xdr:colOff>
      <xdr:row>174</xdr:row>
      <xdr:rowOff>182217</xdr:rowOff>
    </xdr:from>
    <xdr:ext cx="1933574" cy="5702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18 CuadroTexto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 txBox="1"/>
          </xdr:nvSpPr>
          <xdr:spPr>
            <a:xfrm>
              <a:off x="15725776" y="20880042"/>
              <a:ext cx="1933574" cy="570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9" name="18 CuadroTexto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SpPr txBox="1"/>
          </xdr:nvSpPr>
          <xdr:spPr>
            <a:xfrm>
              <a:off x="15725776" y="20880042"/>
              <a:ext cx="1933574" cy="5702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𝐾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𝑇𝑟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𝑚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𝑡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𝑛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435429</xdr:colOff>
      <xdr:row>8</xdr:row>
      <xdr:rowOff>68035</xdr:rowOff>
    </xdr:from>
    <xdr:ext cx="4151431" cy="3564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19 CuadroTexto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 txBox="1"/>
          </xdr:nvSpPr>
          <xdr:spPr>
            <a:xfrm>
              <a:off x="5578929" y="1646464"/>
              <a:ext cx="4151431" cy="3564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sub>
                        </m:sSub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p>
                    </m:sSup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=(0.21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Ln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Tr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)+0.52)(0.54</m:t>
                    </m:r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0.25</m:t>
                        </m:r>
                      </m:sup>
                    </m:sSup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−0.5)</m:t>
                    </m:r>
                    <m:sSup>
                      <m:sSupPr>
                        <m:ctrlPr>
                          <a:rPr lang="es-PE" sz="1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PE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10</m:t>
                            </m:r>
                          </m:sub>
                        </m:sSub>
                      </m:e>
                      <m:sup>
                        <m:r>
                          <a:rPr lang="es-PE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60</m:t>
                        </m:r>
                      </m:sup>
                    </m:sSup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0" name="19 CuadroTexto"/>
            <xdr:cNvSpPr txBox="1"/>
          </xdr:nvSpPr>
          <xdr:spPr>
            <a:xfrm>
              <a:off x="5578929" y="1646464"/>
              <a:ext cx="4151431" cy="3564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〖𝑃_𝑇𝑟〗^𝑡=(0.21Ln(Tr)+0.52)(0.54𝑡^0.25−0.5)</a:t>
              </a:r>
              <a:r>
                <a:rPr lang="es-PE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〖𝑃_10〗^60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 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5</xdr:col>
      <xdr:colOff>773205</xdr:colOff>
      <xdr:row>16</xdr:row>
      <xdr:rowOff>168086</xdr:rowOff>
    </xdr:from>
    <xdr:ext cx="2153476" cy="5963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20 CuadroTexto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 txBox="1"/>
          </xdr:nvSpPr>
          <xdr:spPr>
            <a:xfrm>
              <a:off x="5009029" y="3283321"/>
              <a:ext cx="2153476" cy="5963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5</m:t>
                    </m:r>
                    <m:r>
                      <m:rPr>
                        <m:sty m:val="p"/>
                      </m:rP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min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𝑡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≤120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𝑚𝑖𝑛</m:t>
                    </m:r>
                  </m:oMath>
                </m:oMathPara>
              </a14:m>
              <a:endParaRPr lang="es-PE" sz="1200" b="0" i="1">
                <a:solidFill>
                  <a:sysClr val="windowText" lastClr="000000"/>
                </a:solidFill>
                <a:effectLst/>
                <a:latin typeface="Arial" pitchFamily="34" charset="0"/>
                <a:ea typeface="Cambria Math"/>
                <a:cs typeface="Arial" pitchFamily="34" charset="0"/>
              </a:endParaRPr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2</m:t>
                    </m:r>
                    <m:r>
                      <m:rPr>
                        <m:sty m:val="p"/>
                      </m:rP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a</m:t>
                    </m:r>
                    <m: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ñ</m:t>
                    </m:r>
                    <m:r>
                      <m:rPr>
                        <m:sty m:val="p"/>
                      </m:rP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os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𝑇𝑟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≤100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𝑎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ñ</m:t>
                    </m:r>
                    <m:r>
                      <a:rPr lang="es-PE" sz="12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𝑜</m:t>
                    </m:r>
                    <m:r>
                      <m:rPr>
                        <m:sty m:val="p"/>
                      </m:rP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s</m:t>
                    </m:r>
                    <m:r>
                      <a:rPr lang="es-PE" sz="12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es-PE" sz="12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1" name="20 CuadroTexto"/>
            <xdr:cNvSpPr txBox="1"/>
          </xdr:nvSpPr>
          <xdr:spPr>
            <a:xfrm>
              <a:off x="5009029" y="3283321"/>
              <a:ext cx="2153476" cy="5963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5min</a:t>
              </a:r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Cambria Math"/>
                  <a:cs typeface="+mn-cs"/>
                </a:rPr>
                <a:t>≤𝑡≤120𝑚𝑖𝑛</a:t>
              </a:r>
              <a:endParaRPr lang="es-PE" sz="1200" b="0" i="1">
                <a:solidFill>
                  <a:sysClr val="windowText" lastClr="000000"/>
                </a:solidFill>
                <a:effectLst/>
                <a:latin typeface="Arial" pitchFamily="34" charset="0"/>
                <a:ea typeface="Cambria Math"/>
                <a:cs typeface="Arial" pitchFamily="34" charset="0"/>
              </a:endParaRPr>
            </a:p>
            <a:p>
              <a:pPr algn="ctr"/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2años</a:t>
              </a:r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Cambria Math"/>
                  <a:cs typeface="+mn-cs"/>
                </a:rPr>
                <a:t>≤𝑇𝑟≤100𝑎ñ𝑜s</a:t>
              </a:r>
              <a:r>
                <a:rPr lang="es-PE" sz="12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endParaRPr lang="es-PE" sz="12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291353</xdr:colOff>
      <xdr:row>24</xdr:row>
      <xdr:rowOff>67237</xdr:rowOff>
    </xdr:from>
    <xdr:ext cx="4151431" cy="4706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21 CuadroTexto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 txBox="1"/>
          </xdr:nvSpPr>
          <xdr:spPr>
            <a:xfrm>
              <a:off x="5446059" y="4706472"/>
              <a:ext cx="4151431" cy="470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PE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PE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10</m:t>
                            </m:r>
                          </m:sub>
                        </m:sSub>
                      </m:e>
                      <m:sup>
                        <m:r>
                          <a:rPr lang="es-PE" sz="12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60</m:t>
                        </m:r>
                      </m:sup>
                    </m:sSup>
                    <m:r>
                      <a:rPr lang="es-PE" sz="16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6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PE" sz="16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6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6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𝑚𝑎𝑥</m:t>
                            </m:r>
                            <m:r>
                              <a:rPr lang="es-PE" sz="16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24</m:t>
                            </m:r>
                            <m:r>
                              <a:rPr lang="es-PE" sz="16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sub>
                        </m:sSub>
                      </m:num>
                      <m:den>
                        <m:r>
                          <a:rPr lang="es-PE" sz="1200" b="0" i="0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(0.21</m:t>
                        </m:r>
                        <m:r>
                          <m:rPr>
                            <m:sty m:val="p"/>
                          </m:rPr>
                          <a:rPr lang="es-PE" sz="1200" b="0" i="0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Ln</m:t>
                        </m:r>
                        <m:r>
                          <a:rPr lang="es-PE" sz="1200" b="0" i="0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</m:t>
                        </m:r>
                        <m:r>
                          <m:rPr>
                            <m:sty m:val="p"/>
                          </m:rPr>
                          <a:rPr lang="es-PE" sz="1200" b="0" i="0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Tr</m:t>
                        </m:r>
                        <m:r>
                          <a:rPr lang="es-PE" sz="1200" b="0" i="0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)+0.52)(0.54</m:t>
                        </m:r>
                        <m:sSup>
                          <m:sSupPr>
                            <m:ctrlPr>
                              <a:rPr lang="es-PE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s-PE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1440</m:t>
                            </m:r>
                          </m:e>
                          <m:sup>
                            <m:r>
                              <a:rPr lang="es-PE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0.25</m:t>
                            </m:r>
                          </m:sup>
                        </m:sSup>
                        <m:r>
                          <a:rPr lang="es-PE" sz="1200" b="0" i="0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−0.5) </m:t>
                        </m:r>
                      </m:den>
                    </m:f>
                  </m:oMath>
                </m:oMathPara>
              </a14:m>
              <a:endParaRPr lang="es-PE" sz="1600" b="0">
                <a:solidFill>
                  <a:sysClr val="windowText" lastClr="000000"/>
                </a:solidFill>
                <a:latin typeface="+mj-lt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2" name="21 CuadroTexto"/>
            <xdr:cNvSpPr txBox="1"/>
          </xdr:nvSpPr>
          <xdr:spPr>
            <a:xfrm>
              <a:off x="5446059" y="4706472"/>
              <a:ext cx="4151431" cy="470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200" b="0" i="0">
                  <a:solidFill>
                    <a:schemeClr val="tx1"/>
                  </a:solidFill>
                  <a:effectLst/>
                  <a:latin typeface="+mj-lt"/>
                  <a:ea typeface="+mn-ea"/>
                  <a:cs typeface="+mn-cs"/>
                </a:rPr>
                <a:t>〖𝑃_10〗^60</a:t>
              </a:r>
              <a:r>
                <a:rPr lang="es-PE" sz="1600" b="0" i="0">
                  <a:solidFill>
                    <a:sysClr val="windowText" lastClr="000000"/>
                  </a:solidFill>
                  <a:effectLst/>
                  <a:latin typeface="+mj-lt"/>
                  <a:ea typeface="+mn-ea"/>
                  <a:cs typeface="+mn-cs"/>
                </a:rPr>
                <a:t>=𝑃_𝑚𝑎𝑥24ℎ/(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+mj-lt"/>
                  <a:ea typeface="+mn-ea"/>
                  <a:cs typeface="+mn-cs"/>
                </a:rPr>
                <a:t>(0.21Ln(Tr)+0.52)(0.54〖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𝑥1440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+mj-lt"/>
                  <a:ea typeface="+mn-ea"/>
                  <a:cs typeface="+mn-cs"/>
                </a:rPr>
                <a:t>〗^0.25−0.5) </a:t>
              </a:r>
              <a:r>
                <a:rPr lang="es-PE" sz="1600" b="0" i="0">
                  <a:solidFill>
                    <a:sysClr val="windowText" lastClr="000000"/>
                  </a:solidFill>
                  <a:effectLst/>
                  <a:latin typeface="+mj-lt"/>
                  <a:ea typeface="+mn-ea"/>
                  <a:cs typeface="+mn-cs"/>
                </a:rPr>
                <a:t>)</a:t>
              </a:r>
              <a:endParaRPr lang="es-PE" sz="1600" b="0">
                <a:solidFill>
                  <a:sysClr val="windowText" lastClr="000000"/>
                </a:solidFill>
                <a:latin typeface="+mj-lt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493057</xdr:colOff>
      <xdr:row>29</xdr:row>
      <xdr:rowOff>67236</xdr:rowOff>
    </xdr:from>
    <xdr:ext cx="1333500" cy="4482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22 CuadroTexto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 txBox="1"/>
          </xdr:nvSpPr>
          <xdr:spPr>
            <a:xfrm>
              <a:off x="5647763" y="5658971"/>
              <a:ext cx="1333500" cy="4482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𝑟</m:t>
                        </m:r>
                      </m:sub>
                    </m:sSub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num>
                      <m:den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</m:t>
                        </m:r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3" name="22 CuadroTexto"/>
            <xdr:cNvSpPr txBox="1"/>
          </xdr:nvSpPr>
          <xdr:spPr>
            <a:xfrm>
              <a:off x="5647763" y="5658971"/>
              <a:ext cx="1333500" cy="4482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𝑇_𝑟=(𝑛+1)/𝑚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258165</xdr:colOff>
      <xdr:row>29</xdr:row>
      <xdr:rowOff>57336</xdr:rowOff>
    </xdr:from>
    <xdr:ext cx="1381125" cy="5619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23 CuadroTexto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 txBox="1"/>
          </xdr:nvSpPr>
          <xdr:spPr>
            <a:xfrm>
              <a:off x="13175530" y="5684413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4" name="23 CuadroTexto"/>
            <xdr:cNvSpPr txBox="1"/>
          </xdr:nvSpPr>
          <xdr:spPr>
            <a:xfrm>
              <a:off x="13175530" y="5684413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17</xdr:col>
      <xdr:colOff>401683</xdr:colOff>
      <xdr:row>35</xdr:row>
      <xdr:rowOff>40992</xdr:rowOff>
    </xdr:from>
    <xdr:ext cx="1602707" cy="455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24 CuadroTexto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 txBox="1"/>
          </xdr:nvSpPr>
          <xdr:spPr>
            <a:xfrm>
              <a:off x="15095031" y="6824449"/>
              <a:ext cx="1602707" cy="455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5" name="24 CuadroTexto"/>
            <xdr:cNvSpPr txBox="1"/>
          </xdr:nvSpPr>
          <xdr:spPr>
            <a:xfrm>
              <a:off x="15095031" y="6824449"/>
              <a:ext cx="1602707" cy="455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>
    <xdr:from>
      <xdr:col>22</xdr:col>
      <xdr:colOff>127000</xdr:colOff>
      <xdr:row>6</xdr:row>
      <xdr:rowOff>5192</xdr:rowOff>
    </xdr:from>
    <xdr:to>
      <xdr:col>31</xdr:col>
      <xdr:colOff>635000</xdr:colOff>
      <xdr:row>34</xdr:row>
      <xdr:rowOff>435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27</xdr:col>
      <xdr:colOff>275343</xdr:colOff>
      <xdr:row>35</xdr:row>
      <xdr:rowOff>18411</xdr:rowOff>
    </xdr:from>
    <xdr:ext cx="1602707" cy="455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25 CuadroTexto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 txBox="1"/>
          </xdr:nvSpPr>
          <xdr:spPr>
            <a:xfrm>
              <a:off x="23818902" y="6506617"/>
              <a:ext cx="1602707" cy="455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6" name="25 CuadroTexto"/>
            <xdr:cNvSpPr txBox="1"/>
          </xdr:nvSpPr>
          <xdr:spPr>
            <a:xfrm>
              <a:off x="23818902" y="6506617"/>
              <a:ext cx="1602707" cy="455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1</xdr:col>
      <xdr:colOff>161687</xdr:colOff>
      <xdr:row>189</xdr:row>
      <xdr:rowOff>13490</xdr:rowOff>
    </xdr:from>
    <xdr:to>
      <xdr:col>5</xdr:col>
      <xdr:colOff>829236</xdr:colOff>
      <xdr:row>216</xdr:row>
      <xdr:rowOff>2029</xdr:rowOff>
    </xdr:to>
    <xdr:pic>
      <xdr:nvPicPr>
        <xdr:cNvPr id="27" name="26 Imagen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33096"/>
        <a:stretch/>
      </xdr:blipFill>
      <xdr:spPr>
        <a:xfrm>
          <a:off x="1416746" y="35636990"/>
          <a:ext cx="3648314" cy="5484493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123184</xdr:colOff>
      <xdr:row>189</xdr:row>
      <xdr:rowOff>6404</xdr:rowOff>
    </xdr:from>
    <xdr:to>
      <xdr:col>11</xdr:col>
      <xdr:colOff>497063</xdr:colOff>
      <xdr:row>204</xdr:row>
      <xdr:rowOff>95891</xdr:rowOff>
    </xdr:to>
    <xdr:pic>
      <xdr:nvPicPr>
        <xdr:cNvPr id="28" name="27 Imagen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95184" y="35643511"/>
          <a:ext cx="4932272" cy="321135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7</xdr:col>
      <xdr:colOff>249794</xdr:colOff>
      <xdr:row>236</xdr:row>
      <xdr:rowOff>123556</xdr:rowOff>
    </xdr:from>
    <xdr:to>
      <xdr:col>7</xdr:col>
      <xdr:colOff>646495</xdr:colOff>
      <xdr:row>238</xdr:row>
      <xdr:rowOff>89015</xdr:rowOff>
    </xdr:to>
    <xdr:sp macro="" textlink="">
      <xdr:nvSpPr>
        <xdr:cNvPr id="31" name="30 Flecha derecha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5751882" y="45305674"/>
          <a:ext cx="396701" cy="346459"/>
        </a:xfrm>
        <a:prstGeom prst="rightArrow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42</xdr:col>
      <xdr:colOff>115543</xdr:colOff>
      <xdr:row>224</xdr:row>
      <xdr:rowOff>36896</xdr:rowOff>
    </xdr:from>
    <xdr:to>
      <xdr:col>51</xdr:col>
      <xdr:colOff>680357</xdr:colOff>
      <xdr:row>241</xdr:row>
      <xdr:rowOff>186951</xdr:rowOff>
    </xdr:to>
    <xdr:graphicFrame macro="">
      <xdr:nvGraphicFramePr>
        <xdr:cNvPr id="38" name="37 Gráfico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99749</xdr:colOff>
      <xdr:row>224</xdr:row>
      <xdr:rowOff>35211</xdr:rowOff>
    </xdr:from>
    <xdr:to>
      <xdr:col>41</xdr:col>
      <xdr:colOff>680636</xdr:colOff>
      <xdr:row>242</xdr:row>
      <xdr:rowOff>3412</xdr:rowOff>
    </xdr:to>
    <xdr:graphicFrame macro="">
      <xdr:nvGraphicFramePr>
        <xdr:cNvPr id="39" name="38 Gráfico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115542</xdr:colOff>
      <xdr:row>242</xdr:row>
      <xdr:rowOff>32214</xdr:rowOff>
    </xdr:from>
    <xdr:to>
      <xdr:col>51</xdr:col>
      <xdr:colOff>680357</xdr:colOff>
      <xdr:row>259</xdr:row>
      <xdr:rowOff>173935</xdr:rowOff>
    </xdr:to>
    <xdr:graphicFrame macro="">
      <xdr:nvGraphicFramePr>
        <xdr:cNvPr id="42" name="41 Gráfico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98733</xdr:colOff>
      <xdr:row>242</xdr:row>
      <xdr:rowOff>29452</xdr:rowOff>
    </xdr:from>
    <xdr:to>
      <xdr:col>41</xdr:col>
      <xdr:colOff>691843</xdr:colOff>
      <xdr:row>259</xdr:row>
      <xdr:rowOff>182217</xdr:rowOff>
    </xdr:to>
    <xdr:graphicFrame macro="">
      <xdr:nvGraphicFramePr>
        <xdr:cNvPr id="43" name="42 Gráfico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4</xdr:col>
      <xdr:colOff>427772</xdr:colOff>
      <xdr:row>334</xdr:row>
      <xdr:rowOff>71618</xdr:rowOff>
    </xdr:from>
    <xdr:ext cx="4084301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35 CuadroTexto">
              <a:extLst>
                <a:ext uri="{FF2B5EF4-FFF2-40B4-BE49-F238E27FC236}">
                  <a16:creationId xmlns:a16="http://schemas.microsoft.com/office/drawing/2014/main" id="{00000000-0008-0000-0600-000024000000}"/>
                </a:ext>
              </a:extLst>
            </xdr:cNvPr>
            <xdr:cNvSpPr txBox="1"/>
          </xdr:nvSpPr>
          <xdr:spPr>
            <a:xfrm>
              <a:off x="3240448" y="51215265"/>
              <a:ext cx="408430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a</m:t>
                    </m:r>
                    <m:d>
                      <m:d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PE" sz="14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r>
                          <m:rPr>
                            <m:sty m:val="p"/>
                          </m:rPr>
                          <a:rPr lang="es-PE" sz="14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KLog</m:t>
                        </m:r>
                        <m:sSub>
                          <m:sSub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𝑟</m:t>
                            </m:r>
                          </m:sub>
                        </m:sSub>
                      </m:e>
                    </m:d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𝑏</m:t>
                            </m:r>
                          </m:e>
                        </m:d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−1</m:t>
                        </m:r>
                      </m:sup>
                    </m:sSup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                   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𝑡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&lt;3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h𝑜𝑟𝑎𝑠</m:t>
                    </m:r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36" name="35 CuadroTexto"/>
            <xdr:cNvSpPr txBox="1"/>
          </xdr:nvSpPr>
          <xdr:spPr>
            <a:xfrm>
              <a:off x="3240448" y="51215265"/>
              <a:ext cx="408430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I=a(1+KLog𝑇_𝑟 ) (𝑡+𝑏)^(𝑛−1)                     𝑡&lt;3ℎ𝑜𝑟𝑎𝑠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4</xdr:col>
      <xdr:colOff>383848</xdr:colOff>
      <xdr:row>336</xdr:row>
      <xdr:rowOff>51631</xdr:rowOff>
    </xdr:from>
    <xdr:ext cx="4514100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39 CuadroTexto">
              <a:extLst>
                <a:ext uri="{FF2B5EF4-FFF2-40B4-BE49-F238E27FC236}">
                  <a16:creationId xmlns:a16="http://schemas.microsoft.com/office/drawing/2014/main" id="{00000000-0008-0000-0600-000028000000}"/>
                </a:ext>
              </a:extLst>
            </xdr:cNvPr>
            <xdr:cNvSpPr txBox="1"/>
          </xdr:nvSpPr>
          <xdr:spPr>
            <a:xfrm>
              <a:off x="3196524" y="51576278"/>
              <a:ext cx="451410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a</m:t>
                    </m:r>
                    <m:d>
                      <m:d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PE" sz="14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r>
                          <m:rPr>
                            <m:sty m:val="p"/>
                          </m:rPr>
                          <a:rPr lang="es-PE" sz="14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KLog</m:t>
                        </m:r>
                        <m:sSub>
                          <m:sSub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𝑟</m:t>
                            </m:r>
                          </m:sub>
                        </m:sSub>
                      </m:e>
                    </m:d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</m:d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−1</m:t>
                        </m:r>
                      </m:sup>
                    </m:sSup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            3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h𝑜𝑟𝑎𝑠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 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𝑡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24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h𝑜𝑟𝑎𝑠</m:t>
                    </m:r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40" name="39 CuadroTexto"/>
            <xdr:cNvSpPr txBox="1"/>
          </xdr:nvSpPr>
          <xdr:spPr>
            <a:xfrm>
              <a:off x="3196524" y="51576278"/>
              <a:ext cx="4514100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I=a(1+KLog𝑇_𝑟 ) (𝑡)^(𝑛−1)              3ℎ𝑜𝑟𝑎𝑠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Cambria Math"/>
                  <a:cs typeface="+mn-cs"/>
                </a:rPr>
                <a:t>≤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 𝑡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Cambria Math"/>
                  <a:cs typeface="+mn-cs"/>
                </a:rPr>
                <a:t>≤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24ℎ𝑜𝑟𝑎𝑠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4</xdr:col>
      <xdr:colOff>784418</xdr:colOff>
      <xdr:row>342</xdr:row>
      <xdr:rowOff>190498</xdr:rowOff>
    </xdr:from>
    <xdr:ext cx="1525728" cy="53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40 CuadroTexto">
              <a:extLst>
                <a:ext uri="{FF2B5EF4-FFF2-40B4-BE49-F238E27FC236}">
                  <a16:creationId xmlns:a16="http://schemas.microsoft.com/office/drawing/2014/main" id="{00000000-0008-0000-0600-000029000000}"/>
                </a:ext>
              </a:extLst>
            </xdr:cNvPr>
            <xdr:cNvSpPr txBox="1"/>
          </xdr:nvSpPr>
          <xdr:spPr>
            <a:xfrm>
              <a:off x="3597094" y="52869351"/>
              <a:ext cx="1525728" cy="53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a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</m:t>
                        </m:r>
                        <m:f>
                          <m:f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PE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PE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s-PE" sz="14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𝑔</m:t>
                                </m:r>
                              </m:sub>
                            </m:sSub>
                          </m:den>
                        </m:f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</m:sup>
                    </m:sSup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𝜀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𝑔</m:t>
                        </m:r>
                      </m:sub>
                    </m:sSub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41" name="40 CuadroTexto"/>
            <xdr:cNvSpPr txBox="1"/>
          </xdr:nvSpPr>
          <xdr:spPr>
            <a:xfrm>
              <a:off x="3597094" y="52869351"/>
              <a:ext cx="1525728" cy="53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a=〖(1/𝑡_𝑔 )〗^𝑛 〖(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Cambria Math"/>
                  <a:cs typeface="+mn-cs"/>
                </a:rPr>
                <a:t>𝜀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〗_𝑔)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1</xdr:col>
      <xdr:colOff>64310</xdr:colOff>
      <xdr:row>351</xdr:row>
      <xdr:rowOff>11206</xdr:rowOff>
    </xdr:from>
    <xdr:to>
      <xdr:col>6</xdr:col>
      <xdr:colOff>507244</xdr:colOff>
      <xdr:row>385</xdr:row>
      <xdr:rowOff>71478</xdr:rowOff>
    </xdr:to>
    <xdr:pic>
      <xdr:nvPicPr>
        <xdr:cNvPr id="7" name="6 Imagen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343" t="970" r="3199" b="1023"/>
        <a:stretch/>
      </xdr:blipFill>
      <xdr:spPr>
        <a:xfrm>
          <a:off x="751767" y="53715641"/>
          <a:ext cx="4319194" cy="654627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584567</xdr:colOff>
      <xdr:row>351</xdr:row>
      <xdr:rowOff>11472</xdr:rowOff>
    </xdr:from>
    <xdr:to>
      <xdr:col>11</xdr:col>
      <xdr:colOff>614601</xdr:colOff>
      <xdr:row>385</xdr:row>
      <xdr:rowOff>82107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1232" t="651" r="1646" b="1063"/>
        <a:stretch/>
      </xdr:blipFill>
      <xdr:spPr>
        <a:xfrm>
          <a:off x="5148284" y="53715907"/>
          <a:ext cx="4585469" cy="655663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7</xdr:col>
      <xdr:colOff>37120</xdr:colOff>
      <xdr:row>272</xdr:row>
      <xdr:rowOff>33623</xdr:rowOff>
    </xdr:from>
    <xdr:to>
      <xdr:col>11</xdr:col>
      <xdr:colOff>2191</xdr:colOff>
      <xdr:row>289</xdr:row>
      <xdr:rowOff>21308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13663"/>
        <a:stretch/>
      </xdr:blipFill>
      <xdr:spPr>
        <a:xfrm>
          <a:off x="5539208" y="51928064"/>
          <a:ext cx="3632805" cy="332661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oneCellAnchor>
    <xdr:from>
      <xdr:col>8</xdr:col>
      <xdr:colOff>191202</xdr:colOff>
      <xdr:row>268</xdr:row>
      <xdr:rowOff>190498</xdr:rowOff>
    </xdr:from>
    <xdr:ext cx="1750218" cy="3669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43 CuadroTexto">
              <a:extLst>
                <a:ext uri="{FF2B5EF4-FFF2-40B4-BE49-F238E27FC236}">
                  <a16:creationId xmlns:a16="http://schemas.microsoft.com/office/drawing/2014/main" id="{00000000-0008-0000-0600-00002C000000}"/>
                </a:ext>
              </a:extLst>
            </xdr:cNvPr>
            <xdr:cNvSpPr txBox="1"/>
          </xdr:nvSpPr>
          <xdr:spPr>
            <a:xfrm>
              <a:off x="6612173" y="51300527"/>
              <a:ext cx="1750218" cy="3669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C</m:t>
                    </m:r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𝑚𝑎𝑥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24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44" name="43 CuadroTexto"/>
            <xdr:cNvSpPr txBox="1"/>
          </xdr:nvSpPr>
          <xdr:spPr>
            <a:xfrm>
              <a:off x="6612173" y="51300527"/>
              <a:ext cx="1750218" cy="3669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𝑃_𝑡=C〖(𝑃〗_𝑚𝑎𝑥24ℎ)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179295</xdr:colOff>
      <xdr:row>267</xdr:row>
      <xdr:rowOff>33619</xdr:rowOff>
    </xdr:from>
    <xdr:ext cx="1830480" cy="3950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44 CuadroTexto">
              <a:extLst>
                <a:ext uri="{FF2B5EF4-FFF2-40B4-BE49-F238E27FC236}">
                  <a16:creationId xmlns:a16="http://schemas.microsoft.com/office/drawing/2014/main" id="{00000000-0008-0000-0600-00002D000000}"/>
                </a:ext>
              </a:extLst>
            </xdr:cNvPr>
            <xdr:cNvSpPr txBox="1"/>
          </xdr:nvSpPr>
          <xdr:spPr>
            <a:xfrm>
              <a:off x="6580095" y="50744719"/>
              <a:ext cx="1830480" cy="3950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>
                  <a:solidFill>
                    <a:sysClr val="windowText" lastClr="000000"/>
                  </a:solidFill>
                  <a:effectLst/>
                  <a:ea typeface="Cambria Math"/>
                  <a:cs typeface="+mn-cs"/>
                </a:rPr>
                <a:t>1hora</a:t>
              </a:r>
              <a14:m>
                <m:oMath xmlns:m="http://schemas.openxmlformats.org/officeDocument/2006/math">
                  <m:r>
                    <a:rPr lang="es-PE" sz="1400" b="0" i="1">
                      <a:solidFill>
                        <a:sysClr val="windowText" lastClr="000000"/>
                      </a:solidFill>
                      <a:effectLst/>
                      <a:latin typeface="Cambria Math"/>
                      <a:ea typeface="Cambria Math"/>
                      <a:cs typeface="+mn-cs"/>
                    </a:rPr>
                    <m:t>≤</m:t>
                  </m:r>
                  <m:r>
                    <a:rPr lang="es-PE" sz="1400" b="0" i="1">
                      <a:solidFill>
                        <a:sysClr val="windowText" lastClr="000000"/>
                      </a:solidFill>
                      <a:effectLst/>
                      <a:latin typeface="Cambria Math"/>
                      <a:ea typeface="Cambria Math"/>
                      <a:cs typeface="+mn-cs"/>
                    </a:rPr>
                    <m:t>𝑡</m:t>
                  </m:r>
                  <m:r>
                    <a:rPr lang="es-PE" sz="1400" b="0" i="1">
                      <a:solidFill>
                        <a:sysClr val="windowText" lastClr="000000"/>
                      </a:solidFill>
                      <a:effectLst/>
                      <a:latin typeface="Cambria Math"/>
                      <a:ea typeface="Cambria Math"/>
                      <a:cs typeface="+mn-cs"/>
                    </a:rPr>
                    <m:t>≤24</m:t>
                  </m:r>
                  <m:r>
                    <a:rPr lang="es-PE" sz="1400" b="0" i="1">
                      <a:solidFill>
                        <a:sysClr val="windowText" lastClr="000000"/>
                      </a:solidFill>
                      <a:effectLst/>
                      <a:latin typeface="Cambria Math"/>
                      <a:ea typeface="Cambria Math"/>
                      <a:cs typeface="+mn-cs"/>
                    </a:rPr>
                    <m:t>h𝑜𝑟𝑎𝑠</m:t>
                  </m:r>
                </m:oMath>
              </a14:m>
              <a:endParaRPr lang="es-PE" sz="1400" b="0" i="1">
                <a:solidFill>
                  <a:sysClr val="windowText" lastClr="000000"/>
                </a:solidFill>
                <a:effectLst/>
                <a:latin typeface="Arial" pitchFamily="34" charset="0"/>
                <a:ea typeface="Cambria Math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45" name="44 CuadroTexto"/>
            <xdr:cNvSpPr txBox="1"/>
          </xdr:nvSpPr>
          <xdr:spPr>
            <a:xfrm>
              <a:off x="6580095" y="50744719"/>
              <a:ext cx="1830480" cy="3950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>
                  <a:solidFill>
                    <a:sysClr val="windowText" lastClr="000000"/>
                  </a:solidFill>
                  <a:effectLst/>
                  <a:ea typeface="Cambria Math"/>
                  <a:cs typeface="+mn-cs"/>
                </a:rPr>
                <a:t>1hora</a:t>
              </a:r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Cambria Math"/>
                  <a:cs typeface="+mn-cs"/>
                </a:rPr>
                <a:t>≤𝑡≤24ℎ𝑜𝑟𝑎𝑠</a:t>
              </a:r>
              <a:endParaRPr lang="es-PE" sz="1400" b="0" i="1">
                <a:solidFill>
                  <a:sysClr val="windowText" lastClr="000000"/>
                </a:solidFill>
                <a:effectLst/>
                <a:latin typeface="Arial" pitchFamily="34" charset="0"/>
                <a:ea typeface="Cambria Math"/>
                <a:cs typeface="Arial" pitchFamily="34" charset="0"/>
              </a:endParaRPr>
            </a:p>
          </xdr:txBody>
        </xdr:sp>
      </mc:Fallback>
    </mc:AlternateContent>
    <xdr:clientData/>
  </xdr:oneCellAnchor>
  <xdr:twoCellAnchor>
    <xdr:from>
      <xdr:col>22</xdr:col>
      <xdr:colOff>25853</xdr:colOff>
      <xdr:row>264</xdr:row>
      <xdr:rowOff>5442</xdr:rowOff>
    </xdr:from>
    <xdr:to>
      <xdr:col>31</xdr:col>
      <xdr:colOff>733425</xdr:colOff>
      <xdr:row>284</xdr:row>
      <xdr:rowOff>85726</xdr:rowOff>
    </xdr:to>
    <xdr:graphicFrame macro="">
      <xdr:nvGraphicFramePr>
        <xdr:cNvPr id="32" name="31 Gráfico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26652</xdr:colOff>
      <xdr:row>284</xdr:row>
      <xdr:rowOff>102137</xdr:rowOff>
    </xdr:from>
    <xdr:to>
      <xdr:col>31</xdr:col>
      <xdr:colOff>733425</xdr:colOff>
      <xdr:row>305</xdr:row>
      <xdr:rowOff>47625</xdr:rowOff>
    </xdr:to>
    <xdr:graphicFrame macro="">
      <xdr:nvGraphicFramePr>
        <xdr:cNvPr id="46" name="45 Gráfico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22</xdr:col>
      <xdr:colOff>29375</xdr:colOff>
      <xdr:row>305</xdr:row>
      <xdr:rowOff>66676</xdr:rowOff>
    </xdr:from>
    <xdr:to>
      <xdr:col>31</xdr:col>
      <xdr:colOff>733425</xdr:colOff>
      <xdr:row>325</xdr:row>
      <xdr:rowOff>171450</xdr:rowOff>
    </xdr:to>
    <xdr:graphicFrame macro="">
      <xdr:nvGraphicFramePr>
        <xdr:cNvPr id="47" name="46 Gráfico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oneCellAnchor>
    <xdr:from>
      <xdr:col>5</xdr:col>
      <xdr:colOff>524470</xdr:colOff>
      <xdr:row>151</xdr:row>
      <xdr:rowOff>54360</xdr:rowOff>
    </xdr:from>
    <xdr:ext cx="2004391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52 CuadroTexto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SpPr txBox="1"/>
          </xdr:nvSpPr>
          <xdr:spPr>
            <a:xfrm>
              <a:off x="4191595" y="28403141"/>
              <a:ext cx="200439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den>
                    </m:f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…….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𝑚𝑚</m:t>
                        </m:r>
                      </m:num>
                      <m:den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h𝑟</m:t>
                        </m:r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53" name="52 CuadroTexto"/>
            <xdr:cNvSpPr txBox="1"/>
          </xdr:nvSpPr>
          <xdr:spPr>
            <a:xfrm>
              <a:off x="4191595" y="28403141"/>
              <a:ext cx="200439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I=𝑃_𝑡/𝑡…….𝑚𝑚/ℎ𝑟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>
    <xdr:from>
      <xdr:col>42</xdr:col>
      <xdr:colOff>104321</xdr:colOff>
      <xdr:row>188</xdr:row>
      <xdr:rowOff>81968</xdr:rowOff>
    </xdr:from>
    <xdr:to>
      <xdr:col>51</xdr:col>
      <xdr:colOff>650647</xdr:colOff>
      <xdr:row>206</xdr:row>
      <xdr:rowOff>0</xdr:rowOff>
    </xdr:to>
    <xdr:graphicFrame macro="">
      <xdr:nvGraphicFramePr>
        <xdr:cNvPr id="54" name="53 Gráfico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42</xdr:col>
      <xdr:colOff>104322</xdr:colOff>
      <xdr:row>206</xdr:row>
      <xdr:rowOff>30729</xdr:rowOff>
    </xdr:from>
    <xdr:to>
      <xdr:col>51</xdr:col>
      <xdr:colOff>661266</xdr:colOff>
      <xdr:row>224</xdr:row>
      <xdr:rowOff>2367</xdr:rowOff>
    </xdr:to>
    <xdr:graphicFrame macro="">
      <xdr:nvGraphicFramePr>
        <xdr:cNvPr id="56" name="55 Gráfico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32</xdr:col>
      <xdr:colOff>81643</xdr:colOff>
      <xdr:row>188</xdr:row>
      <xdr:rowOff>81644</xdr:rowOff>
    </xdr:from>
    <xdr:to>
      <xdr:col>41</xdr:col>
      <xdr:colOff>683759</xdr:colOff>
      <xdr:row>206</xdr:row>
      <xdr:rowOff>1</xdr:rowOff>
    </xdr:to>
    <xdr:graphicFrame macro="">
      <xdr:nvGraphicFramePr>
        <xdr:cNvPr id="58" name="57 Gráfico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92169</xdr:colOff>
      <xdr:row>206</xdr:row>
      <xdr:rowOff>33220</xdr:rowOff>
    </xdr:from>
    <xdr:to>
      <xdr:col>41</xdr:col>
      <xdr:colOff>700124</xdr:colOff>
      <xdr:row>223</xdr:row>
      <xdr:rowOff>196348</xdr:rowOff>
    </xdr:to>
    <xdr:graphicFrame macro="">
      <xdr:nvGraphicFramePr>
        <xdr:cNvPr id="59" name="58 Gráfico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54</xdr:col>
      <xdr:colOff>948358</xdr:colOff>
      <xdr:row>191</xdr:row>
      <xdr:rowOff>115952</xdr:rowOff>
    </xdr:from>
    <xdr:ext cx="1381125" cy="5619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59 CuadroTexto">
              <a:extLst>
                <a:ext uri="{FF2B5EF4-FFF2-40B4-BE49-F238E27FC236}">
                  <a16:creationId xmlns:a16="http://schemas.microsoft.com/office/drawing/2014/main" id="{00000000-0008-0000-0600-00003C000000}"/>
                </a:ext>
              </a:extLst>
            </xdr:cNvPr>
            <xdr:cNvSpPr txBox="1"/>
          </xdr:nvSpPr>
          <xdr:spPr>
            <a:xfrm>
              <a:off x="3653458" y="31865952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60" name="59 CuadroTexto"/>
            <xdr:cNvSpPr txBox="1"/>
          </xdr:nvSpPr>
          <xdr:spPr>
            <a:xfrm>
              <a:off x="3653458" y="31865952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57</xdr:col>
      <xdr:colOff>401684</xdr:colOff>
      <xdr:row>198</xdr:row>
      <xdr:rowOff>123818</xdr:rowOff>
    </xdr:from>
    <xdr:ext cx="1525728" cy="53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60 CuadroTexto">
              <a:extLst>
                <a:ext uri="{FF2B5EF4-FFF2-40B4-BE49-F238E27FC236}">
                  <a16:creationId xmlns:a16="http://schemas.microsoft.com/office/drawing/2014/main" id="{00000000-0008-0000-0600-00003D000000}"/>
                </a:ext>
              </a:extLst>
            </xdr:cNvPr>
            <xdr:cNvSpPr txBox="1"/>
          </xdr:nvSpPr>
          <xdr:spPr>
            <a:xfrm>
              <a:off x="5894434" y="33207318"/>
              <a:ext cx="1525728" cy="53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61" name="60 CuadroTexto"/>
            <xdr:cNvSpPr txBox="1"/>
          </xdr:nvSpPr>
          <xdr:spPr>
            <a:xfrm>
              <a:off x="5894434" y="33207318"/>
              <a:ext cx="1525728" cy="53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>
    <xdr:from>
      <xdr:col>52</xdr:col>
      <xdr:colOff>44827</xdr:colOff>
      <xdr:row>223</xdr:row>
      <xdr:rowOff>9525</xdr:rowOff>
    </xdr:from>
    <xdr:to>
      <xdr:col>61</xdr:col>
      <xdr:colOff>818031</xdr:colOff>
      <xdr:row>251</xdr:row>
      <xdr:rowOff>123978</xdr:rowOff>
    </xdr:to>
    <xdr:graphicFrame macro="">
      <xdr:nvGraphicFramePr>
        <xdr:cNvPr id="62" name="61 Gráfico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18</xdr:col>
      <xdr:colOff>628650</xdr:colOff>
      <xdr:row>257</xdr:row>
      <xdr:rowOff>47625</xdr:rowOff>
    </xdr:from>
    <xdr:ext cx="2004391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54 CuadroTexto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:cNvPr>
            <xdr:cNvSpPr txBox="1"/>
          </xdr:nvSpPr>
          <xdr:spPr>
            <a:xfrm>
              <a:off x="15849600" y="48787050"/>
              <a:ext cx="200439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den>
                    </m:f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…….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𝑚𝑚</m:t>
                        </m:r>
                      </m:num>
                      <m:den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h𝑟</m:t>
                        </m:r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55" name="54 CuadroTexto"/>
            <xdr:cNvSpPr txBox="1"/>
          </xdr:nvSpPr>
          <xdr:spPr>
            <a:xfrm>
              <a:off x="15849600" y="48787050"/>
              <a:ext cx="200439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I=𝑃_𝑡/𝑡…….𝑚𝑚/ℎ𝑟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224091</xdr:colOff>
      <xdr:row>268</xdr:row>
      <xdr:rowOff>168092</xdr:rowOff>
    </xdr:from>
    <xdr:ext cx="1703294" cy="39507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56 CuadroTexto">
              <a:extLst>
                <a:ext uri="{FF2B5EF4-FFF2-40B4-BE49-F238E27FC236}">
                  <a16:creationId xmlns:a16="http://schemas.microsoft.com/office/drawing/2014/main" id="{00000000-0008-0000-0600-000039000000}"/>
                </a:ext>
              </a:extLst>
            </xdr:cNvPr>
            <xdr:cNvSpPr txBox="1"/>
          </xdr:nvSpPr>
          <xdr:spPr>
            <a:xfrm>
              <a:off x="2319591" y="51278121"/>
              <a:ext cx="1703294" cy="3950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𝑡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&lt;1</m:t>
                    </m:r>
                    <m:r>
                      <a:rPr lang="es-PE" sz="1400" b="0" i="1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h𝑜𝑟𝑎</m:t>
                    </m:r>
                  </m:oMath>
                </m:oMathPara>
              </a14:m>
              <a:endParaRPr lang="es-PE" sz="1400" b="0" i="1">
                <a:solidFill>
                  <a:sysClr val="windowText" lastClr="000000"/>
                </a:solidFill>
                <a:effectLst/>
                <a:latin typeface="Arial" pitchFamily="34" charset="0"/>
                <a:ea typeface="Cambria Math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57" name="56 CuadroTexto"/>
            <xdr:cNvSpPr txBox="1"/>
          </xdr:nvSpPr>
          <xdr:spPr>
            <a:xfrm>
              <a:off x="2319591" y="51278121"/>
              <a:ext cx="1703294" cy="39507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Cambria Math"/>
                  <a:cs typeface="+mn-cs"/>
                </a:rPr>
                <a:t>𝑡&lt;1ℎ𝑜𝑟𝑎</a:t>
              </a:r>
              <a:endParaRPr lang="es-PE" sz="1400" b="0" i="1">
                <a:solidFill>
                  <a:sysClr val="windowText" lastClr="000000"/>
                </a:solidFill>
                <a:effectLst/>
                <a:latin typeface="Arial" pitchFamily="34" charset="0"/>
                <a:ea typeface="Cambria Math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22412</xdr:colOff>
      <xdr:row>270</xdr:row>
      <xdr:rowOff>112059</xdr:rowOff>
    </xdr:from>
    <xdr:ext cx="2004391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62 CuadroTexto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:cNvPr>
            <xdr:cNvSpPr txBox="1"/>
          </xdr:nvSpPr>
          <xdr:spPr>
            <a:xfrm>
              <a:off x="2117912" y="51625500"/>
              <a:ext cx="200439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𝑚𝑎𝑥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24</m:t>
                        </m:r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sSup>
                      <m:sSup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</m:t>
                        </m:r>
                        <m:f>
                          <m:f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1440</m:t>
                            </m:r>
                          </m:den>
                        </m:f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)</m:t>
                        </m:r>
                      </m:e>
                      <m:sup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0.25</m:t>
                        </m:r>
                      </m:sup>
                    </m:sSup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63" name="62 CuadroTexto"/>
            <xdr:cNvSpPr txBox="1"/>
          </xdr:nvSpPr>
          <xdr:spPr>
            <a:xfrm>
              <a:off x="2117912" y="51625500"/>
              <a:ext cx="200439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𝑃_𝑡=𝑃_𝑚𝑎𝑥24ℎ 〖(𝑡/1440)〗^0.25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5</xdr:col>
      <xdr:colOff>409575</xdr:colOff>
      <xdr:row>304</xdr:row>
      <xdr:rowOff>57150</xdr:rowOff>
    </xdr:from>
    <xdr:ext cx="2004391" cy="4472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63 CuadroTexto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:cNvPr>
            <xdr:cNvSpPr txBox="1"/>
          </xdr:nvSpPr>
          <xdr:spPr>
            <a:xfrm>
              <a:off x="4067175" y="57997725"/>
              <a:ext cx="200439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den>
                    </m:f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…….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𝑚𝑚</m:t>
                        </m:r>
                      </m:num>
                      <m:den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h𝑟</m:t>
                        </m:r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64" name="63 CuadroTexto"/>
            <xdr:cNvSpPr txBox="1"/>
          </xdr:nvSpPr>
          <xdr:spPr>
            <a:xfrm>
              <a:off x="4067175" y="57997725"/>
              <a:ext cx="2004391" cy="4472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I=𝑃_𝑡/𝑡…….𝑚𝑚/ℎ𝑟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15</xdr:col>
      <xdr:colOff>258165</xdr:colOff>
      <xdr:row>266</xdr:row>
      <xdr:rowOff>57336</xdr:rowOff>
    </xdr:from>
    <xdr:ext cx="1381125" cy="5619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64 CuadroTexto">
              <a:extLst>
                <a:ext uri="{FF2B5EF4-FFF2-40B4-BE49-F238E27FC236}">
                  <a16:creationId xmlns:a16="http://schemas.microsoft.com/office/drawing/2014/main" id="{00000000-0008-0000-0600-000041000000}"/>
                </a:ext>
              </a:extLst>
            </xdr:cNvPr>
            <xdr:cNvSpPr txBox="1"/>
          </xdr:nvSpPr>
          <xdr:spPr>
            <a:xfrm>
              <a:off x="12708701" y="5785943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65" name="64 CuadroTexto"/>
            <xdr:cNvSpPr txBox="1"/>
          </xdr:nvSpPr>
          <xdr:spPr>
            <a:xfrm>
              <a:off x="12708701" y="5785943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17</xdr:col>
      <xdr:colOff>401683</xdr:colOff>
      <xdr:row>272</xdr:row>
      <xdr:rowOff>40992</xdr:rowOff>
    </xdr:from>
    <xdr:ext cx="1602707" cy="455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65 CuadroTexto">
              <a:extLst>
                <a:ext uri="{FF2B5EF4-FFF2-40B4-BE49-F238E27FC236}">
                  <a16:creationId xmlns:a16="http://schemas.microsoft.com/office/drawing/2014/main" id="{00000000-0008-0000-0600-000042000000}"/>
                </a:ext>
              </a:extLst>
            </xdr:cNvPr>
            <xdr:cNvSpPr txBox="1"/>
          </xdr:nvSpPr>
          <xdr:spPr>
            <a:xfrm>
              <a:off x="14675576" y="6926206"/>
              <a:ext cx="1602707" cy="455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66" name="65 CuadroTexto"/>
            <xdr:cNvSpPr txBox="1"/>
          </xdr:nvSpPr>
          <xdr:spPr>
            <a:xfrm>
              <a:off x="14675576" y="6926206"/>
              <a:ext cx="1602707" cy="455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>
    <xdr:from>
      <xdr:col>12</xdr:col>
      <xdr:colOff>56028</xdr:colOff>
      <xdr:row>296</xdr:row>
      <xdr:rowOff>0</xdr:rowOff>
    </xdr:from>
    <xdr:to>
      <xdr:col>21</xdr:col>
      <xdr:colOff>683558</xdr:colOff>
      <xdr:row>324</xdr:row>
      <xdr:rowOff>0</xdr:rowOff>
    </xdr:to>
    <xdr:graphicFrame macro="">
      <xdr:nvGraphicFramePr>
        <xdr:cNvPr id="67" name="66 Gráfico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32</xdr:col>
      <xdr:colOff>38100</xdr:colOff>
      <xdr:row>264</xdr:row>
      <xdr:rowOff>9525</xdr:rowOff>
    </xdr:from>
    <xdr:to>
      <xdr:col>41</xdr:col>
      <xdr:colOff>745673</xdr:colOff>
      <xdr:row>284</xdr:row>
      <xdr:rowOff>89809</xdr:rowOff>
    </xdr:to>
    <xdr:graphicFrame macro="">
      <xdr:nvGraphicFramePr>
        <xdr:cNvPr id="68" name="67 Gráfico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32</xdr:col>
      <xdr:colOff>38899</xdr:colOff>
      <xdr:row>284</xdr:row>
      <xdr:rowOff>106220</xdr:rowOff>
    </xdr:from>
    <xdr:to>
      <xdr:col>41</xdr:col>
      <xdr:colOff>745673</xdr:colOff>
      <xdr:row>305</xdr:row>
      <xdr:rowOff>51708</xdr:rowOff>
    </xdr:to>
    <xdr:graphicFrame macro="">
      <xdr:nvGraphicFramePr>
        <xdr:cNvPr id="69" name="68 Gráfico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32</xdr:col>
      <xdr:colOff>41622</xdr:colOff>
      <xdr:row>305</xdr:row>
      <xdr:rowOff>70759</xdr:rowOff>
    </xdr:from>
    <xdr:to>
      <xdr:col>41</xdr:col>
      <xdr:colOff>745673</xdr:colOff>
      <xdr:row>325</xdr:row>
      <xdr:rowOff>175533</xdr:rowOff>
    </xdr:to>
    <xdr:graphicFrame macro="">
      <xdr:nvGraphicFramePr>
        <xdr:cNvPr id="70" name="69 Gráfico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42</xdr:col>
      <xdr:colOff>33618</xdr:colOff>
      <xdr:row>264</xdr:row>
      <xdr:rowOff>0</xdr:rowOff>
    </xdr:from>
    <xdr:to>
      <xdr:col>51</xdr:col>
      <xdr:colOff>741190</xdr:colOff>
      <xdr:row>284</xdr:row>
      <xdr:rowOff>80284</xdr:rowOff>
    </xdr:to>
    <xdr:graphicFrame macro="">
      <xdr:nvGraphicFramePr>
        <xdr:cNvPr id="71" name="70 Gráfico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42</xdr:col>
      <xdr:colOff>34417</xdr:colOff>
      <xdr:row>284</xdr:row>
      <xdr:rowOff>96695</xdr:rowOff>
    </xdr:from>
    <xdr:to>
      <xdr:col>51</xdr:col>
      <xdr:colOff>741190</xdr:colOff>
      <xdr:row>305</xdr:row>
      <xdr:rowOff>42183</xdr:rowOff>
    </xdr:to>
    <xdr:graphicFrame macro="">
      <xdr:nvGraphicFramePr>
        <xdr:cNvPr id="72" name="71 Gráfico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oneCellAnchor>
    <xdr:from>
      <xdr:col>25</xdr:col>
      <xdr:colOff>258165</xdr:colOff>
      <xdr:row>332</xdr:row>
      <xdr:rowOff>57336</xdr:rowOff>
    </xdr:from>
    <xdr:ext cx="1381125" cy="5619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72 CuadroTexto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 txBox="1"/>
          </xdr:nvSpPr>
          <xdr:spPr>
            <a:xfrm>
              <a:off x="12779210" y="51163291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73" name="72 CuadroTexto"/>
            <xdr:cNvSpPr txBox="1"/>
          </xdr:nvSpPr>
          <xdr:spPr>
            <a:xfrm>
              <a:off x="12779210" y="51163291"/>
              <a:ext cx="138112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oneCellAnchor>
    <xdr:from>
      <xdr:col>27</xdr:col>
      <xdr:colOff>401683</xdr:colOff>
      <xdr:row>338</xdr:row>
      <xdr:rowOff>40992</xdr:rowOff>
    </xdr:from>
    <xdr:ext cx="1602707" cy="455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73 CuadroTexto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 txBox="1"/>
          </xdr:nvSpPr>
          <xdr:spPr>
            <a:xfrm>
              <a:off x="14758456" y="52324583"/>
              <a:ext cx="1602707" cy="455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74" name="73 CuadroTexto"/>
            <xdr:cNvSpPr txBox="1"/>
          </xdr:nvSpPr>
          <xdr:spPr>
            <a:xfrm>
              <a:off x="14758456" y="52324583"/>
              <a:ext cx="1602707" cy="455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>
    <xdr:from>
      <xdr:col>22</xdr:col>
      <xdr:colOff>38101</xdr:colOff>
      <xdr:row>361</xdr:row>
      <xdr:rowOff>161925</xdr:rowOff>
    </xdr:from>
    <xdr:to>
      <xdr:col>31</xdr:col>
      <xdr:colOff>704851</xdr:colOff>
      <xdr:row>389</xdr:row>
      <xdr:rowOff>180975</xdr:rowOff>
    </xdr:to>
    <xdr:graphicFrame macro="">
      <xdr:nvGraphicFramePr>
        <xdr:cNvPr id="75" name="74 Gráfico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12</xdr:col>
      <xdr:colOff>52721</xdr:colOff>
      <xdr:row>334</xdr:row>
      <xdr:rowOff>114100</xdr:rowOff>
    </xdr:from>
    <xdr:to>
      <xdr:col>18</xdr:col>
      <xdr:colOff>757759</xdr:colOff>
      <xdr:row>376</xdr:row>
      <xdr:rowOff>122104</xdr:rowOff>
    </xdr:to>
    <xdr:pic>
      <xdr:nvPicPr>
        <xdr:cNvPr id="30" name="29 Imagen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924085" y="64676282"/>
          <a:ext cx="6219435" cy="812528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533400</xdr:colOff>
          <xdr:row>214</xdr:row>
          <xdr:rowOff>0</xdr:rowOff>
        </xdr:from>
        <xdr:to>
          <xdr:col>67</xdr:col>
          <xdr:colOff>1927860</xdr:colOff>
          <xdr:row>216</xdr:row>
          <xdr:rowOff>175260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6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Preparar para 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556260</xdr:colOff>
          <xdr:row>217</xdr:row>
          <xdr:rowOff>137160</xdr:rowOff>
        </xdr:from>
        <xdr:to>
          <xdr:col>67</xdr:col>
          <xdr:colOff>1935480</xdr:colOff>
          <xdr:row>219</xdr:row>
          <xdr:rowOff>137160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6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Restaurar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403860</xdr:colOff>
          <xdr:row>210</xdr:row>
          <xdr:rowOff>190500</xdr:rowOff>
        </xdr:from>
        <xdr:to>
          <xdr:col>67</xdr:col>
          <xdr:colOff>2042160</xdr:colOff>
          <xdr:row>213</xdr:row>
          <xdr:rowOff>60960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6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 Regresion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15</xdr:row>
      <xdr:rowOff>0</xdr:rowOff>
    </xdr:from>
    <xdr:to>
      <xdr:col>6</xdr:col>
      <xdr:colOff>247650</xdr:colOff>
      <xdr:row>16</xdr:row>
      <xdr:rowOff>133350</xdr:rowOff>
    </xdr:to>
    <xdr:sp macro="" textlink="">
      <xdr:nvSpPr>
        <xdr:cNvPr id="24577" name="Object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700-000001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523875</xdr:colOff>
      <xdr:row>65</xdr:row>
      <xdr:rowOff>180975</xdr:rowOff>
    </xdr:from>
    <xdr:to>
      <xdr:col>7</xdr:col>
      <xdr:colOff>333375</xdr:colOff>
      <xdr:row>67</xdr:row>
      <xdr:rowOff>133350</xdr:rowOff>
    </xdr:to>
    <xdr:sp macro="" textlink="">
      <xdr:nvSpPr>
        <xdr:cNvPr id="24578" name="Object 2" hidden="1">
          <a:extLst>
            <a:ext uri="{63B3BB69-23CF-44E3-9099-C40C66FF867C}">
              <a14:compatExt xmlns:a14="http://schemas.microsoft.com/office/drawing/2010/main" spid="_x0000_s24578"/>
            </a:ext>
            <a:ext uri="{FF2B5EF4-FFF2-40B4-BE49-F238E27FC236}">
              <a16:creationId xmlns:a16="http://schemas.microsoft.com/office/drawing/2014/main" id="{00000000-0008-0000-0700-000002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171450</xdr:colOff>
      <xdr:row>18</xdr:row>
      <xdr:rowOff>0</xdr:rowOff>
    </xdr:from>
    <xdr:to>
      <xdr:col>6</xdr:col>
      <xdr:colOff>209550</xdr:colOff>
      <xdr:row>19</xdr:row>
      <xdr:rowOff>57150</xdr:rowOff>
    </xdr:to>
    <xdr:sp macro="" textlink="">
      <xdr:nvSpPr>
        <xdr:cNvPr id="24579" name="Object 3" hidden="1">
          <a:extLst>
            <a:ext uri="{63B3BB69-23CF-44E3-9099-C40C66FF867C}">
              <a14:compatExt xmlns:a14="http://schemas.microsoft.com/office/drawing/2010/main" spid="_x0000_s24579"/>
            </a:ext>
            <a:ext uri="{FF2B5EF4-FFF2-40B4-BE49-F238E27FC236}">
              <a16:creationId xmlns:a16="http://schemas.microsoft.com/office/drawing/2014/main" id="{00000000-0008-0000-0700-000003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104775</xdr:colOff>
      <xdr:row>23</xdr:row>
      <xdr:rowOff>0</xdr:rowOff>
    </xdr:from>
    <xdr:to>
      <xdr:col>10</xdr:col>
      <xdr:colOff>723900</xdr:colOff>
      <xdr:row>25</xdr:row>
      <xdr:rowOff>95250</xdr:rowOff>
    </xdr:to>
    <xdr:sp macro="" textlink="">
      <xdr:nvSpPr>
        <xdr:cNvPr id="24580" name="Object 4" hidden="1">
          <a:extLst>
            <a:ext uri="{63B3BB69-23CF-44E3-9099-C40C66FF867C}">
              <a14:compatExt xmlns:a14="http://schemas.microsoft.com/office/drawing/2010/main" spid="_x0000_s24580"/>
            </a:ext>
            <a:ext uri="{FF2B5EF4-FFF2-40B4-BE49-F238E27FC236}">
              <a16:creationId xmlns:a16="http://schemas.microsoft.com/office/drawing/2014/main" id="{00000000-0008-0000-0700-000004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66675</xdr:colOff>
      <xdr:row>26</xdr:row>
      <xdr:rowOff>57150</xdr:rowOff>
    </xdr:from>
    <xdr:to>
      <xdr:col>10</xdr:col>
      <xdr:colOff>752475</xdr:colOff>
      <xdr:row>27</xdr:row>
      <xdr:rowOff>104775</xdr:rowOff>
    </xdr:to>
    <xdr:sp macro="" textlink="">
      <xdr:nvSpPr>
        <xdr:cNvPr id="24581" name="Object 5" hidden="1">
          <a:extLst>
            <a:ext uri="{63B3BB69-23CF-44E3-9099-C40C66FF867C}">
              <a14:compatExt xmlns:a14="http://schemas.microsoft.com/office/drawing/2010/main" spid="_x0000_s24581"/>
            </a:ext>
            <a:ext uri="{FF2B5EF4-FFF2-40B4-BE49-F238E27FC236}">
              <a16:creationId xmlns:a16="http://schemas.microsoft.com/office/drawing/2014/main" id="{00000000-0008-0000-0700-000005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26275</xdr:colOff>
      <xdr:row>48</xdr:row>
      <xdr:rowOff>99390</xdr:rowOff>
    </xdr:from>
    <xdr:to>
      <xdr:col>10</xdr:col>
      <xdr:colOff>742292</xdr:colOff>
      <xdr:row>64</xdr:row>
      <xdr:rowOff>164223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142875</xdr:colOff>
      <xdr:row>15</xdr:row>
      <xdr:rowOff>0</xdr:rowOff>
    </xdr:from>
    <xdr:to>
      <xdr:col>16</xdr:col>
      <xdr:colOff>285750</xdr:colOff>
      <xdr:row>16</xdr:row>
      <xdr:rowOff>133350</xdr:rowOff>
    </xdr:to>
    <xdr:sp macro="" textlink="">
      <xdr:nvSpPr>
        <xdr:cNvPr id="24582" name="Object 6" hidden="1">
          <a:extLst>
            <a:ext uri="{63B3BB69-23CF-44E3-9099-C40C66FF867C}">
              <a14:compatExt xmlns:a14="http://schemas.microsoft.com/office/drawing/2010/main" spid="_x0000_s24582"/>
            </a:ext>
            <a:ext uri="{FF2B5EF4-FFF2-40B4-BE49-F238E27FC236}">
              <a16:creationId xmlns:a16="http://schemas.microsoft.com/office/drawing/2014/main" id="{00000000-0008-0000-0700-000006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219075</xdr:colOff>
      <xdr:row>18</xdr:row>
      <xdr:rowOff>0</xdr:rowOff>
    </xdr:from>
    <xdr:to>
      <xdr:col>16</xdr:col>
      <xdr:colOff>247650</xdr:colOff>
      <xdr:row>19</xdr:row>
      <xdr:rowOff>57150</xdr:rowOff>
    </xdr:to>
    <xdr:sp macro="" textlink="">
      <xdr:nvSpPr>
        <xdr:cNvPr id="24583" name="Object 7" hidden="1">
          <a:extLst>
            <a:ext uri="{63B3BB69-23CF-44E3-9099-C40C66FF867C}">
              <a14:compatExt xmlns:a14="http://schemas.microsoft.com/office/drawing/2010/main" spid="_x0000_s24583"/>
            </a:ext>
            <a:ext uri="{FF2B5EF4-FFF2-40B4-BE49-F238E27FC236}">
              <a16:creationId xmlns:a16="http://schemas.microsoft.com/office/drawing/2014/main" id="{00000000-0008-0000-0700-000007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133350</xdr:colOff>
      <xdr:row>23</xdr:row>
      <xdr:rowOff>0</xdr:rowOff>
    </xdr:from>
    <xdr:to>
      <xdr:col>20</xdr:col>
      <xdr:colOff>762000</xdr:colOff>
      <xdr:row>25</xdr:row>
      <xdr:rowOff>95250</xdr:rowOff>
    </xdr:to>
    <xdr:sp macro="" textlink="">
      <xdr:nvSpPr>
        <xdr:cNvPr id="24584" name="Object 8" hidden="1">
          <a:extLst>
            <a:ext uri="{63B3BB69-23CF-44E3-9099-C40C66FF867C}">
              <a14:compatExt xmlns:a14="http://schemas.microsoft.com/office/drawing/2010/main" spid="_x0000_s24584"/>
            </a:ext>
            <a:ext uri="{FF2B5EF4-FFF2-40B4-BE49-F238E27FC236}">
              <a16:creationId xmlns:a16="http://schemas.microsoft.com/office/drawing/2014/main" id="{00000000-0008-0000-0700-000008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95250</xdr:colOff>
      <xdr:row>26</xdr:row>
      <xdr:rowOff>57150</xdr:rowOff>
    </xdr:from>
    <xdr:to>
      <xdr:col>21</xdr:col>
      <xdr:colOff>19050</xdr:colOff>
      <xdr:row>27</xdr:row>
      <xdr:rowOff>104775</xdr:rowOff>
    </xdr:to>
    <xdr:sp macro="" textlink="">
      <xdr:nvSpPr>
        <xdr:cNvPr id="24585" name="Object 9" hidden="1">
          <a:extLst>
            <a:ext uri="{63B3BB69-23CF-44E3-9099-C40C66FF867C}">
              <a14:compatExt xmlns:a14="http://schemas.microsoft.com/office/drawing/2010/main" spid="_x0000_s24585"/>
            </a:ext>
            <a:ext uri="{FF2B5EF4-FFF2-40B4-BE49-F238E27FC236}">
              <a16:creationId xmlns:a16="http://schemas.microsoft.com/office/drawing/2014/main" id="{00000000-0008-0000-0700-000009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26275</xdr:colOff>
      <xdr:row>48</xdr:row>
      <xdr:rowOff>99390</xdr:rowOff>
    </xdr:from>
    <xdr:to>
      <xdr:col>20</xdr:col>
      <xdr:colOff>742292</xdr:colOff>
      <xdr:row>64</xdr:row>
      <xdr:rowOff>164223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180975</xdr:colOff>
      <xdr:row>15</xdr:row>
      <xdr:rowOff>0</xdr:rowOff>
    </xdr:from>
    <xdr:to>
      <xdr:col>26</xdr:col>
      <xdr:colOff>333375</xdr:colOff>
      <xdr:row>16</xdr:row>
      <xdr:rowOff>133350</xdr:rowOff>
    </xdr:to>
    <xdr:sp macro="" textlink="">
      <xdr:nvSpPr>
        <xdr:cNvPr id="24586" name="Object 10" hidden="1">
          <a:extLst>
            <a:ext uri="{63B3BB69-23CF-44E3-9099-C40C66FF867C}">
              <a14:compatExt xmlns:a14="http://schemas.microsoft.com/office/drawing/2010/main" spid="_x0000_s24586"/>
            </a:ext>
            <a:ext uri="{FF2B5EF4-FFF2-40B4-BE49-F238E27FC236}">
              <a16:creationId xmlns:a16="http://schemas.microsoft.com/office/drawing/2014/main" id="{00000000-0008-0000-0700-00000A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257175</xdr:colOff>
      <xdr:row>18</xdr:row>
      <xdr:rowOff>0</xdr:rowOff>
    </xdr:from>
    <xdr:to>
      <xdr:col>26</xdr:col>
      <xdr:colOff>295275</xdr:colOff>
      <xdr:row>19</xdr:row>
      <xdr:rowOff>57150</xdr:rowOff>
    </xdr:to>
    <xdr:sp macro="" textlink="">
      <xdr:nvSpPr>
        <xdr:cNvPr id="24587" name="Object 11" hidden="1">
          <a:extLst>
            <a:ext uri="{63B3BB69-23CF-44E3-9099-C40C66FF867C}">
              <a14:compatExt xmlns:a14="http://schemas.microsoft.com/office/drawing/2010/main" spid="_x0000_s24587"/>
            </a:ext>
            <a:ext uri="{FF2B5EF4-FFF2-40B4-BE49-F238E27FC236}">
              <a16:creationId xmlns:a16="http://schemas.microsoft.com/office/drawing/2014/main" id="{00000000-0008-0000-0700-00000B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180975</xdr:colOff>
      <xdr:row>23</xdr:row>
      <xdr:rowOff>0</xdr:rowOff>
    </xdr:from>
    <xdr:to>
      <xdr:col>31</xdr:col>
      <xdr:colOff>19050</xdr:colOff>
      <xdr:row>25</xdr:row>
      <xdr:rowOff>95250</xdr:rowOff>
    </xdr:to>
    <xdr:sp macro="" textlink="">
      <xdr:nvSpPr>
        <xdr:cNvPr id="24588" name="Object 12" hidden="1">
          <a:extLst>
            <a:ext uri="{63B3BB69-23CF-44E3-9099-C40C66FF867C}">
              <a14:compatExt xmlns:a14="http://schemas.microsoft.com/office/drawing/2010/main" spid="_x0000_s24588"/>
            </a:ext>
            <a:ext uri="{FF2B5EF4-FFF2-40B4-BE49-F238E27FC236}">
              <a16:creationId xmlns:a16="http://schemas.microsoft.com/office/drawing/2014/main" id="{00000000-0008-0000-0700-00000C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142875</xdr:colOff>
      <xdr:row>26</xdr:row>
      <xdr:rowOff>57150</xdr:rowOff>
    </xdr:from>
    <xdr:to>
      <xdr:col>31</xdr:col>
      <xdr:colOff>57150</xdr:colOff>
      <xdr:row>27</xdr:row>
      <xdr:rowOff>104775</xdr:rowOff>
    </xdr:to>
    <xdr:sp macro="" textlink="">
      <xdr:nvSpPr>
        <xdr:cNvPr id="24589" name="Object 13" hidden="1">
          <a:extLst>
            <a:ext uri="{63B3BB69-23CF-44E3-9099-C40C66FF867C}">
              <a14:compatExt xmlns:a14="http://schemas.microsoft.com/office/drawing/2010/main" spid="_x0000_s24589"/>
            </a:ext>
            <a:ext uri="{FF2B5EF4-FFF2-40B4-BE49-F238E27FC236}">
              <a16:creationId xmlns:a16="http://schemas.microsoft.com/office/drawing/2014/main" id="{00000000-0008-0000-0700-00000D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26275</xdr:colOff>
      <xdr:row>48</xdr:row>
      <xdr:rowOff>99390</xdr:rowOff>
    </xdr:from>
    <xdr:to>
      <xdr:col>30</xdr:col>
      <xdr:colOff>742292</xdr:colOff>
      <xdr:row>64</xdr:row>
      <xdr:rowOff>164223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228600</xdr:colOff>
      <xdr:row>15</xdr:row>
      <xdr:rowOff>0</xdr:rowOff>
    </xdr:from>
    <xdr:to>
      <xdr:col>36</xdr:col>
      <xdr:colOff>381000</xdr:colOff>
      <xdr:row>16</xdr:row>
      <xdr:rowOff>133350</xdr:rowOff>
    </xdr:to>
    <xdr:sp macro="" textlink="">
      <xdr:nvSpPr>
        <xdr:cNvPr id="24590" name="Object 14" hidden="1">
          <a:extLst>
            <a:ext uri="{63B3BB69-23CF-44E3-9099-C40C66FF867C}">
              <a14:compatExt xmlns:a14="http://schemas.microsoft.com/office/drawing/2010/main" spid="_x0000_s24590"/>
            </a:ext>
            <a:ext uri="{FF2B5EF4-FFF2-40B4-BE49-F238E27FC236}">
              <a16:creationId xmlns:a16="http://schemas.microsoft.com/office/drawing/2014/main" id="{00000000-0008-0000-0700-00000E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35</xdr:col>
      <xdr:colOff>304800</xdr:colOff>
      <xdr:row>18</xdr:row>
      <xdr:rowOff>0</xdr:rowOff>
    </xdr:from>
    <xdr:to>
      <xdr:col>36</xdr:col>
      <xdr:colOff>342900</xdr:colOff>
      <xdr:row>19</xdr:row>
      <xdr:rowOff>57150</xdr:rowOff>
    </xdr:to>
    <xdr:sp macro="" textlink="">
      <xdr:nvSpPr>
        <xdr:cNvPr id="24591" name="Object 15" hidden="1">
          <a:extLst>
            <a:ext uri="{63B3BB69-23CF-44E3-9099-C40C66FF867C}">
              <a14:compatExt xmlns:a14="http://schemas.microsoft.com/office/drawing/2010/main" spid="_x0000_s24591"/>
            </a:ext>
            <a:ext uri="{FF2B5EF4-FFF2-40B4-BE49-F238E27FC236}">
              <a16:creationId xmlns:a16="http://schemas.microsoft.com/office/drawing/2014/main" id="{00000000-0008-0000-0700-00000F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39</xdr:col>
      <xdr:colOff>219075</xdr:colOff>
      <xdr:row>23</xdr:row>
      <xdr:rowOff>0</xdr:rowOff>
    </xdr:from>
    <xdr:to>
      <xdr:col>41</xdr:col>
      <xdr:colOff>66675</xdr:colOff>
      <xdr:row>25</xdr:row>
      <xdr:rowOff>95250</xdr:rowOff>
    </xdr:to>
    <xdr:sp macro="" textlink="">
      <xdr:nvSpPr>
        <xdr:cNvPr id="24592" name="Object 16" hidden="1">
          <a:extLst>
            <a:ext uri="{63B3BB69-23CF-44E3-9099-C40C66FF867C}">
              <a14:compatExt xmlns:a14="http://schemas.microsoft.com/office/drawing/2010/main" spid="_x0000_s24592"/>
            </a:ext>
            <a:ext uri="{FF2B5EF4-FFF2-40B4-BE49-F238E27FC236}">
              <a16:creationId xmlns:a16="http://schemas.microsoft.com/office/drawing/2014/main" id="{00000000-0008-0000-0700-000010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39</xdr:col>
      <xdr:colOff>180975</xdr:colOff>
      <xdr:row>26</xdr:row>
      <xdr:rowOff>57150</xdr:rowOff>
    </xdr:from>
    <xdr:to>
      <xdr:col>41</xdr:col>
      <xdr:colOff>95250</xdr:colOff>
      <xdr:row>27</xdr:row>
      <xdr:rowOff>104775</xdr:rowOff>
    </xdr:to>
    <xdr:sp macro="" textlink="">
      <xdr:nvSpPr>
        <xdr:cNvPr id="24593" name="Object 17" hidden="1">
          <a:extLst>
            <a:ext uri="{63B3BB69-23CF-44E3-9099-C40C66FF867C}">
              <a14:compatExt xmlns:a14="http://schemas.microsoft.com/office/drawing/2010/main" spid="_x0000_s24593"/>
            </a:ext>
            <a:ext uri="{FF2B5EF4-FFF2-40B4-BE49-F238E27FC236}">
              <a16:creationId xmlns:a16="http://schemas.microsoft.com/office/drawing/2014/main" id="{00000000-0008-0000-0700-000011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26275</xdr:colOff>
      <xdr:row>48</xdr:row>
      <xdr:rowOff>99390</xdr:rowOff>
    </xdr:from>
    <xdr:to>
      <xdr:col>40</xdr:col>
      <xdr:colOff>742292</xdr:colOff>
      <xdr:row>64</xdr:row>
      <xdr:rowOff>164223</xdr:rowOff>
    </xdr:to>
    <xdr:graphicFrame macro="">
      <xdr:nvGraphicFramePr>
        <xdr:cNvPr id="22" name="21 Gráfico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285750</xdr:colOff>
      <xdr:row>15</xdr:row>
      <xdr:rowOff>0</xdr:rowOff>
    </xdr:from>
    <xdr:to>
      <xdr:col>46</xdr:col>
      <xdr:colOff>419100</xdr:colOff>
      <xdr:row>16</xdr:row>
      <xdr:rowOff>133350</xdr:rowOff>
    </xdr:to>
    <xdr:sp macro="" textlink="">
      <xdr:nvSpPr>
        <xdr:cNvPr id="24594" name="Object 18" hidden="1">
          <a:extLst>
            <a:ext uri="{63B3BB69-23CF-44E3-9099-C40C66FF867C}">
              <a14:compatExt xmlns:a14="http://schemas.microsoft.com/office/drawing/2010/main" spid="_x0000_s24594"/>
            </a:ext>
            <a:ext uri="{FF2B5EF4-FFF2-40B4-BE49-F238E27FC236}">
              <a16:creationId xmlns:a16="http://schemas.microsoft.com/office/drawing/2014/main" id="{00000000-0008-0000-0700-000012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361950</xdr:colOff>
      <xdr:row>18</xdr:row>
      <xdr:rowOff>0</xdr:rowOff>
    </xdr:from>
    <xdr:to>
      <xdr:col>46</xdr:col>
      <xdr:colOff>381000</xdr:colOff>
      <xdr:row>19</xdr:row>
      <xdr:rowOff>57150</xdr:rowOff>
    </xdr:to>
    <xdr:sp macro="" textlink="">
      <xdr:nvSpPr>
        <xdr:cNvPr id="24595" name="Object 19" hidden="1">
          <a:extLst>
            <a:ext uri="{63B3BB69-23CF-44E3-9099-C40C66FF867C}">
              <a14:compatExt xmlns:a14="http://schemas.microsoft.com/office/drawing/2010/main" spid="_x0000_s24595"/>
            </a:ext>
            <a:ext uri="{FF2B5EF4-FFF2-40B4-BE49-F238E27FC236}">
              <a16:creationId xmlns:a16="http://schemas.microsoft.com/office/drawing/2014/main" id="{00000000-0008-0000-0700-000013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266700</xdr:colOff>
      <xdr:row>23</xdr:row>
      <xdr:rowOff>0</xdr:rowOff>
    </xdr:from>
    <xdr:to>
      <xdr:col>51</xdr:col>
      <xdr:colOff>104775</xdr:colOff>
      <xdr:row>25</xdr:row>
      <xdr:rowOff>95250</xdr:rowOff>
    </xdr:to>
    <xdr:sp macro="" textlink="">
      <xdr:nvSpPr>
        <xdr:cNvPr id="24596" name="Object 20" hidden="1">
          <a:extLst>
            <a:ext uri="{63B3BB69-23CF-44E3-9099-C40C66FF867C}">
              <a14:compatExt xmlns:a14="http://schemas.microsoft.com/office/drawing/2010/main" spid="_x0000_s24596"/>
            </a:ext>
            <a:ext uri="{FF2B5EF4-FFF2-40B4-BE49-F238E27FC236}">
              <a16:creationId xmlns:a16="http://schemas.microsoft.com/office/drawing/2014/main" id="{00000000-0008-0000-0700-000014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228600</xdr:colOff>
      <xdr:row>26</xdr:row>
      <xdr:rowOff>57150</xdr:rowOff>
    </xdr:from>
    <xdr:to>
      <xdr:col>51</xdr:col>
      <xdr:colOff>133350</xdr:colOff>
      <xdr:row>27</xdr:row>
      <xdr:rowOff>104775</xdr:rowOff>
    </xdr:to>
    <xdr:sp macro="" textlink="">
      <xdr:nvSpPr>
        <xdr:cNvPr id="24597" name="Object 21" hidden="1">
          <a:extLst>
            <a:ext uri="{63B3BB69-23CF-44E3-9099-C40C66FF867C}">
              <a14:compatExt xmlns:a14="http://schemas.microsoft.com/office/drawing/2010/main" spid="_x0000_s24597"/>
            </a:ext>
            <a:ext uri="{FF2B5EF4-FFF2-40B4-BE49-F238E27FC236}">
              <a16:creationId xmlns:a16="http://schemas.microsoft.com/office/drawing/2014/main" id="{00000000-0008-0000-0700-000015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26275</xdr:colOff>
      <xdr:row>48</xdr:row>
      <xdr:rowOff>99390</xdr:rowOff>
    </xdr:from>
    <xdr:to>
      <xdr:col>50</xdr:col>
      <xdr:colOff>742292</xdr:colOff>
      <xdr:row>64</xdr:row>
      <xdr:rowOff>164223</xdr:rowOff>
    </xdr:to>
    <xdr:graphicFrame macro="">
      <xdr:nvGraphicFramePr>
        <xdr:cNvPr id="27" name="26 Gráfico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55</xdr:col>
      <xdr:colOff>323850</xdr:colOff>
      <xdr:row>15</xdr:row>
      <xdr:rowOff>0</xdr:rowOff>
    </xdr:from>
    <xdr:to>
      <xdr:col>56</xdr:col>
      <xdr:colOff>476250</xdr:colOff>
      <xdr:row>16</xdr:row>
      <xdr:rowOff>133350</xdr:rowOff>
    </xdr:to>
    <xdr:sp macro="" textlink="">
      <xdr:nvSpPr>
        <xdr:cNvPr id="24598" name="Object 22" hidden="1">
          <a:extLst>
            <a:ext uri="{63B3BB69-23CF-44E3-9099-C40C66FF867C}">
              <a14:compatExt xmlns:a14="http://schemas.microsoft.com/office/drawing/2010/main" spid="_x0000_s24598"/>
            </a:ext>
            <a:ext uri="{FF2B5EF4-FFF2-40B4-BE49-F238E27FC236}">
              <a16:creationId xmlns:a16="http://schemas.microsoft.com/office/drawing/2014/main" id="{00000000-0008-0000-0700-000016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400050</xdr:colOff>
      <xdr:row>18</xdr:row>
      <xdr:rowOff>0</xdr:rowOff>
    </xdr:from>
    <xdr:to>
      <xdr:col>56</xdr:col>
      <xdr:colOff>438150</xdr:colOff>
      <xdr:row>19</xdr:row>
      <xdr:rowOff>57150</xdr:rowOff>
    </xdr:to>
    <xdr:sp macro="" textlink="">
      <xdr:nvSpPr>
        <xdr:cNvPr id="24599" name="Object 23" hidden="1">
          <a:extLst>
            <a:ext uri="{63B3BB69-23CF-44E3-9099-C40C66FF867C}">
              <a14:compatExt xmlns:a14="http://schemas.microsoft.com/office/drawing/2010/main" spid="_x0000_s24599"/>
            </a:ext>
            <a:ext uri="{FF2B5EF4-FFF2-40B4-BE49-F238E27FC236}">
              <a16:creationId xmlns:a16="http://schemas.microsoft.com/office/drawing/2014/main" id="{00000000-0008-0000-0700-000017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59</xdr:col>
      <xdr:colOff>304800</xdr:colOff>
      <xdr:row>23</xdr:row>
      <xdr:rowOff>0</xdr:rowOff>
    </xdr:from>
    <xdr:to>
      <xdr:col>61</xdr:col>
      <xdr:colOff>152400</xdr:colOff>
      <xdr:row>25</xdr:row>
      <xdr:rowOff>95250</xdr:rowOff>
    </xdr:to>
    <xdr:sp macro="" textlink="">
      <xdr:nvSpPr>
        <xdr:cNvPr id="24600" name="Object 24" hidden="1">
          <a:extLst>
            <a:ext uri="{63B3BB69-23CF-44E3-9099-C40C66FF867C}">
              <a14:compatExt xmlns:a14="http://schemas.microsoft.com/office/drawing/2010/main" spid="_x0000_s24600"/>
            </a:ext>
            <a:ext uri="{FF2B5EF4-FFF2-40B4-BE49-F238E27FC236}">
              <a16:creationId xmlns:a16="http://schemas.microsoft.com/office/drawing/2014/main" id="{00000000-0008-0000-0700-000018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59</xdr:col>
      <xdr:colOff>266700</xdr:colOff>
      <xdr:row>26</xdr:row>
      <xdr:rowOff>57150</xdr:rowOff>
    </xdr:from>
    <xdr:to>
      <xdr:col>61</xdr:col>
      <xdr:colOff>180975</xdr:colOff>
      <xdr:row>27</xdr:row>
      <xdr:rowOff>104775</xdr:rowOff>
    </xdr:to>
    <xdr:sp macro="" textlink="">
      <xdr:nvSpPr>
        <xdr:cNvPr id="24601" name="Object 25" hidden="1">
          <a:extLst>
            <a:ext uri="{63B3BB69-23CF-44E3-9099-C40C66FF867C}">
              <a14:compatExt xmlns:a14="http://schemas.microsoft.com/office/drawing/2010/main" spid="_x0000_s24601"/>
            </a:ext>
            <a:ext uri="{FF2B5EF4-FFF2-40B4-BE49-F238E27FC236}">
              <a16:creationId xmlns:a16="http://schemas.microsoft.com/office/drawing/2014/main" id="{00000000-0008-0000-0700-000019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51</xdr:col>
      <xdr:colOff>26275</xdr:colOff>
      <xdr:row>48</xdr:row>
      <xdr:rowOff>99390</xdr:rowOff>
    </xdr:from>
    <xdr:to>
      <xdr:col>60</xdr:col>
      <xdr:colOff>742292</xdr:colOff>
      <xdr:row>64</xdr:row>
      <xdr:rowOff>164223</xdr:rowOff>
    </xdr:to>
    <xdr:graphicFrame macro="">
      <xdr:nvGraphicFramePr>
        <xdr:cNvPr id="32" name="31 Gráfico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65</xdr:col>
      <xdr:colOff>361950</xdr:colOff>
      <xdr:row>15</xdr:row>
      <xdr:rowOff>0</xdr:rowOff>
    </xdr:from>
    <xdr:to>
      <xdr:col>66</xdr:col>
      <xdr:colOff>514350</xdr:colOff>
      <xdr:row>16</xdr:row>
      <xdr:rowOff>133350</xdr:rowOff>
    </xdr:to>
    <xdr:sp macro="" textlink="">
      <xdr:nvSpPr>
        <xdr:cNvPr id="24602" name="Object 26" hidden="1">
          <a:extLst>
            <a:ext uri="{63B3BB69-23CF-44E3-9099-C40C66FF867C}">
              <a14:compatExt xmlns:a14="http://schemas.microsoft.com/office/drawing/2010/main" spid="_x0000_s24602"/>
            </a:ext>
            <a:ext uri="{FF2B5EF4-FFF2-40B4-BE49-F238E27FC236}">
              <a16:creationId xmlns:a16="http://schemas.microsoft.com/office/drawing/2014/main" id="{00000000-0008-0000-0700-00001A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65</xdr:col>
      <xdr:colOff>438150</xdr:colOff>
      <xdr:row>18</xdr:row>
      <xdr:rowOff>0</xdr:rowOff>
    </xdr:from>
    <xdr:to>
      <xdr:col>66</xdr:col>
      <xdr:colOff>476250</xdr:colOff>
      <xdr:row>19</xdr:row>
      <xdr:rowOff>57150</xdr:rowOff>
    </xdr:to>
    <xdr:sp macro="" textlink="">
      <xdr:nvSpPr>
        <xdr:cNvPr id="24603" name="Object 27" hidden="1">
          <a:extLst>
            <a:ext uri="{63B3BB69-23CF-44E3-9099-C40C66FF867C}">
              <a14:compatExt xmlns:a14="http://schemas.microsoft.com/office/drawing/2010/main" spid="_x0000_s24603"/>
            </a:ext>
            <a:ext uri="{FF2B5EF4-FFF2-40B4-BE49-F238E27FC236}">
              <a16:creationId xmlns:a16="http://schemas.microsoft.com/office/drawing/2014/main" id="{00000000-0008-0000-0700-00001B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361950</xdr:colOff>
      <xdr:row>23</xdr:row>
      <xdr:rowOff>0</xdr:rowOff>
    </xdr:from>
    <xdr:to>
      <xdr:col>71</xdr:col>
      <xdr:colOff>209550</xdr:colOff>
      <xdr:row>25</xdr:row>
      <xdr:rowOff>95250</xdr:rowOff>
    </xdr:to>
    <xdr:sp macro="" textlink="">
      <xdr:nvSpPr>
        <xdr:cNvPr id="24604" name="Object 28" hidden="1">
          <a:extLst>
            <a:ext uri="{63B3BB69-23CF-44E3-9099-C40C66FF867C}">
              <a14:compatExt xmlns:a14="http://schemas.microsoft.com/office/drawing/2010/main" spid="_x0000_s24604"/>
            </a:ext>
            <a:ext uri="{FF2B5EF4-FFF2-40B4-BE49-F238E27FC236}">
              <a16:creationId xmlns:a16="http://schemas.microsoft.com/office/drawing/2014/main" id="{00000000-0008-0000-0700-00001C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323850</xdr:colOff>
      <xdr:row>26</xdr:row>
      <xdr:rowOff>57150</xdr:rowOff>
    </xdr:from>
    <xdr:to>
      <xdr:col>71</xdr:col>
      <xdr:colOff>228600</xdr:colOff>
      <xdr:row>27</xdr:row>
      <xdr:rowOff>104775</xdr:rowOff>
    </xdr:to>
    <xdr:sp macro="" textlink="">
      <xdr:nvSpPr>
        <xdr:cNvPr id="24605" name="Object 29" hidden="1">
          <a:extLst>
            <a:ext uri="{63B3BB69-23CF-44E3-9099-C40C66FF867C}">
              <a14:compatExt xmlns:a14="http://schemas.microsoft.com/office/drawing/2010/main" spid="_x0000_s24605"/>
            </a:ext>
            <a:ext uri="{FF2B5EF4-FFF2-40B4-BE49-F238E27FC236}">
              <a16:creationId xmlns:a16="http://schemas.microsoft.com/office/drawing/2014/main" id="{00000000-0008-0000-0700-00001D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26275</xdr:colOff>
      <xdr:row>48</xdr:row>
      <xdr:rowOff>99390</xdr:rowOff>
    </xdr:from>
    <xdr:to>
      <xdr:col>70</xdr:col>
      <xdr:colOff>742292</xdr:colOff>
      <xdr:row>64</xdr:row>
      <xdr:rowOff>164223</xdr:rowOff>
    </xdr:to>
    <xdr:graphicFrame macro="">
      <xdr:nvGraphicFramePr>
        <xdr:cNvPr id="37" name="36 Gráfico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75</xdr:col>
      <xdr:colOff>400050</xdr:colOff>
      <xdr:row>15</xdr:row>
      <xdr:rowOff>0</xdr:rowOff>
    </xdr:from>
    <xdr:to>
      <xdr:col>76</xdr:col>
      <xdr:colOff>552450</xdr:colOff>
      <xdr:row>16</xdr:row>
      <xdr:rowOff>133350</xdr:rowOff>
    </xdr:to>
    <xdr:sp macro="" textlink="">
      <xdr:nvSpPr>
        <xdr:cNvPr id="24606" name="Object 30" hidden="1">
          <a:extLst>
            <a:ext uri="{63B3BB69-23CF-44E3-9099-C40C66FF867C}">
              <a14:compatExt xmlns:a14="http://schemas.microsoft.com/office/drawing/2010/main" spid="_x0000_s24606"/>
            </a:ext>
            <a:ext uri="{FF2B5EF4-FFF2-40B4-BE49-F238E27FC236}">
              <a16:creationId xmlns:a16="http://schemas.microsoft.com/office/drawing/2014/main" id="{00000000-0008-0000-0700-00001E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75</xdr:col>
      <xdr:colOff>476250</xdr:colOff>
      <xdr:row>18</xdr:row>
      <xdr:rowOff>0</xdr:rowOff>
    </xdr:from>
    <xdr:to>
      <xdr:col>76</xdr:col>
      <xdr:colOff>514350</xdr:colOff>
      <xdr:row>19</xdr:row>
      <xdr:rowOff>57150</xdr:rowOff>
    </xdr:to>
    <xdr:sp macro="" textlink="">
      <xdr:nvSpPr>
        <xdr:cNvPr id="24607" name="Object 31" hidden="1">
          <a:extLst>
            <a:ext uri="{63B3BB69-23CF-44E3-9099-C40C66FF867C}">
              <a14:compatExt xmlns:a14="http://schemas.microsoft.com/office/drawing/2010/main" spid="_x0000_s24607"/>
            </a:ext>
            <a:ext uri="{FF2B5EF4-FFF2-40B4-BE49-F238E27FC236}">
              <a16:creationId xmlns:a16="http://schemas.microsoft.com/office/drawing/2014/main" id="{00000000-0008-0000-0700-00001F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79</xdr:col>
      <xdr:colOff>400050</xdr:colOff>
      <xdr:row>23</xdr:row>
      <xdr:rowOff>0</xdr:rowOff>
    </xdr:from>
    <xdr:to>
      <xdr:col>81</xdr:col>
      <xdr:colOff>247650</xdr:colOff>
      <xdr:row>25</xdr:row>
      <xdr:rowOff>95250</xdr:rowOff>
    </xdr:to>
    <xdr:sp macro="" textlink="">
      <xdr:nvSpPr>
        <xdr:cNvPr id="24608" name="Object 32" hidden="1">
          <a:extLst>
            <a:ext uri="{63B3BB69-23CF-44E3-9099-C40C66FF867C}">
              <a14:compatExt xmlns:a14="http://schemas.microsoft.com/office/drawing/2010/main" spid="_x0000_s24608"/>
            </a:ext>
            <a:ext uri="{FF2B5EF4-FFF2-40B4-BE49-F238E27FC236}">
              <a16:creationId xmlns:a16="http://schemas.microsoft.com/office/drawing/2014/main" id="{00000000-0008-0000-0700-000020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79</xdr:col>
      <xdr:colOff>361950</xdr:colOff>
      <xdr:row>26</xdr:row>
      <xdr:rowOff>57150</xdr:rowOff>
    </xdr:from>
    <xdr:to>
      <xdr:col>81</xdr:col>
      <xdr:colOff>266700</xdr:colOff>
      <xdr:row>27</xdr:row>
      <xdr:rowOff>104775</xdr:rowOff>
    </xdr:to>
    <xdr:sp macro="" textlink="">
      <xdr:nvSpPr>
        <xdr:cNvPr id="24609" name="Object 33" hidden="1">
          <a:extLst>
            <a:ext uri="{63B3BB69-23CF-44E3-9099-C40C66FF867C}">
              <a14:compatExt xmlns:a14="http://schemas.microsoft.com/office/drawing/2010/main" spid="_x0000_s24609"/>
            </a:ext>
            <a:ext uri="{FF2B5EF4-FFF2-40B4-BE49-F238E27FC236}">
              <a16:creationId xmlns:a16="http://schemas.microsoft.com/office/drawing/2014/main" id="{00000000-0008-0000-0700-000021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71</xdr:col>
      <xdr:colOff>26275</xdr:colOff>
      <xdr:row>48</xdr:row>
      <xdr:rowOff>99390</xdr:rowOff>
    </xdr:from>
    <xdr:to>
      <xdr:col>80</xdr:col>
      <xdr:colOff>742292</xdr:colOff>
      <xdr:row>64</xdr:row>
      <xdr:rowOff>164223</xdr:rowOff>
    </xdr:to>
    <xdr:graphicFrame macro="">
      <xdr:nvGraphicFramePr>
        <xdr:cNvPr id="42" name="41 Gráfico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95250</xdr:colOff>
      <xdr:row>15</xdr:row>
      <xdr:rowOff>0</xdr:rowOff>
    </xdr:from>
    <xdr:to>
      <xdr:col>6</xdr:col>
      <xdr:colOff>247650</xdr:colOff>
      <xdr:row>16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1800" y="2705100"/>
          <a:ext cx="8001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523875</xdr:colOff>
      <xdr:row>65</xdr:row>
      <xdr:rowOff>180975</xdr:rowOff>
    </xdr:from>
    <xdr:to>
      <xdr:col>7</xdr:col>
      <xdr:colOff>333375</xdr:colOff>
      <xdr:row>67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11420475"/>
          <a:ext cx="110490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171450</xdr:colOff>
      <xdr:row>18</xdr:row>
      <xdr:rowOff>0</xdr:rowOff>
    </xdr:from>
    <xdr:to>
      <xdr:col>6</xdr:col>
      <xdr:colOff>209550</xdr:colOff>
      <xdr:row>19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3276600"/>
          <a:ext cx="6858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104775</xdr:colOff>
      <xdr:row>23</xdr:row>
      <xdr:rowOff>0</xdr:rowOff>
    </xdr:from>
    <xdr:to>
      <xdr:col>10</xdr:col>
      <xdr:colOff>723900</xdr:colOff>
      <xdr:row>25</xdr:row>
      <xdr:rowOff>95250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5" y="4191000"/>
          <a:ext cx="12668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66675</xdr:colOff>
      <xdr:row>26</xdr:row>
      <xdr:rowOff>57150</xdr:rowOff>
    </xdr:from>
    <xdr:to>
      <xdr:col>10</xdr:col>
      <xdr:colOff>752475</xdr:colOff>
      <xdr:row>27</xdr:row>
      <xdr:rowOff>104775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4705350"/>
          <a:ext cx="13335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142875</xdr:colOff>
      <xdr:row>15</xdr:row>
      <xdr:rowOff>0</xdr:rowOff>
    </xdr:from>
    <xdr:to>
      <xdr:col>16</xdr:col>
      <xdr:colOff>285750</xdr:colOff>
      <xdr:row>16</xdr:row>
      <xdr:rowOff>133350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9775" y="2705100"/>
          <a:ext cx="7905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219075</xdr:colOff>
      <xdr:row>18</xdr:row>
      <xdr:rowOff>0</xdr:rowOff>
    </xdr:from>
    <xdr:to>
      <xdr:col>16</xdr:col>
      <xdr:colOff>247650</xdr:colOff>
      <xdr:row>19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3276600"/>
          <a:ext cx="6762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133350</xdr:colOff>
      <xdr:row>23</xdr:row>
      <xdr:rowOff>0</xdr:rowOff>
    </xdr:from>
    <xdr:to>
      <xdr:col>20</xdr:col>
      <xdr:colOff>762000</xdr:colOff>
      <xdr:row>25</xdr:row>
      <xdr:rowOff>95250</xdr:rowOff>
    </xdr:to>
    <xdr:pic>
      <xdr:nvPicPr>
        <xdr:cNvPr id="10" name="Picture 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1050" y="4191000"/>
          <a:ext cx="12763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95250</xdr:colOff>
      <xdr:row>26</xdr:row>
      <xdr:rowOff>57150</xdr:rowOff>
    </xdr:from>
    <xdr:to>
      <xdr:col>21</xdr:col>
      <xdr:colOff>19050</xdr:colOff>
      <xdr:row>27</xdr:row>
      <xdr:rowOff>104775</xdr:rowOff>
    </xdr:to>
    <xdr:pic>
      <xdr:nvPicPr>
        <xdr:cNvPr id="11" name="Picture 9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2950" y="4705350"/>
          <a:ext cx="13525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180975</xdr:colOff>
      <xdr:row>15</xdr:row>
      <xdr:rowOff>0</xdr:rowOff>
    </xdr:from>
    <xdr:to>
      <xdr:col>26</xdr:col>
      <xdr:colOff>333375</xdr:colOff>
      <xdr:row>16</xdr:row>
      <xdr:rowOff>133350</xdr:rowOff>
    </xdr:to>
    <xdr:pic>
      <xdr:nvPicPr>
        <xdr:cNvPr id="13" name="Picture 10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2705100"/>
          <a:ext cx="8001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257175</xdr:colOff>
      <xdr:row>18</xdr:row>
      <xdr:rowOff>0</xdr:rowOff>
    </xdr:from>
    <xdr:to>
      <xdr:col>26</xdr:col>
      <xdr:colOff>295275</xdr:colOff>
      <xdr:row>19</xdr:row>
      <xdr:rowOff>57150</xdr:rowOff>
    </xdr:to>
    <xdr:pic>
      <xdr:nvPicPr>
        <xdr:cNvPr id="14" name="Picture 11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54425" y="3276600"/>
          <a:ext cx="6858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180975</xdr:colOff>
      <xdr:row>23</xdr:row>
      <xdr:rowOff>0</xdr:rowOff>
    </xdr:from>
    <xdr:to>
      <xdr:col>31</xdr:col>
      <xdr:colOff>19050</xdr:colOff>
      <xdr:row>25</xdr:row>
      <xdr:rowOff>95250</xdr:rowOff>
    </xdr:to>
    <xdr:pic>
      <xdr:nvPicPr>
        <xdr:cNvPr id="15" name="Picture 12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69025" y="4191000"/>
          <a:ext cx="12668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142875</xdr:colOff>
      <xdr:row>26</xdr:row>
      <xdr:rowOff>57150</xdr:rowOff>
    </xdr:from>
    <xdr:to>
      <xdr:col>31</xdr:col>
      <xdr:colOff>57150</xdr:colOff>
      <xdr:row>27</xdr:row>
      <xdr:rowOff>104775</xdr:rowOff>
    </xdr:to>
    <xdr:pic>
      <xdr:nvPicPr>
        <xdr:cNvPr id="16" name="Picture 13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30925" y="4705350"/>
          <a:ext cx="1343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35</xdr:col>
      <xdr:colOff>228600</xdr:colOff>
      <xdr:row>15</xdr:row>
      <xdr:rowOff>0</xdr:rowOff>
    </xdr:from>
    <xdr:to>
      <xdr:col>36</xdr:col>
      <xdr:colOff>381000</xdr:colOff>
      <xdr:row>16</xdr:row>
      <xdr:rowOff>133350</xdr:rowOff>
    </xdr:to>
    <xdr:pic>
      <xdr:nvPicPr>
        <xdr:cNvPr id="18" name="Picture 14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36200" y="2705100"/>
          <a:ext cx="8001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35</xdr:col>
      <xdr:colOff>304800</xdr:colOff>
      <xdr:row>18</xdr:row>
      <xdr:rowOff>0</xdr:rowOff>
    </xdr:from>
    <xdr:to>
      <xdr:col>36</xdr:col>
      <xdr:colOff>342900</xdr:colOff>
      <xdr:row>19</xdr:row>
      <xdr:rowOff>57150</xdr:rowOff>
    </xdr:to>
    <xdr:pic>
      <xdr:nvPicPr>
        <xdr:cNvPr id="19" name="Picture 15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12400" y="3276600"/>
          <a:ext cx="6858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219075</xdr:colOff>
      <xdr:row>23</xdr:row>
      <xdr:rowOff>0</xdr:rowOff>
    </xdr:from>
    <xdr:to>
      <xdr:col>41</xdr:col>
      <xdr:colOff>66675</xdr:colOff>
      <xdr:row>25</xdr:row>
      <xdr:rowOff>95250</xdr:rowOff>
    </xdr:to>
    <xdr:pic>
      <xdr:nvPicPr>
        <xdr:cNvPr id="20" name="Picture 16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7475" y="4191000"/>
          <a:ext cx="12763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180975</xdr:colOff>
      <xdr:row>26</xdr:row>
      <xdr:rowOff>57150</xdr:rowOff>
    </xdr:from>
    <xdr:to>
      <xdr:col>41</xdr:col>
      <xdr:colOff>95250</xdr:colOff>
      <xdr:row>27</xdr:row>
      <xdr:rowOff>104775</xdr:rowOff>
    </xdr:to>
    <xdr:pic>
      <xdr:nvPicPr>
        <xdr:cNvPr id="21" name="Picture 17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79375" y="4705350"/>
          <a:ext cx="1343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45</xdr:col>
      <xdr:colOff>285750</xdr:colOff>
      <xdr:row>15</xdr:row>
      <xdr:rowOff>0</xdr:rowOff>
    </xdr:from>
    <xdr:to>
      <xdr:col>46</xdr:col>
      <xdr:colOff>419100</xdr:colOff>
      <xdr:row>16</xdr:row>
      <xdr:rowOff>133350</xdr:rowOff>
    </xdr:to>
    <xdr:pic>
      <xdr:nvPicPr>
        <xdr:cNvPr id="23" name="Picture 18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03700" y="2705100"/>
          <a:ext cx="78105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45</xdr:col>
      <xdr:colOff>361950</xdr:colOff>
      <xdr:row>18</xdr:row>
      <xdr:rowOff>0</xdr:rowOff>
    </xdr:from>
    <xdr:to>
      <xdr:col>46</xdr:col>
      <xdr:colOff>381000</xdr:colOff>
      <xdr:row>19</xdr:row>
      <xdr:rowOff>57150</xdr:rowOff>
    </xdr:to>
    <xdr:pic>
      <xdr:nvPicPr>
        <xdr:cNvPr id="24" name="Picture 19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9900" y="3276600"/>
          <a:ext cx="666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49</xdr:col>
      <xdr:colOff>266700</xdr:colOff>
      <xdr:row>23</xdr:row>
      <xdr:rowOff>0</xdr:rowOff>
    </xdr:from>
    <xdr:to>
      <xdr:col>51</xdr:col>
      <xdr:colOff>104775</xdr:colOff>
      <xdr:row>25</xdr:row>
      <xdr:rowOff>95250</xdr:rowOff>
    </xdr:to>
    <xdr:pic>
      <xdr:nvPicPr>
        <xdr:cNvPr id="25" name="Picture 20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75450" y="4191000"/>
          <a:ext cx="12668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49</xdr:col>
      <xdr:colOff>228600</xdr:colOff>
      <xdr:row>26</xdr:row>
      <xdr:rowOff>57150</xdr:rowOff>
    </xdr:from>
    <xdr:to>
      <xdr:col>51</xdr:col>
      <xdr:colOff>133350</xdr:colOff>
      <xdr:row>27</xdr:row>
      <xdr:rowOff>104775</xdr:rowOff>
    </xdr:to>
    <xdr:pic>
      <xdr:nvPicPr>
        <xdr:cNvPr id="26" name="Picture 21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37350" y="4705350"/>
          <a:ext cx="13335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55</xdr:col>
      <xdr:colOff>323850</xdr:colOff>
      <xdr:row>15</xdr:row>
      <xdr:rowOff>0</xdr:rowOff>
    </xdr:from>
    <xdr:to>
      <xdr:col>56</xdr:col>
      <xdr:colOff>476250</xdr:colOff>
      <xdr:row>16</xdr:row>
      <xdr:rowOff>133350</xdr:rowOff>
    </xdr:to>
    <xdr:pic>
      <xdr:nvPicPr>
        <xdr:cNvPr id="28" name="Picture 22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52150" y="2705100"/>
          <a:ext cx="8001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55</xdr:col>
      <xdr:colOff>400050</xdr:colOff>
      <xdr:row>18</xdr:row>
      <xdr:rowOff>0</xdr:rowOff>
    </xdr:from>
    <xdr:to>
      <xdr:col>56</xdr:col>
      <xdr:colOff>438150</xdr:colOff>
      <xdr:row>19</xdr:row>
      <xdr:rowOff>57150</xdr:rowOff>
    </xdr:to>
    <xdr:pic>
      <xdr:nvPicPr>
        <xdr:cNvPr id="29" name="Picture 23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28350" y="3276600"/>
          <a:ext cx="6858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59</xdr:col>
      <xdr:colOff>304800</xdr:colOff>
      <xdr:row>23</xdr:row>
      <xdr:rowOff>0</xdr:rowOff>
    </xdr:from>
    <xdr:to>
      <xdr:col>61</xdr:col>
      <xdr:colOff>152400</xdr:colOff>
      <xdr:row>25</xdr:row>
      <xdr:rowOff>95250</xdr:rowOff>
    </xdr:to>
    <xdr:pic>
      <xdr:nvPicPr>
        <xdr:cNvPr id="30" name="Picture 24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23900" y="4191000"/>
          <a:ext cx="12763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59</xdr:col>
      <xdr:colOff>266700</xdr:colOff>
      <xdr:row>26</xdr:row>
      <xdr:rowOff>57150</xdr:rowOff>
    </xdr:from>
    <xdr:to>
      <xdr:col>61</xdr:col>
      <xdr:colOff>180975</xdr:colOff>
      <xdr:row>27</xdr:row>
      <xdr:rowOff>104775</xdr:rowOff>
    </xdr:to>
    <xdr:pic>
      <xdr:nvPicPr>
        <xdr:cNvPr id="31" name="Picture 25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85800" y="4705350"/>
          <a:ext cx="1343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65</xdr:col>
      <xdr:colOff>361950</xdr:colOff>
      <xdr:row>15</xdr:row>
      <xdr:rowOff>0</xdr:rowOff>
    </xdr:from>
    <xdr:to>
      <xdr:col>66</xdr:col>
      <xdr:colOff>514350</xdr:colOff>
      <xdr:row>16</xdr:row>
      <xdr:rowOff>133350</xdr:rowOff>
    </xdr:to>
    <xdr:pic>
      <xdr:nvPicPr>
        <xdr:cNvPr id="33" name="Picture 26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0" y="2705100"/>
          <a:ext cx="8001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65</xdr:col>
      <xdr:colOff>438150</xdr:colOff>
      <xdr:row>18</xdr:row>
      <xdr:rowOff>0</xdr:rowOff>
    </xdr:from>
    <xdr:to>
      <xdr:col>66</xdr:col>
      <xdr:colOff>476250</xdr:colOff>
      <xdr:row>19</xdr:row>
      <xdr:rowOff>57150</xdr:rowOff>
    </xdr:to>
    <xdr:pic>
      <xdr:nvPicPr>
        <xdr:cNvPr id="34" name="Picture 27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76800" y="3276600"/>
          <a:ext cx="6858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69</xdr:col>
      <xdr:colOff>361950</xdr:colOff>
      <xdr:row>23</xdr:row>
      <xdr:rowOff>0</xdr:rowOff>
    </xdr:from>
    <xdr:to>
      <xdr:col>71</xdr:col>
      <xdr:colOff>209550</xdr:colOff>
      <xdr:row>25</xdr:row>
      <xdr:rowOff>95250</xdr:rowOff>
    </xdr:to>
    <xdr:pic>
      <xdr:nvPicPr>
        <xdr:cNvPr id="35" name="Picture 28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91400" y="4191000"/>
          <a:ext cx="12763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69</xdr:col>
      <xdr:colOff>323850</xdr:colOff>
      <xdr:row>26</xdr:row>
      <xdr:rowOff>57150</xdr:rowOff>
    </xdr:from>
    <xdr:to>
      <xdr:col>71</xdr:col>
      <xdr:colOff>228600</xdr:colOff>
      <xdr:row>27</xdr:row>
      <xdr:rowOff>104775</xdr:rowOff>
    </xdr:to>
    <xdr:pic>
      <xdr:nvPicPr>
        <xdr:cNvPr id="36" name="Picture 29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53300" y="4705350"/>
          <a:ext cx="13335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75</xdr:col>
      <xdr:colOff>400050</xdr:colOff>
      <xdr:row>15</xdr:row>
      <xdr:rowOff>0</xdr:rowOff>
    </xdr:from>
    <xdr:to>
      <xdr:col>76</xdr:col>
      <xdr:colOff>552450</xdr:colOff>
      <xdr:row>16</xdr:row>
      <xdr:rowOff>133350</xdr:rowOff>
    </xdr:to>
    <xdr:pic>
      <xdr:nvPicPr>
        <xdr:cNvPr id="38" name="Picture 30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49050" y="2705100"/>
          <a:ext cx="8001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75</xdr:col>
      <xdr:colOff>476250</xdr:colOff>
      <xdr:row>18</xdr:row>
      <xdr:rowOff>0</xdr:rowOff>
    </xdr:from>
    <xdr:to>
      <xdr:col>76</xdr:col>
      <xdr:colOff>514350</xdr:colOff>
      <xdr:row>19</xdr:row>
      <xdr:rowOff>57150</xdr:rowOff>
    </xdr:to>
    <xdr:pic>
      <xdr:nvPicPr>
        <xdr:cNvPr id="39" name="Picture 31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625250" y="3276600"/>
          <a:ext cx="6858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79</xdr:col>
      <xdr:colOff>400050</xdr:colOff>
      <xdr:row>23</xdr:row>
      <xdr:rowOff>0</xdr:rowOff>
    </xdr:from>
    <xdr:to>
      <xdr:col>81</xdr:col>
      <xdr:colOff>247650</xdr:colOff>
      <xdr:row>25</xdr:row>
      <xdr:rowOff>95250</xdr:rowOff>
    </xdr:to>
    <xdr:pic>
      <xdr:nvPicPr>
        <xdr:cNvPr id="40" name="Picture 32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39850" y="4191000"/>
          <a:ext cx="12763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79</xdr:col>
      <xdr:colOff>361950</xdr:colOff>
      <xdr:row>26</xdr:row>
      <xdr:rowOff>57150</xdr:rowOff>
    </xdr:from>
    <xdr:to>
      <xdr:col>81</xdr:col>
      <xdr:colOff>266700</xdr:colOff>
      <xdr:row>27</xdr:row>
      <xdr:rowOff>104775</xdr:rowOff>
    </xdr:to>
    <xdr:pic>
      <xdr:nvPicPr>
        <xdr:cNvPr id="41" name="Picture 3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01750" y="4705350"/>
          <a:ext cx="13335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18</xdr:row>
      <xdr:rowOff>171450</xdr:rowOff>
    </xdr:from>
    <xdr:to>
      <xdr:col>6</xdr:col>
      <xdr:colOff>571500</xdr:colOff>
      <xdr:row>20</xdr:row>
      <xdr:rowOff>95250</xdr:rowOff>
    </xdr:to>
    <xdr:sp macro="" textlink="">
      <xdr:nvSpPr>
        <xdr:cNvPr id="37889" name="Object 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800-000001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38100</xdr:colOff>
      <xdr:row>21</xdr:row>
      <xdr:rowOff>142875</xdr:rowOff>
    </xdr:from>
    <xdr:to>
      <xdr:col>5</xdr:col>
      <xdr:colOff>704850</xdr:colOff>
      <xdr:row>23</xdr:row>
      <xdr:rowOff>171450</xdr:rowOff>
    </xdr:to>
    <xdr:sp macro="" textlink="">
      <xdr:nvSpPr>
        <xdr:cNvPr id="37890" name="Object 2" hidden="1">
          <a:extLst>
            <a:ext uri="{63B3BB69-23CF-44E3-9099-C40C66FF867C}">
              <a14:compatExt xmlns:a14="http://schemas.microsoft.com/office/drawing/2010/main" spid="_x0000_s37890"/>
            </a:ext>
            <a:ext uri="{FF2B5EF4-FFF2-40B4-BE49-F238E27FC236}">
              <a16:creationId xmlns:a16="http://schemas.microsoft.com/office/drawing/2014/main" id="{00000000-0008-0000-0800-000002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19050</xdr:colOff>
      <xdr:row>25</xdr:row>
      <xdr:rowOff>171450</xdr:rowOff>
    </xdr:from>
    <xdr:to>
      <xdr:col>6</xdr:col>
      <xdr:colOff>95250</xdr:colOff>
      <xdr:row>28</xdr:row>
      <xdr:rowOff>38100</xdr:rowOff>
    </xdr:to>
    <xdr:sp macro="" textlink="">
      <xdr:nvSpPr>
        <xdr:cNvPr id="37891" name="Object 3" hidden="1">
          <a:extLst>
            <a:ext uri="{63B3BB69-23CF-44E3-9099-C40C66FF867C}">
              <a14:compatExt xmlns:a14="http://schemas.microsoft.com/office/drawing/2010/main" spid="_x0000_s37891"/>
            </a:ext>
            <a:ext uri="{FF2B5EF4-FFF2-40B4-BE49-F238E27FC236}">
              <a16:creationId xmlns:a16="http://schemas.microsoft.com/office/drawing/2014/main" id="{00000000-0008-0000-0800-000003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29</xdr:row>
      <xdr:rowOff>133350</xdr:rowOff>
    </xdr:from>
    <xdr:to>
      <xdr:col>8</xdr:col>
      <xdr:colOff>19050</xdr:colOff>
      <xdr:row>31</xdr:row>
      <xdr:rowOff>133350</xdr:rowOff>
    </xdr:to>
    <xdr:sp macro="" textlink="">
      <xdr:nvSpPr>
        <xdr:cNvPr id="37892" name="Object 4" hidden="1">
          <a:extLst>
            <a:ext uri="{63B3BB69-23CF-44E3-9099-C40C66FF867C}">
              <a14:compatExt xmlns:a14="http://schemas.microsoft.com/office/drawing/2010/main" spid="_x0000_s37892"/>
            </a:ext>
            <a:ext uri="{FF2B5EF4-FFF2-40B4-BE49-F238E27FC236}">
              <a16:creationId xmlns:a16="http://schemas.microsoft.com/office/drawing/2014/main" id="{00000000-0008-0000-0800-000004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361950</xdr:colOff>
      <xdr:row>31</xdr:row>
      <xdr:rowOff>180975</xdr:rowOff>
    </xdr:from>
    <xdr:to>
      <xdr:col>9</xdr:col>
      <xdr:colOff>419100</xdr:colOff>
      <xdr:row>33</xdr:row>
      <xdr:rowOff>133350</xdr:rowOff>
    </xdr:to>
    <xdr:sp macro="" textlink="">
      <xdr:nvSpPr>
        <xdr:cNvPr id="37893" name="Object 5" hidden="1">
          <a:extLst>
            <a:ext uri="{63B3BB69-23CF-44E3-9099-C40C66FF867C}">
              <a14:compatExt xmlns:a14="http://schemas.microsoft.com/office/drawing/2010/main" spid="_x0000_s37893"/>
            </a:ext>
            <a:ext uri="{FF2B5EF4-FFF2-40B4-BE49-F238E27FC236}">
              <a16:creationId xmlns:a16="http://schemas.microsoft.com/office/drawing/2014/main" id="{00000000-0008-0000-0800-000005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361950</xdr:colOff>
      <xdr:row>33</xdr:row>
      <xdr:rowOff>152400</xdr:rowOff>
    </xdr:from>
    <xdr:to>
      <xdr:col>9</xdr:col>
      <xdr:colOff>409575</xdr:colOff>
      <xdr:row>35</xdr:row>
      <xdr:rowOff>152400</xdr:rowOff>
    </xdr:to>
    <xdr:sp macro="" textlink="">
      <xdr:nvSpPr>
        <xdr:cNvPr id="37894" name="Object 6" hidden="1">
          <a:extLst>
            <a:ext uri="{63B3BB69-23CF-44E3-9099-C40C66FF867C}">
              <a14:compatExt xmlns:a14="http://schemas.microsoft.com/office/drawing/2010/main" spid="_x0000_s37894"/>
            </a:ext>
            <a:ext uri="{FF2B5EF4-FFF2-40B4-BE49-F238E27FC236}">
              <a16:creationId xmlns:a16="http://schemas.microsoft.com/office/drawing/2014/main" id="{00000000-0008-0000-0800-000006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333375</xdr:colOff>
      <xdr:row>35</xdr:row>
      <xdr:rowOff>95250</xdr:rowOff>
    </xdr:from>
    <xdr:to>
      <xdr:col>7</xdr:col>
      <xdr:colOff>323850</xdr:colOff>
      <xdr:row>37</xdr:row>
      <xdr:rowOff>104775</xdr:rowOff>
    </xdr:to>
    <xdr:sp macro="" textlink="">
      <xdr:nvSpPr>
        <xdr:cNvPr id="37895" name="Object 7" hidden="1">
          <a:extLst>
            <a:ext uri="{63B3BB69-23CF-44E3-9099-C40C66FF867C}">
              <a14:compatExt xmlns:a14="http://schemas.microsoft.com/office/drawing/2010/main" spid="_x0000_s37895"/>
            </a:ext>
            <a:ext uri="{FF2B5EF4-FFF2-40B4-BE49-F238E27FC236}">
              <a16:creationId xmlns:a16="http://schemas.microsoft.com/office/drawing/2014/main" id="{00000000-0008-0000-0800-000007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523875</xdr:colOff>
      <xdr:row>37</xdr:row>
      <xdr:rowOff>142875</xdr:rowOff>
    </xdr:from>
    <xdr:to>
      <xdr:col>8</xdr:col>
      <xdr:colOff>333375</xdr:colOff>
      <xdr:row>39</xdr:row>
      <xdr:rowOff>19050</xdr:rowOff>
    </xdr:to>
    <xdr:sp macro="" textlink="">
      <xdr:nvSpPr>
        <xdr:cNvPr id="37896" name="Object 8" hidden="1">
          <a:extLst>
            <a:ext uri="{63B3BB69-23CF-44E3-9099-C40C66FF867C}">
              <a14:compatExt xmlns:a14="http://schemas.microsoft.com/office/drawing/2010/main" spid="_x0000_s37896"/>
            </a:ext>
            <a:ext uri="{FF2B5EF4-FFF2-40B4-BE49-F238E27FC236}">
              <a16:creationId xmlns:a16="http://schemas.microsoft.com/office/drawing/2014/main" id="{00000000-0008-0000-0800-000008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57149</xdr:colOff>
      <xdr:row>42</xdr:row>
      <xdr:rowOff>4762</xdr:rowOff>
    </xdr:from>
    <xdr:to>
      <xdr:col>7</xdr:col>
      <xdr:colOff>695324</xdr:colOff>
      <xdr:row>60</xdr:row>
      <xdr:rowOff>123825</xdr:rowOff>
    </xdr:to>
    <xdr:graphicFrame macro="">
      <xdr:nvGraphicFramePr>
        <xdr:cNvPr id="10" name="9 Gráfico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409575</xdr:colOff>
      <xdr:row>11</xdr:row>
      <xdr:rowOff>57150</xdr:rowOff>
    </xdr:from>
    <xdr:to>
      <xdr:col>18</xdr:col>
      <xdr:colOff>142875</xdr:colOff>
      <xdr:row>13</xdr:row>
      <xdr:rowOff>95250</xdr:rowOff>
    </xdr:to>
    <xdr:sp macro="" textlink="">
      <xdr:nvSpPr>
        <xdr:cNvPr id="37897" name="Object 9" hidden="1">
          <a:extLst>
            <a:ext uri="{63B3BB69-23CF-44E3-9099-C40C66FF867C}">
              <a14:compatExt xmlns:a14="http://schemas.microsoft.com/office/drawing/2010/main" spid="_x0000_s37897"/>
            </a:ext>
            <a:ext uri="{FF2B5EF4-FFF2-40B4-BE49-F238E27FC236}">
              <a16:creationId xmlns:a16="http://schemas.microsoft.com/office/drawing/2014/main" id="{00000000-0008-0000-0800-000009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723900</xdr:colOff>
      <xdr:row>13</xdr:row>
      <xdr:rowOff>57150</xdr:rowOff>
    </xdr:from>
    <xdr:to>
      <xdr:col>18</xdr:col>
      <xdr:colOff>152400</xdr:colOff>
      <xdr:row>15</xdr:row>
      <xdr:rowOff>133350</xdr:rowOff>
    </xdr:to>
    <xdr:sp macro="" textlink="">
      <xdr:nvSpPr>
        <xdr:cNvPr id="37898" name="Object 10" hidden="1">
          <a:extLst>
            <a:ext uri="{63B3BB69-23CF-44E3-9099-C40C66FF867C}">
              <a14:compatExt xmlns:a14="http://schemas.microsoft.com/office/drawing/2010/main" spid="_x0000_s37898"/>
            </a:ext>
            <a:ext uri="{FF2B5EF4-FFF2-40B4-BE49-F238E27FC236}">
              <a16:creationId xmlns:a16="http://schemas.microsoft.com/office/drawing/2014/main" id="{00000000-0008-0000-0800-00000A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295275</xdr:colOff>
      <xdr:row>23</xdr:row>
      <xdr:rowOff>142875</xdr:rowOff>
    </xdr:from>
    <xdr:to>
      <xdr:col>17</xdr:col>
      <xdr:colOff>247650</xdr:colOff>
      <xdr:row>25</xdr:row>
      <xdr:rowOff>38100</xdr:rowOff>
    </xdr:to>
    <xdr:sp macro="" textlink="">
      <xdr:nvSpPr>
        <xdr:cNvPr id="37899" name="Object 11" hidden="1">
          <a:extLst>
            <a:ext uri="{63B3BB69-23CF-44E3-9099-C40C66FF867C}">
              <a14:compatExt xmlns:a14="http://schemas.microsoft.com/office/drawing/2010/main" spid="_x0000_s37899"/>
            </a:ext>
            <a:ext uri="{FF2B5EF4-FFF2-40B4-BE49-F238E27FC236}">
              <a16:creationId xmlns:a16="http://schemas.microsoft.com/office/drawing/2014/main" id="{00000000-0008-0000-0800-00000B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57150</xdr:colOff>
      <xdr:row>15</xdr:row>
      <xdr:rowOff>114300</xdr:rowOff>
    </xdr:from>
    <xdr:to>
      <xdr:col>15</xdr:col>
      <xdr:colOff>57150</xdr:colOff>
      <xdr:row>17</xdr:row>
      <xdr:rowOff>133350</xdr:rowOff>
    </xdr:to>
    <xdr:sp macro="" textlink="">
      <xdr:nvSpPr>
        <xdr:cNvPr id="37900" name="Object 12" hidden="1">
          <a:extLst>
            <a:ext uri="{63B3BB69-23CF-44E3-9099-C40C66FF867C}">
              <a14:compatExt xmlns:a14="http://schemas.microsoft.com/office/drawing/2010/main" spid="_x0000_s37900"/>
            </a:ext>
            <a:ext uri="{FF2B5EF4-FFF2-40B4-BE49-F238E27FC236}">
              <a16:creationId xmlns:a16="http://schemas.microsoft.com/office/drawing/2014/main" id="{00000000-0008-0000-0800-00000C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361950</xdr:colOff>
      <xdr:row>17</xdr:row>
      <xdr:rowOff>133350</xdr:rowOff>
    </xdr:from>
    <xdr:to>
      <xdr:col>18</xdr:col>
      <xdr:colOff>342900</xdr:colOff>
      <xdr:row>19</xdr:row>
      <xdr:rowOff>95250</xdr:rowOff>
    </xdr:to>
    <xdr:sp macro="" textlink="">
      <xdr:nvSpPr>
        <xdr:cNvPr id="37901" name="Object 13" hidden="1">
          <a:extLst>
            <a:ext uri="{63B3BB69-23CF-44E3-9099-C40C66FF867C}">
              <a14:compatExt xmlns:a14="http://schemas.microsoft.com/office/drawing/2010/main" spid="_x0000_s37901"/>
            </a:ext>
            <a:ext uri="{FF2B5EF4-FFF2-40B4-BE49-F238E27FC236}">
              <a16:creationId xmlns:a16="http://schemas.microsoft.com/office/drawing/2014/main" id="{00000000-0008-0000-0800-00000D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361950</xdr:colOff>
      <xdr:row>19</xdr:row>
      <xdr:rowOff>133350</xdr:rowOff>
    </xdr:from>
    <xdr:to>
      <xdr:col>18</xdr:col>
      <xdr:colOff>323850</xdr:colOff>
      <xdr:row>21</xdr:row>
      <xdr:rowOff>133350</xdr:rowOff>
    </xdr:to>
    <xdr:sp macro="" textlink="">
      <xdr:nvSpPr>
        <xdr:cNvPr id="37902" name="Object 14" hidden="1">
          <a:extLst>
            <a:ext uri="{63B3BB69-23CF-44E3-9099-C40C66FF867C}">
              <a14:compatExt xmlns:a14="http://schemas.microsoft.com/office/drawing/2010/main" spid="_x0000_s37902"/>
            </a:ext>
            <a:ext uri="{FF2B5EF4-FFF2-40B4-BE49-F238E27FC236}">
              <a16:creationId xmlns:a16="http://schemas.microsoft.com/office/drawing/2014/main" id="{00000000-0008-0000-0800-00000E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257175</xdr:colOff>
      <xdr:row>21</xdr:row>
      <xdr:rowOff>76200</xdr:rowOff>
    </xdr:from>
    <xdr:to>
      <xdr:col>16</xdr:col>
      <xdr:colOff>247650</xdr:colOff>
      <xdr:row>23</xdr:row>
      <xdr:rowOff>95250</xdr:rowOff>
    </xdr:to>
    <xdr:sp macro="" textlink="">
      <xdr:nvSpPr>
        <xdr:cNvPr id="37903" name="Object 15" hidden="1">
          <a:extLst>
            <a:ext uri="{63B3BB69-23CF-44E3-9099-C40C66FF867C}">
              <a14:compatExt xmlns:a14="http://schemas.microsoft.com/office/drawing/2010/main" spid="_x0000_s37903"/>
            </a:ext>
            <a:ext uri="{FF2B5EF4-FFF2-40B4-BE49-F238E27FC236}">
              <a16:creationId xmlns:a16="http://schemas.microsoft.com/office/drawing/2014/main" id="{00000000-0008-0000-0800-00000F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64841</xdr:colOff>
      <xdr:row>42</xdr:row>
      <xdr:rowOff>0</xdr:rowOff>
    </xdr:from>
    <xdr:to>
      <xdr:col>16</xdr:col>
      <xdr:colOff>725163</xdr:colOff>
      <xdr:row>60</xdr:row>
      <xdr:rowOff>132433</xdr:rowOff>
    </xdr:to>
    <xdr:graphicFrame macro="">
      <xdr:nvGraphicFramePr>
        <xdr:cNvPr id="18" name="17 Gráfic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49</xdr:col>
      <xdr:colOff>453261</xdr:colOff>
      <xdr:row>36</xdr:row>
      <xdr:rowOff>122077</xdr:rowOff>
    </xdr:from>
    <xdr:to>
      <xdr:col>61</xdr:col>
      <xdr:colOff>143273</xdr:colOff>
      <xdr:row>57</xdr:row>
      <xdr:rowOff>23644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077011" y="6837202"/>
          <a:ext cx="7262387" cy="3878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19</xdr:col>
      <xdr:colOff>41534</xdr:colOff>
      <xdr:row>3</xdr:row>
      <xdr:rowOff>148963</xdr:rowOff>
    </xdr:from>
    <xdr:to>
      <xdr:col>26</xdr:col>
      <xdr:colOff>749840</xdr:colOff>
      <xdr:row>19</xdr:row>
      <xdr:rowOff>175460</xdr:rowOff>
    </xdr:to>
    <xdr:graphicFrame macro="">
      <xdr:nvGraphicFramePr>
        <xdr:cNvPr id="28" name="27 Gráfico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38337</xdr:colOff>
      <xdr:row>19</xdr:row>
      <xdr:rowOff>180473</xdr:rowOff>
    </xdr:from>
    <xdr:to>
      <xdr:col>28</xdr:col>
      <xdr:colOff>608134</xdr:colOff>
      <xdr:row>36</xdr:row>
      <xdr:rowOff>169267</xdr:rowOff>
    </xdr:to>
    <xdr:graphicFrame macro="">
      <xdr:nvGraphicFramePr>
        <xdr:cNvPr id="36" name="35 Gráfico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38100</xdr:colOff>
      <xdr:row>40</xdr:row>
      <xdr:rowOff>123825</xdr:rowOff>
    </xdr:from>
    <xdr:to>
      <xdr:col>28</xdr:col>
      <xdr:colOff>607897</xdr:colOff>
      <xdr:row>57</xdr:row>
      <xdr:rowOff>103094</xdr:rowOff>
    </xdr:to>
    <xdr:graphicFrame macro="">
      <xdr:nvGraphicFramePr>
        <xdr:cNvPr id="37" name="36 Gráfico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38337</xdr:colOff>
      <xdr:row>19</xdr:row>
      <xdr:rowOff>180473</xdr:rowOff>
    </xdr:from>
    <xdr:to>
      <xdr:col>38</xdr:col>
      <xdr:colOff>608134</xdr:colOff>
      <xdr:row>36</xdr:row>
      <xdr:rowOff>169267</xdr:rowOff>
    </xdr:to>
    <xdr:graphicFrame macro="">
      <xdr:nvGraphicFramePr>
        <xdr:cNvPr id="42" name="41 Gráfico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38100</xdr:colOff>
      <xdr:row>40</xdr:row>
      <xdr:rowOff>123825</xdr:rowOff>
    </xdr:from>
    <xdr:to>
      <xdr:col>38</xdr:col>
      <xdr:colOff>607897</xdr:colOff>
      <xdr:row>57</xdr:row>
      <xdr:rowOff>103094</xdr:rowOff>
    </xdr:to>
    <xdr:graphicFrame macro="">
      <xdr:nvGraphicFramePr>
        <xdr:cNvPr id="43" name="42 Gráfico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35299</xdr:colOff>
      <xdr:row>3</xdr:row>
      <xdr:rowOff>133910</xdr:rowOff>
    </xdr:from>
    <xdr:to>
      <xdr:col>36</xdr:col>
      <xdr:colOff>742951</xdr:colOff>
      <xdr:row>20</xdr:row>
      <xdr:rowOff>1520</xdr:rowOff>
    </xdr:to>
    <xdr:graphicFrame macro="">
      <xdr:nvGraphicFramePr>
        <xdr:cNvPr id="44" name="43 Gráfico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39</xdr:col>
      <xdr:colOff>38337</xdr:colOff>
      <xdr:row>19</xdr:row>
      <xdr:rowOff>180473</xdr:rowOff>
    </xdr:from>
    <xdr:to>
      <xdr:col>48</xdr:col>
      <xdr:colOff>608134</xdr:colOff>
      <xdr:row>36</xdr:row>
      <xdr:rowOff>169267</xdr:rowOff>
    </xdr:to>
    <xdr:graphicFrame macro="">
      <xdr:nvGraphicFramePr>
        <xdr:cNvPr id="48" name="47 Gráfico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39</xdr:col>
      <xdr:colOff>38100</xdr:colOff>
      <xdr:row>40</xdr:row>
      <xdr:rowOff>123825</xdr:rowOff>
    </xdr:from>
    <xdr:to>
      <xdr:col>48</xdr:col>
      <xdr:colOff>607897</xdr:colOff>
      <xdr:row>57</xdr:row>
      <xdr:rowOff>103094</xdr:rowOff>
    </xdr:to>
    <xdr:graphicFrame macro="">
      <xdr:nvGraphicFramePr>
        <xdr:cNvPr id="49" name="48 Gráfico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48272</xdr:colOff>
      <xdr:row>3</xdr:row>
      <xdr:rowOff>123265</xdr:rowOff>
    </xdr:from>
    <xdr:to>
      <xdr:col>46</xdr:col>
      <xdr:colOff>754242</xdr:colOff>
      <xdr:row>19</xdr:row>
      <xdr:rowOff>176892</xdr:rowOff>
    </xdr:to>
    <xdr:graphicFrame macro="">
      <xdr:nvGraphicFramePr>
        <xdr:cNvPr id="51" name="50 Gráfico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612322</xdr:colOff>
      <xdr:row>35</xdr:row>
      <xdr:rowOff>95250</xdr:rowOff>
    </xdr:from>
    <xdr:to>
      <xdr:col>16</xdr:col>
      <xdr:colOff>165380</xdr:colOff>
      <xdr:row>37</xdr:row>
      <xdr:rowOff>60709</xdr:rowOff>
    </xdr:to>
    <xdr:sp macro="" textlink="">
      <xdr:nvSpPr>
        <xdr:cNvPr id="39" name="38 Flecha derecha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>
        <a:xfrm>
          <a:off x="12137572" y="6817179"/>
          <a:ext cx="396701" cy="346459"/>
        </a:xfrm>
        <a:prstGeom prst="rightArrow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666750</xdr:colOff>
      <xdr:row>31</xdr:row>
      <xdr:rowOff>114300</xdr:rowOff>
    </xdr:from>
    <xdr:to>
      <xdr:col>12</xdr:col>
      <xdr:colOff>133350</xdr:colOff>
      <xdr:row>33</xdr:row>
      <xdr:rowOff>95250</xdr:rowOff>
    </xdr:to>
    <xdr:sp macro="" textlink="">
      <xdr:nvSpPr>
        <xdr:cNvPr id="37906" name="Object 18" hidden="1">
          <a:extLst>
            <a:ext uri="{63B3BB69-23CF-44E3-9099-C40C66FF867C}">
              <a14:compatExt xmlns:a14="http://schemas.microsoft.com/office/drawing/2010/main" spid="_x0000_s37906"/>
            </a:ext>
            <a:ext uri="{FF2B5EF4-FFF2-40B4-BE49-F238E27FC236}">
              <a16:creationId xmlns:a16="http://schemas.microsoft.com/office/drawing/2014/main" id="{00000000-0008-0000-0800-000012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647700</xdr:colOff>
      <xdr:row>33</xdr:row>
      <xdr:rowOff>57150</xdr:rowOff>
    </xdr:from>
    <xdr:to>
      <xdr:col>12</xdr:col>
      <xdr:colOff>114300</xdr:colOff>
      <xdr:row>35</xdr:row>
      <xdr:rowOff>57150</xdr:rowOff>
    </xdr:to>
    <xdr:sp macro="" textlink="">
      <xdr:nvSpPr>
        <xdr:cNvPr id="37907" name="Object 19" hidden="1">
          <a:extLst>
            <a:ext uri="{63B3BB69-23CF-44E3-9099-C40C66FF867C}">
              <a14:compatExt xmlns:a14="http://schemas.microsoft.com/office/drawing/2010/main" spid="_x0000_s37907"/>
            </a:ext>
            <a:ext uri="{FF2B5EF4-FFF2-40B4-BE49-F238E27FC236}">
              <a16:creationId xmlns:a16="http://schemas.microsoft.com/office/drawing/2014/main" id="{00000000-0008-0000-0800-000013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638175</xdr:colOff>
      <xdr:row>35</xdr:row>
      <xdr:rowOff>19050</xdr:rowOff>
    </xdr:from>
    <xdr:to>
      <xdr:col>11</xdr:col>
      <xdr:colOff>438150</xdr:colOff>
      <xdr:row>36</xdr:row>
      <xdr:rowOff>76200</xdr:rowOff>
    </xdr:to>
    <xdr:sp macro="" textlink="">
      <xdr:nvSpPr>
        <xdr:cNvPr id="37908" name="Object 20" hidden="1">
          <a:extLst>
            <a:ext uri="{63B3BB69-23CF-44E3-9099-C40C66FF867C}">
              <a14:compatExt xmlns:a14="http://schemas.microsoft.com/office/drawing/2010/main" spid="_x0000_s37908"/>
            </a:ext>
            <a:ext uri="{FF2B5EF4-FFF2-40B4-BE49-F238E27FC236}">
              <a16:creationId xmlns:a16="http://schemas.microsoft.com/office/drawing/2014/main" id="{00000000-0008-0000-0800-000014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638175</xdr:colOff>
      <xdr:row>36</xdr:row>
      <xdr:rowOff>76200</xdr:rowOff>
    </xdr:from>
    <xdr:to>
      <xdr:col>12</xdr:col>
      <xdr:colOff>104775</xdr:colOff>
      <xdr:row>38</xdr:row>
      <xdr:rowOff>76200</xdr:rowOff>
    </xdr:to>
    <xdr:sp macro="" textlink="">
      <xdr:nvSpPr>
        <xdr:cNvPr id="37909" name="Object 21" hidden="1">
          <a:extLst>
            <a:ext uri="{63B3BB69-23CF-44E3-9099-C40C66FF867C}">
              <a14:compatExt xmlns:a14="http://schemas.microsoft.com/office/drawing/2010/main" spid="_x0000_s37909"/>
            </a:ext>
            <a:ext uri="{FF2B5EF4-FFF2-40B4-BE49-F238E27FC236}">
              <a16:creationId xmlns:a16="http://schemas.microsoft.com/office/drawing/2014/main" id="{00000000-0008-0000-0800-000015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638175</xdr:colOff>
      <xdr:row>38</xdr:row>
      <xdr:rowOff>57150</xdr:rowOff>
    </xdr:from>
    <xdr:to>
      <xdr:col>12</xdr:col>
      <xdr:colOff>104775</xdr:colOff>
      <xdr:row>40</xdr:row>
      <xdr:rowOff>57150</xdr:rowOff>
    </xdr:to>
    <xdr:sp macro="" textlink="">
      <xdr:nvSpPr>
        <xdr:cNvPr id="37910" name="Object 22" hidden="1">
          <a:extLst>
            <a:ext uri="{63B3BB69-23CF-44E3-9099-C40C66FF867C}">
              <a14:compatExt xmlns:a14="http://schemas.microsoft.com/office/drawing/2010/main" spid="_x0000_s37910"/>
            </a:ext>
            <a:ext uri="{FF2B5EF4-FFF2-40B4-BE49-F238E27FC236}">
              <a16:creationId xmlns:a16="http://schemas.microsoft.com/office/drawing/2014/main" id="{00000000-0008-0000-0800-000016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609600</xdr:colOff>
      <xdr:row>40</xdr:row>
      <xdr:rowOff>19050</xdr:rowOff>
    </xdr:from>
    <xdr:to>
      <xdr:col>11</xdr:col>
      <xdr:colOff>400050</xdr:colOff>
      <xdr:row>41</xdr:row>
      <xdr:rowOff>76200</xdr:rowOff>
    </xdr:to>
    <xdr:sp macro="" textlink="">
      <xdr:nvSpPr>
        <xdr:cNvPr id="37911" name="Object 23" hidden="1">
          <a:extLst>
            <a:ext uri="{63B3BB69-23CF-44E3-9099-C40C66FF867C}">
              <a14:compatExt xmlns:a14="http://schemas.microsoft.com/office/drawing/2010/main" spid="_x0000_s37911"/>
            </a:ext>
            <a:ext uri="{FF2B5EF4-FFF2-40B4-BE49-F238E27FC236}">
              <a16:creationId xmlns:a16="http://schemas.microsoft.com/office/drawing/2014/main" id="{00000000-0008-0000-0800-000017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132038</xdr:colOff>
      <xdr:row>32</xdr:row>
      <xdr:rowOff>198783</xdr:rowOff>
    </xdr:from>
    <xdr:to>
      <xdr:col>12</xdr:col>
      <xdr:colOff>939836</xdr:colOff>
      <xdr:row>35</xdr:row>
      <xdr:rowOff>74544</xdr:rowOff>
    </xdr:to>
    <xdr:cxnSp macro="">
      <xdr:nvCxnSpPr>
        <xdr:cNvPr id="3" name="2 Conector recto de flecha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9175185" y="6339607"/>
          <a:ext cx="807798" cy="469672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115472</xdr:colOff>
      <xdr:row>34</xdr:row>
      <xdr:rowOff>66261</xdr:rowOff>
    </xdr:from>
    <xdr:to>
      <xdr:col>12</xdr:col>
      <xdr:colOff>923270</xdr:colOff>
      <xdr:row>36</xdr:row>
      <xdr:rowOff>66261</xdr:rowOff>
    </xdr:to>
    <xdr:cxnSp macro="">
      <xdr:nvCxnSpPr>
        <xdr:cNvPr id="47" name="46 Conector recto de flecha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CxnSpPr/>
      </xdr:nvCxnSpPr>
      <xdr:spPr>
        <a:xfrm>
          <a:off x="9158619" y="6610496"/>
          <a:ext cx="807798" cy="381000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467726</xdr:colOff>
      <xdr:row>35</xdr:row>
      <xdr:rowOff>124239</xdr:rowOff>
    </xdr:from>
    <xdr:to>
      <xdr:col>12</xdr:col>
      <xdr:colOff>898422</xdr:colOff>
      <xdr:row>37</xdr:row>
      <xdr:rowOff>91109</xdr:rowOff>
    </xdr:to>
    <xdr:cxnSp macro="">
      <xdr:nvCxnSpPr>
        <xdr:cNvPr id="50" name="49 Conector recto de flecha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CxnSpPr/>
      </xdr:nvCxnSpPr>
      <xdr:spPr>
        <a:xfrm>
          <a:off x="8827314" y="6858974"/>
          <a:ext cx="1114255" cy="347870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123754</xdr:colOff>
      <xdr:row>37</xdr:row>
      <xdr:rowOff>82826</xdr:rowOff>
    </xdr:from>
    <xdr:to>
      <xdr:col>12</xdr:col>
      <xdr:colOff>906705</xdr:colOff>
      <xdr:row>38</xdr:row>
      <xdr:rowOff>115957</xdr:rowOff>
    </xdr:to>
    <xdr:cxnSp macro="">
      <xdr:nvCxnSpPr>
        <xdr:cNvPr id="52" name="51 Conector recto de flecha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CxnSpPr/>
      </xdr:nvCxnSpPr>
      <xdr:spPr>
        <a:xfrm>
          <a:off x="9166901" y="7198561"/>
          <a:ext cx="782951" cy="223631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132038</xdr:colOff>
      <xdr:row>39</xdr:row>
      <xdr:rowOff>82826</xdr:rowOff>
    </xdr:from>
    <xdr:to>
      <xdr:col>12</xdr:col>
      <xdr:colOff>898422</xdr:colOff>
      <xdr:row>39</xdr:row>
      <xdr:rowOff>107674</xdr:rowOff>
    </xdr:to>
    <xdr:cxnSp macro="">
      <xdr:nvCxnSpPr>
        <xdr:cNvPr id="53" name="52 Conector recto de flecha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9175185" y="7579561"/>
          <a:ext cx="766384" cy="24848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401466</xdr:colOff>
      <xdr:row>40</xdr:row>
      <xdr:rowOff>107674</xdr:rowOff>
    </xdr:from>
    <xdr:to>
      <xdr:col>12</xdr:col>
      <xdr:colOff>898422</xdr:colOff>
      <xdr:row>40</xdr:row>
      <xdr:rowOff>132522</xdr:rowOff>
    </xdr:to>
    <xdr:cxnSp macro="">
      <xdr:nvCxnSpPr>
        <xdr:cNvPr id="55" name="54 Conector recto de flecha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V="1">
          <a:off x="8761054" y="7794909"/>
          <a:ext cx="1180515" cy="24848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83</xdr:row>
      <xdr:rowOff>19050</xdr:rowOff>
    </xdr:from>
    <xdr:to>
      <xdr:col>6</xdr:col>
      <xdr:colOff>19050</xdr:colOff>
      <xdr:row>84</xdr:row>
      <xdr:rowOff>57150</xdr:rowOff>
    </xdr:to>
    <xdr:sp macro="" textlink="">
      <xdr:nvSpPr>
        <xdr:cNvPr id="37913" name="Object 25" hidden="1">
          <a:extLst>
            <a:ext uri="{63B3BB69-23CF-44E3-9099-C40C66FF867C}">
              <a14:compatExt xmlns:a14="http://schemas.microsoft.com/office/drawing/2010/main" spid="_x0000_s37913"/>
            </a:ext>
            <a:ext uri="{FF2B5EF4-FFF2-40B4-BE49-F238E27FC236}">
              <a16:creationId xmlns:a16="http://schemas.microsoft.com/office/drawing/2014/main" id="{00000000-0008-0000-0800-000019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295275</xdr:colOff>
      <xdr:row>86</xdr:row>
      <xdr:rowOff>95250</xdr:rowOff>
    </xdr:from>
    <xdr:to>
      <xdr:col>7</xdr:col>
      <xdr:colOff>285750</xdr:colOff>
      <xdr:row>88</xdr:row>
      <xdr:rowOff>95250</xdr:rowOff>
    </xdr:to>
    <xdr:sp macro="" textlink="">
      <xdr:nvSpPr>
        <xdr:cNvPr id="37918" name="Object 30" hidden="1">
          <a:extLst>
            <a:ext uri="{63B3BB69-23CF-44E3-9099-C40C66FF867C}">
              <a14:compatExt xmlns:a14="http://schemas.microsoft.com/office/drawing/2010/main" spid="_x0000_s37918"/>
            </a:ext>
            <a:ext uri="{FF2B5EF4-FFF2-40B4-BE49-F238E27FC236}">
              <a16:creationId xmlns:a16="http://schemas.microsoft.com/office/drawing/2014/main" id="{00000000-0008-0000-0800-00001E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57149</xdr:colOff>
      <xdr:row>104</xdr:row>
      <xdr:rowOff>181655</xdr:rowOff>
    </xdr:from>
    <xdr:to>
      <xdr:col>7</xdr:col>
      <xdr:colOff>695324</xdr:colOff>
      <xdr:row>123</xdr:row>
      <xdr:rowOff>137432</xdr:rowOff>
    </xdr:to>
    <xdr:graphicFrame macro="">
      <xdr:nvGraphicFramePr>
        <xdr:cNvPr id="54" name="53 Gráfico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742950</xdr:colOff>
      <xdr:row>90</xdr:row>
      <xdr:rowOff>152400</xdr:rowOff>
    </xdr:from>
    <xdr:to>
      <xdr:col>7</xdr:col>
      <xdr:colOff>685800</xdr:colOff>
      <xdr:row>92</xdr:row>
      <xdr:rowOff>57150</xdr:rowOff>
    </xdr:to>
    <xdr:sp macro="" textlink="">
      <xdr:nvSpPr>
        <xdr:cNvPr id="37923" name="Object 35" hidden="1">
          <a:extLst>
            <a:ext uri="{63B3BB69-23CF-44E3-9099-C40C66FF867C}">
              <a14:compatExt xmlns:a14="http://schemas.microsoft.com/office/drawing/2010/main" spid="_x0000_s37923"/>
            </a:ext>
            <a:ext uri="{FF2B5EF4-FFF2-40B4-BE49-F238E27FC236}">
              <a16:creationId xmlns:a16="http://schemas.microsoft.com/office/drawing/2014/main" id="{00000000-0008-0000-0800-000023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457200</xdr:colOff>
      <xdr:row>92</xdr:row>
      <xdr:rowOff>57150</xdr:rowOff>
    </xdr:from>
    <xdr:to>
      <xdr:col>8</xdr:col>
      <xdr:colOff>600075</xdr:colOff>
      <xdr:row>95</xdr:row>
      <xdr:rowOff>0</xdr:rowOff>
    </xdr:to>
    <xdr:sp macro="" textlink="">
      <xdr:nvSpPr>
        <xdr:cNvPr id="37924" name="Object 36" hidden="1">
          <a:extLst>
            <a:ext uri="{63B3BB69-23CF-44E3-9099-C40C66FF867C}">
              <a14:compatExt xmlns:a14="http://schemas.microsoft.com/office/drawing/2010/main" spid="_x0000_s37924"/>
            </a:ext>
            <a:ext uri="{FF2B5EF4-FFF2-40B4-BE49-F238E27FC236}">
              <a16:creationId xmlns:a16="http://schemas.microsoft.com/office/drawing/2014/main" id="{00000000-0008-0000-0800-000024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625929</xdr:colOff>
      <xdr:row>101</xdr:row>
      <xdr:rowOff>68036</xdr:rowOff>
    </xdr:from>
    <xdr:to>
      <xdr:col>7</xdr:col>
      <xdr:colOff>178987</xdr:colOff>
      <xdr:row>103</xdr:row>
      <xdr:rowOff>33495</xdr:rowOff>
    </xdr:to>
    <xdr:sp macro="" textlink="">
      <xdr:nvSpPr>
        <xdr:cNvPr id="56" name="55 Flecha derecha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>
          <a:off x="5197929" y="19499036"/>
          <a:ext cx="396701" cy="346459"/>
        </a:xfrm>
        <a:prstGeom prst="rightArrow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890087</xdr:colOff>
      <xdr:row>64</xdr:row>
      <xdr:rowOff>141633</xdr:rowOff>
    </xdr:from>
    <xdr:to>
      <xdr:col>18</xdr:col>
      <xdr:colOff>29695</xdr:colOff>
      <xdr:row>80</xdr:row>
      <xdr:rowOff>168130</xdr:rowOff>
    </xdr:to>
    <xdr:graphicFrame macro="">
      <xdr:nvGraphicFramePr>
        <xdr:cNvPr id="57" name="56 Gráfico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58215</xdr:colOff>
      <xdr:row>81</xdr:row>
      <xdr:rowOff>39793</xdr:rowOff>
    </xdr:from>
    <xdr:to>
      <xdr:col>18</xdr:col>
      <xdr:colOff>696049</xdr:colOff>
      <xdr:row>98</xdr:row>
      <xdr:rowOff>69409</xdr:rowOff>
    </xdr:to>
    <xdr:graphicFrame macro="">
      <xdr:nvGraphicFramePr>
        <xdr:cNvPr id="58" name="57 Gráfico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57978</xdr:colOff>
      <xdr:row>101</xdr:row>
      <xdr:rowOff>187253</xdr:rowOff>
    </xdr:from>
    <xdr:to>
      <xdr:col>18</xdr:col>
      <xdr:colOff>695812</xdr:colOff>
      <xdr:row>118</xdr:row>
      <xdr:rowOff>180128</xdr:rowOff>
    </xdr:to>
    <xdr:graphicFrame macro="">
      <xdr:nvGraphicFramePr>
        <xdr:cNvPr id="59" name="58 Gráfico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46204</xdr:colOff>
      <xdr:row>64</xdr:row>
      <xdr:rowOff>170209</xdr:rowOff>
    </xdr:from>
    <xdr:to>
      <xdr:col>27</xdr:col>
      <xdr:colOff>733365</xdr:colOff>
      <xdr:row>81</xdr:row>
      <xdr:rowOff>30935</xdr:rowOff>
    </xdr:to>
    <xdr:graphicFrame macro="">
      <xdr:nvGraphicFramePr>
        <xdr:cNvPr id="60" name="59 Gráfico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41058</xdr:colOff>
      <xdr:row>81</xdr:row>
      <xdr:rowOff>68035</xdr:rowOff>
    </xdr:from>
    <xdr:to>
      <xdr:col>28</xdr:col>
      <xdr:colOff>625929</xdr:colOff>
      <xdr:row>98</xdr:row>
      <xdr:rowOff>97651</xdr:rowOff>
    </xdr:to>
    <xdr:graphicFrame macro="">
      <xdr:nvGraphicFramePr>
        <xdr:cNvPr id="61" name="60 Gráfico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19</xdr:col>
      <xdr:colOff>40821</xdr:colOff>
      <xdr:row>102</xdr:row>
      <xdr:rowOff>8430</xdr:rowOff>
    </xdr:from>
    <xdr:to>
      <xdr:col>28</xdr:col>
      <xdr:colOff>625692</xdr:colOff>
      <xdr:row>119</xdr:row>
      <xdr:rowOff>1305</xdr:rowOff>
    </xdr:to>
    <xdr:graphicFrame macro="">
      <xdr:nvGraphicFramePr>
        <xdr:cNvPr id="62" name="61 Gráfico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30</xdr:col>
      <xdr:colOff>6803</xdr:colOff>
      <xdr:row>64</xdr:row>
      <xdr:rowOff>138793</xdr:rowOff>
    </xdr:from>
    <xdr:to>
      <xdr:col>37</xdr:col>
      <xdr:colOff>678755</xdr:colOff>
      <xdr:row>81</xdr:row>
      <xdr:rowOff>1920</xdr:rowOff>
    </xdr:to>
    <xdr:graphicFrame macro="">
      <xdr:nvGraphicFramePr>
        <xdr:cNvPr id="63" name="62 Gráfico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29</xdr:col>
      <xdr:colOff>41058</xdr:colOff>
      <xdr:row>81</xdr:row>
      <xdr:rowOff>40822</xdr:rowOff>
    </xdr:from>
    <xdr:to>
      <xdr:col>38</xdr:col>
      <xdr:colOff>625929</xdr:colOff>
      <xdr:row>98</xdr:row>
      <xdr:rowOff>70438</xdr:rowOff>
    </xdr:to>
    <xdr:graphicFrame macro="">
      <xdr:nvGraphicFramePr>
        <xdr:cNvPr id="64" name="63 Gráfico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29</xdr:col>
      <xdr:colOff>40821</xdr:colOff>
      <xdr:row>101</xdr:row>
      <xdr:rowOff>188282</xdr:rowOff>
    </xdr:from>
    <xdr:to>
      <xdr:col>38</xdr:col>
      <xdr:colOff>625692</xdr:colOff>
      <xdr:row>118</xdr:row>
      <xdr:rowOff>181157</xdr:rowOff>
    </xdr:to>
    <xdr:graphicFrame macro="">
      <xdr:nvGraphicFramePr>
        <xdr:cNvPr id="65" name="64 Gráfico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0</xdr:colOff>
      <xdr:row>77</xdr:row>
      <xdr:rowOff>171450</xdr:rowOff>
    </xdr:from>
    <xdr:to>
      <xdr:col>9</xdr:col>
      <xdr:colOff>133350</xdr:colOff>
      <xdr:row>80</xdr:row>
      <xdr:rowOff>133350</xdr:rowOff>
    </xdr:to>
    <xdr:sp macro="" textlink="">
      <xdr:nvSpPr>
        <xdr:cNvPr id="37925" name="Object 37" hidden="1">
          <a:extLst>
            <a:ext uri="{63B3BB69-23CF-44E3-9099-C40C66FF867C}">
              <a14:compatExt xmlns:a14="http://schemas.microsoft.com/office/drawing/2010/main" spid="_x0000_s37925"/>
            </a:ext>
            <a:ext uri="{FF2B5EF4-FFF2-40B4-BE49-F238E27FC236}">
              <a16:creationId xmlns:a16="http://schemas.microsoft.com/office/drawing/2014/main" id="{00000000-0008-0000-0800-000025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561975</xdr:colOff>
      <xdr:row>141</xdr:row>
      <xdr:rowOff>76200</xdr:rowOff>
    </xdr:from>
    <xdr:to>
      <xdr:col>7</xdr:col>
      <xdr:colOff>28575</xdr:colOff>
      <xdr:row>143</xdr:row>
      <xdr:rowOff>76200</xdr:rowOff>
    </xdr:to>
    <xdr:sp macro="" textlink="">
      <xdr:nvSpPr>
        <xdr:cNvPr id="37928" name="Object 40" hidden="1">
          <a:extLst>
            <a:ext uri="{63B3BB69-23CF-44E3-9099-C40C66FF867C}">
              <a14:compatExt xmlns:a14="http://schemas.microsoft.com/office/drawing/2010/main" spid="_x0000_s37928"/>
            </a:ext>
            <a:ext uri="{FF2B5EF4-FFF2-40B4-BE49-F238E27FC236}">
              <a16:creationId xmlns:a16="http://schemas.microsoft.com/office/drawing/2014/main" id="{00000000-0008-0000-0800-000028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150</xdr:row>
      <xdr:rowOff>19050</xdr:rowOff>
    </xdr:from>
    <xdr:to>
      <xdr:col>5</xdr:col>
      <xdr:colOff>447675</xdr:colOff>
      <xdr:row>152</xdr:row>
      <xdr:rowOff>133350</xdr:rowOff>
    </xdr:to>
    <xdr:sp macro="" textlink="">
      <xdr:nvSpPr>
        <xdr:cNvPr id="37931" name="Object 43" hidden="1">
          <a:extLst>
            <a:ext uri="{63B3BB69-23CF-44E3-9099-C40C66FF867C}">
              <a14:compatExt xmlns:a14="http://schemas.microsoft.com/office/drawing/2010/main" spid="_x0000_s37931"/>
            </a:ext>
            <a:ext uri="{FF2B5EF4-FFF2-40B4-BE49-F238E27FC236}">
              <a16:creationId xmlns:a16="http://schemas.microsoft.com/office/drawing/2014/main" id="{00000000-0008-0000-0800-00002B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714375</xdr:colOff>
      <xdr:row>153</xdr:row>
      <xdr:rowOff>152400</xdr:rowOff>
    </xdr:from>
    <xdr:to>
      <xdr:col>5</xdr:col>
      <xdr:colOff>533400</xdr:colOff>
      <xdr:row>155</xdr:row>
      <xdr:rowOff>171450</xdr:rowOff>
    </xdr:to>
    <xdr:sp macro="" textlink="">
      <xdr:nvSpPr>
        <xdr:cNvPr id="37932" name="Object 44" hidden="1">
          <a:extLst>
            <a:ext uri="{63B3BB69-23CF-44E3-9099-C40C66FF867C}">
              <a14:compatExt xmlns:a14="http://schemas.microsoft.com/office/drawing/2010/main" spid="_x0000_s37932"/>
            </a:ext>
            <a:ext uri="{FF2B5EF4-FFF2-40B4-BE49-F238E27FC236}">
              <a16:creationId xmlns:a16="http://schemas.microsoft.com/office/drawing/2014/main" id="{00000000-0008-0000-0800-00002C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19050</xdr:colOff>
      <xdr:row>158</xdr:row>
      <xdr:rowOff>95250</xdr:rowOff>
    </xdr:from>
    <xdr:to>
      <xdr:col>5</xdr:col>
      <xdr:colOff>57150</xdr:colOff>
      <xdr:row>160</xdr:row>
      <xdr:rowOff>57150</xdr:rowOff>
    </xdr:to>
    <xdr:sp macro="" textlink="">
      <xdr:nvSpPr>
        <xdr:cNvPr id="37933" name="Object 45" hidden="1">
          <a:extLst>
            <a:ext uri="{63B3BB69-23CF-44E3-9099-C40C66FF867C}">
              <a14:compatExt xmlns:a14="http://schemas.microsoft.com/office/drawing/2010/main" spid="_x0000_s37933"/>
            </a:ext>
            <a:ext uri="{FF2B5EF4-FFF2-40B4-BE49-F238E27FC236}">
              <a16:creationId xmlns:a16="http://schemas.microsoft.com/office/drawing/2014/main" id="{00000000-0008-0000-0800-00002D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323850</xdr:colOff>
      <xdr:row>177</xdr:row>
      <xdr:rowOff>57150</xdr:rowOff>
    </xdr:from>
    <xdr:to>
      <xdr:col>4</xdr:col>
      <xdr:colOff>285750</xdr:colOff>
      <xdr:row>178</xdr:row>
      <xdr:rowOff>133350</xdr:rowOff>
    </xdr:to>
    <xdr:sp macro="" textlink="">
      <xdr:nvSpPr>
        <xdr:cNvPr id="37934" name="Object 46" hidden="1">
          <a:extLst>
            <a:ext uri="{63B3BB69-23CF-44E3-9099-C40C66FF867C}">
              <a14:compatExt xmlns:a14="http://schemas.microsoft.com/office/drawing/2010/main" spid="_x0000_s37934"/>
            </a:ext>
            <a:ext uri="{FF2B5EF4-FFF2-40B4-BE49-F238E27FC236}">
              <a16:creationId xmlns:a16="http://schemas.microsoft.com/office/drawing/2014/main" id="{00000000-0008-0000-0800-00002E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209550</xdr:colOff>
      <xdr:row>179</xdr:row>
      <xdr:rowOff>19050</xdr:rowOff>
    </xdr:from>
    <xdr:to>
      <xdr:col>4</xdr:col>
      <xdr:colOff>304800</xdr:colOff>
      <xdr:row>181</xdr:row>
      <xdr:rowOff>133350</xdr:rowOff>
    </xdr:to>
    <xdr:sp macro="" textlink="">
      <xdr:nvSpPr>
        <xdr:cNvPr id="37935" name="Object 47" hidden="1">
          <a:extLst>
            <a:ext uri="{63B3BB69-23CF-44E3-9099-C40C66FF867C}">
              <a14:compatExt xmlns:a14="http://schemas.microsoft.com/office/drawing/2010/main" spid="_x0000_s37935"/>
            </a:ext>
            <a:ext uri="{FF2B5EF4-FFF2-40B4-BE49-F238E27FC236}">
              <a16:creationId xmlns:a16="http://schemas.microsoft.com/office/drawing/2014/main" id="{00000000-0008-0000-0800-00002F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561975</xdr:colOff>
      <xdr:row>177</xdr:row>
      <xdr:rowOff>19050</xdr:rowOff>
    </xdr:from>
    <xdr:to>
      <xdr:col>6</xdr:col>
      <xdr:colOff>600075</xdr:colOff>
      <xdr:row>179</xdr:row>
      <xdr:rowOff>19050</xdr:rowOff>
    </xdr:to>
    <xdr:sp macro="" textlink="">
      <xdr:nvSpPr>
        <xdr:cNvPr id="37936" name="Object 48" hidden="1">
          <a:extLst>
            <a:ext uri="{63B3BB69-23CF-44E3-9099-C40C66FF867C}">
              <a14:compatExt xmlns:a14="http://schemas.microsoft.com/office/drawing/2010/main" spid="_x0000_s37936"/>
            </a:ext>
            <a:ext uri="{FF2B5EF4-FFF2-40B4-BE49-F238E27FC236}">
              <a16:creationId xmlns:a16="http://schemas.microsoft.com/office/drawing/2014/main" id="{00000000-0008-0000-0800-000030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19050</xdr:colOff>
      <xdr:row>179</xdr:row>
      <xdr:rowOff>152400</xdr:rowOff>
    </xdr:from>
    <xdr:to>
      <xdr:col>6</xdr:col>
      <xdr:colOff>257175</xdr:colOff>
      <xdr:row>181</xdr:row>
      <xdr:rowOff>0</xdr:rowOff>
    </xdr:to>
    <xdr:sp macro="" textlink="">
      <xdr:nvSpPr>
        <xdr:cNvPr id="37937" name="Object 49" hidden="1">
          <a:extLst>
            <a:ext uri="{63B3BB69-23CF-44E3-9099-C40C66FF867C}">
              <a14:compatExt xmlns:a14="http://schemas.microsoft.com/office/drawing/2010/main" spid="_x0000_s37937"/>
            </a:ext>
            <a:ext uri="{FF2B5EF4-FFF2-40B4-BE49-F238E27FC236}">
              <a16:creationId xmlns:a16="http://schemas.microsoft.com/office/drawing/2014/main" id="{00000000-0008-0000-0800-000031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704850</xdr:colOff>
      <xdr:row>155</xdr:row>
      <xdr:rowOff>95250</xdr:rowOff>
    </xdr:from>
    <xdr:to>
      <xdr:col>5</xdr:col>
      <xdr:colOff>133350</xdr:colOff>
      <xdr:row>156</xdr:row>
      <xdr:rowOff>95250</xdr:rowOff>
    </xdr:to>
    <xdr:sp macro="" textlink="">
      <xdr:nvSpPr>
        <xdr:cNvPr id="37939" name="Object 51" hidden="1">
          <a:extLst>
            <a:ext uri="{63B3BB69-23CF-44E3-9099-C40C66FF867C}">
              <a14:compatExt xmlns:a14="http://schemas.microsoft.com/office/drawing/2010/main" spid="_x0000_s37939"/>
            </a:ext>
            <a:ext uri="{FF2B5EF4-FFF2-40B4-BE49-F238E27FC236}">
              <a16:creationId xmlns:a16="http://schemas.microsoft.com/office/drawing/2014/main" id="{00000000-0008-0000-0800-000033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552450</xdr:colOff>
      <xdr:row>143</xdr:row>
      <xdr:rowOff>76200</xdr:rowOff>
    </xdr:from>
    <xdr:to>
      <xdr:col>7</xdr:col>
      <xdr:colOff>552450</xdr:colOff>
      <xdr:row>145</xdr:row>
      <xdr:rowOff>104775</xdr:rowOff>
    </xdr:to>
    <xdr:sp macro="" textlink="">
      <xdr:nvSpPr>
        <xdr:cNvPr id="37941" name="Object 53" hidden="1">
          <a:extLst>
            <a:ext uri="{63B3BB69-23CF-44E3-9099-C40C66FF867C}">
              <a14:compatExt xmlns:a14="http://schemas.microsoft.com/office/drawing/2010/main" spid="_x0000_s37941"/>
            </a:ext>
            <a:ext uri="{FF2B5EF4-FFF2-40B4-BE49-F238E27FC236}">
              <a16:creationId xmlns:a16="http://schemas.microsoft.com/office/drawing/2014/main" id="{00000000-0008-0000-0800-000035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552450</xdr:colOff>
      <xdr:row>145</xdr:row>
      <xdr:rowOff>95250</xdr:rowOff>
    </xdr:from>
    <xdr:to>
      <xdr:col>7</xdr:col>
      <xdr:colOff>457200</xdr:colOff>
      <xdr:row>147</xdr:row>
      <xdr:rowOff>133350</xdr:rowOff>
    </xdr:to>
    <xdr:sp macro="" textlink="">
      <xdr:nvSpPr>
        <xdr:cNvPr id="37942" name="Object 54" hidden="1">
          <a:extLst>
            <a:ext uri="{63B3BB69-23CF-44E3-9099-C40C66FF867C}">
              <a14:compatExt xmlns:a14="http://schemas.microsoft.com/office/drawing/2010/main" spid="_x0000_s37942"/>
            </a:ext>
            <a:ext uri="{FF2B5EF4-FFF2-40B4-BE49-F238E27FC236}">
              <a16:creationId xmlns:a16="http://schemas.microsoft.com/office/drawing/2014/main" id="{00000000-0008-0000-0800-0000369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38100</xdr:colOff>
      <xdr:row>18</xdr:row>
      <xdr:rowOff>171450</xdr:rowOff>
    </xdr:from>
    <xdr:to>
      <xdr:col>6</xdr:col>
      <xdr:colOff>571500</xdr:colOff>
      <xdr:row>20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3325" y="3600450"/>
          <a:ext cx="1381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38100</xdr:colOff>
      <xdr:row>21</xdr:row>
      <xdr:rowOff>142875</xdr:rowOff>
    </xdr:from>
    <xdr:to>
      <xdr:col>5</xdr:col>
      <xdr:colOff>704850</xdr:colOff>
      <xdr:row>23</xdr:row>
      <xdr:rowOff>171450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3325" y="4143375"/>
          <a:ext cx="666750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19050</xdr:colOff>
      <xdr:row>25</xdr:row>
      <xdr:rowOff>171450</xdr:rowOff>
    </xdr:from>
    <xdr:to>
      <xdr:col>6</xdr:col>
      <xdr:colOff>95250</xdr:colOff>
      <xdr:row>28</xdr:row>
      <xdr:rowOff>38100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24275" y="4933950"/>
          <a:ext cx="923925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790575</xdr:colOff>
      <xdr:row>29</xdr:row>
      <xdr:rowOff>133350</xdr:rowOff>
    </xdr:from>
    <xdr:to>
      <xdr:col>8</xdr:col>
      <xdr:colOff>19050</xdr:colOff>
      <xdr:row>31</xdr:row>
      <xdr:rowOff>133350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3525" y="5657850"/>
          <a:ext cx="82867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361950</xdr:colOff>
      <xdr:row>31</xdr:row>
      <xdr:rowOff>180975</xdr:rowOff>
    </xdr:from>
    <xdr:to>
      <xdr:col>9</xdr:col>
      <xdr:colOff>419100</xdr:colOff>
      <xdr:row>33</xdr:row>
      <xdr:rowOff>133350</xdr:rowOff>
    </xdr:to>
    <xdr:pic>
      <xdr:nvPicPr>
        <xdr:cNvPr id="7" name="Picture 5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6086475"/>
          <a:ext cx="74295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361950</xdr:colOff>
      <xdr:row>33</xdr:row>
      <xdr:rowOff>152400</xdr:rowOff>
    </xdr:from>
    <xdr:to>
      <xdr:col>9</xdr:col>
      <xdr:colOff>409575</xdr:colOff>
      <xdr:row>35</xdr:row>
      <xdr:rowOff>152400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6438900"/>
          <a:ext cx="7334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333375</xdr:colOff>
      <xdr:row>35</xdr:row>
      <xdr:rowOff>95250</xdr:rowOff>
    </xdr:from>
    <xdr:to>
      <xdr:col>7</xdr:col>
      <xdr:colOff>323850</xdr:colOff>
      <xdr:row>37</xdr:row>
      <xdr:rowOff>104775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6762750"/>
          <a:ext cx="8286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523875</xdr:colOff>
      <xdr:row>37</xdr:row>
      <xdr:rowOff>142875</xdr:rowOff>
    </xdr:from>
    <xdr:to>
      <xdr:col>8</xdr:col>
      <xdr:colOff>333375</xdr:colOff>
      <xdr:row>39</xdr:row>
      <xdr:rowOff>19050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5025" y="7191375"/>
          <a:ext cx="5715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409575</xdr:colOff>
      <xdr:row>11</xdr:row>
      <xdr:rowOff>57150</xdr:rowOff>
    </xdr:from>
    <xdr:to>
      <xdr:col>18</xdr:col>
      <xdr:colOff>142875</xdr:colOff>
      <xdr:row>13</xdr:row>
      <xdr:rowOff>95250</xdr:rowOff>
    </xdr:to>
    <xdr:pic>
      <xdr:nvPicPr>
        <xdr:cNvPr id="12" name="Picture 9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34975" y="2152650"/>
          <a:ext cx="14192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723900</xdr:colOff>
      <xdr:row>13</xdr:row>
      <xdr:rowOff>57150</xdr:rowOff>
    </xdr:from>
    <xdr:to>
      <xdr:col>18</xdr:col>
      <xdr:colOff>152400</xdr:colOff>
      <xdr:row>15</xdr:row>
      <xdr:rowOff>133350</xdr:rowOff>
    </xdr:to>
    <xdr:pic>
      <xdr:nvPicPr>
        <xdr:cNvPr id="13" name="Picture 10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49300" y="2533650"/>
          <a:ext cx="111442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295275</xdr:colOff>
      <xdr:row>23</xdr:row>
      <xdr:rowOff>142875</xdr:rowOff>
    </xdr:from>
    <xdr:to>
      <xdr:col>17</xdr:col>
      <xdr:colOff>247650</xdr:colOff>
      <xdr:row>25</xdr:row>
      <xdr:rowOff>38100</xdr:rowOff>
    </xdr:to>
    <xdr:pic>
      <xdr:nvPicPr>
        <xdr:cNvPr id="14" name="Picture 11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0675" y="4524375"/>
          <a:ext cx="8572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57150</xdr:colOff>
      <xdr:row>15</xdr:row>
      <xdr:rowOff>114300</xdr:rowOff>
    </xdr:from>
    <xdr:to>
      <xdr:col>15</xdr:col>
      <xdr:colOff>57150</xdr:colOff>
      <xdr:row>17</xdr:row>
      <xdr:rowOff>133350</xdr:rowOff>
    </xdr:to>
    <xdr:pic>
      <xdr:nvPicPr>
        <xdr:cNvPr id="15" name="Picture 12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2971800"/>
          <a:ext cx="8191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361950</xdr:colOff>
      <xdr:row>17</xdr:row>
      <xdr:rowOff>133350</xdr:rowOff>
    </xdr:from>
    <xdr:to>
      <xdr:col>18</xdr:col>
      <xdr:colOff>342900</xdr:colOff>
      <xdr:row>19</xdr:row>
      <xdr:rowOff>95250</xdr:rowOff>
    </xdr:to>
    <xdr:pic>
      <xdr:nvPicPr>
        <xdr:cNvPr id="16" name="Picture 13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92225" y="3371850"/>
          <a:ext cx="762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361950</xdr:colOff>
      <xdr:row>19</xdr:row>
      <xdr:rowOff>133350</xdr:rowOff>
    </xdr:from>
    <xdr:to>
      <xdr:col>18</xdr:col>
      <xdr:colOff>323850</xdr:colOff>
      <xdr:row>21</xdr:row>
      <xdr:rowOff>133350</xdr:rowOff>
    </xdr:to>
    <xdr:pic>
      <xdr:nvPicPr>
        <xdr:cNvPr id="17" name="Picture 14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92225" y="3752850"/>
          <a:ext cx="74295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257175</xdr:colOff>
      <xdr:row>21</xdr:row>
      <xdr:rowOff>76200</xdr:rowOff>
    </xdr:from>
    <xdr:to>
      <xdr:col>16</xdr:col>
      <xdr:colOff>247650</xdr:colOff>
      <xdr:row>23</xdr:row>
      <xdr:rowOff>95250</xdr:rowOff>
    </xdr:to>
    <xdr:pic>
      <xdr:nvPicPr>
        <xdr:cNvPr id="19" name="Picture 15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4375" y="4076700"/>
          <a:ext cx="82867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666750</xdr:colOff>
      <xdr:row>31</xdr:row>
      <xdr:rowOff>114300</xdr:rowOff>
    </xdr:from>
    <xdr:to>
      <xdr:col>12</xdr:col>
      <xdr:colOff>133350</xdr:colOff>
      <xdr:row>33</xdr:row>
      <xdr:rowOff>95250</xdr:rowOff>
    </xdr:to>
    <xdr:pic>
      <xdr:nvPicPr>
        <xdr:cNvPr id="21" name="Picture 18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0" y="6019800"/>
          <a:ext cx="10477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647700</xdr:colOff>
      <xdr:row>33</xdr:row>
      <xdr:rowOff>57150</xdr:rowOff>
    </xdr:from>
    <xdr:to>
      <xdr:col>12</xdr:col>
      <xdr:colOff>114300</xdr:colOff>
      <xdr:row>35</xdr:row>
      <xdr:rowOff>57150</xdr:rowOff>
    </xdr:to>
    <xdr:pic>
      <xdr:nvPicPr>
        <xdr:cNvPr id="22" name="Picture 19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34350" y="6343650"/>
          <a:ext cx="104775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638175</xdr:colOff>
      <xdr:row>35</xdr:row>
      <xdr:rowOff>19050</xdr:rowOff>
    </xdr:from>
    <xdr:to>
      <xdr:col>11</xdr:col>
      <xdr:colOff>438150</xdr:colOff>
      <xdr:row>36</xdr:row>
      <xdr:rowOff>76200</xdr:rowOff>
    </xdr:to>
    <xdr:pic>
      <xdr:nvPicPr>
        <xdr:cNvPr id="23" name="Picture 20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4825" y="6686550"/>
          <a:ext cx="6953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638175</xdr:colOff>
      <xdr:row>36</xdr:row>
      <xdr:rowOff>76200</xdr:rowOff>
    </xdr:from>
    <xdr:to>
      <xdr:col>12</xdr:col>
      <xdr:colOff>104775</xdr:colOff>
      <xdr:row>38</xdr:row>
      <xdr:rowOff>76200</xdr:rowOff>
    </xdr:to>
    <xdr:pic>
      <xdr:nvPicPr>
        <xdr:cNvPr id="24" name="Picture 21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4825" y="6934200"/>
          <a:ext cx="104775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638175</xdr:colOff>
      <xdr:row>38</xdr:row>
      <xdr:rowOff>57150</xdr:rowOff>
    </xdr:from>
    <xdr:to>
      <xdr:col>12</xdr:col>
      <xdr:colOff>104775</xdr:colOff>
      <xdr:row>40</xdr:row>
      <xdr:rowOff>57150</xdr:rowOff>
    </xdr:to>
    <xdr:pic>
      <xdr:nvPicPr>
        <xdr:cNvPr id="25" name="Picture 22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4825" y="7296150"/>
          <a:ext cx="104775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609600</xdr:colOff>
      <xdr:row>40</xdr:row>
      <xdr:rowOff>19050</xdr:rowOff>
    </xdr:from>
    <xdr:to>
      <xdr:col>11</xdr:col>
      <xdr:colOff>400050</xdr:colOff>
      <xdr:row>41</xdr:row>
      <xdr:rowOff>76200</xdr:rowOff>
    </xdr:to>
    <xdr:pic>
      <xdr:nvPicPr>
        <xdr:cNvPr id="26" name="Picture 23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7639050"/>
          <a:ext cx="6858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38100</xdr:colOff>
      <xdr:row>83</xdr:row>
      <xdr:rowOff>19050</xdr:rowOff>
    </xdr:from>
    <xdr:to>
      <xdr:col>6</xdr:col>
      <xdr:colOff>19050</xdr:colOff>
      <xdr:row>84</xdr:row>
      <xdr:rowOff>57150</xdr:rowOff>
    </xdr:to>
    <xdr:pic>
      <xdr:nvPicPr>
        <xdr:cNvPr id="27" name="Picture 25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3325" y="15830550"/>
          <a:ext cx="8286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295275</xdr:colOff>
      <xdr:row>86</xdr:row>
      <xdr:rowOff>95250</xdr:rowOff>
    </xdr:from>
    <xdr:to>
      <xdr:col>7</xdr:col>
      <xdr:colOff>285750</xdr:colOff>
      <xdr:row>88</xdr:row>
      <xdr:rowOff>95250</xdr:rowOff>
    </xdr:to>
    <xdr:pic>
      <xdr:nvPicPr>
        <xdr:cNvPr id="29" name="Picture 30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5" y="16478250"/>
          <a:ext cx="82867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742950</xdr:colOff>
      <xdr:row>90</xdr:row>
      <xdr:rowOff>152400</xdr:rowOff>
    </xdr:from>
    <xdr:to>
      <xdr:col>7</xdr:col>
      <xdr:colOff>685800</xdr:colOff>
      <xdr:row>92</xdr:row>
      <xdr:rowOff>57150</xdr:rowOff>
    </xdr:to>
    <xdr:pic>
      <xdr:nvPicPr>
        <xdr:cNvPr id="30" name="Picture 35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5900" y="17297400"/>
          <a:ext cx="781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457200</xdr:colOff>
      <xdr:row>92</xdr:row>
      <xdr:rowOff>57150</xdr:rowOff>
    </xdr:from>
    <xdr:to>
      <xdr:col>8</xdr:col>
      <xdr:colOff>600075</xdr:colOff>
      <xdr:row>95</xdr:row>
      <xdr:rowOff>0</xdr:rowOff>
    </xdr:to>
    <xdr:pic>
      <xdr:nvPicPr>
        <xdr:cNvPr id="31" name="Picture 36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17583150"/>
          <a:ext cx="90487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77</xdr:row>
      <xdr:rowOff>171450</xdr:rowOff>
    </xdr:from>
    <xdr:to>
      <xdr:col>9</xdr:col>
      <xdr:colOff>133350</xdr:colOff>
      <xdr:row>80</xdr:row>
      <xdr:rowOff>133350</xdr:rowOff>
    </xdr:to>
    <xdr:pic>
      <xdr:nvPicPr>
        <xdr:cNvPr id="37888" name="Picture 37">
          <a:extLst>
            <a:ext uri="{FF2B5EF4-FFF2-40B4-BE49-F238E27FC236}">
              <a16:creationId xmlns:a16="http://schemas.microsoft.com/office/drawing/2014/main" id="{00000000-0008-0000-0800-0000009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91150" y="14839950"/>
          <a:ext cx="15811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561975</xdr:colOff>
      <xdr:row>141</xdr:row>
      <xdr:rowOff>76200</xdr:rowOff>
    </xdr:from>
    <xdr:to>
      <xdr:col>7</xdr:col>
      <xdr:colOff>28575</xdr:colOff>
      <xdr:row>143</xdr:row>
      <xdr:rowOff>76200</xdr:rowOff>
    </xdr:to>
    <xdr:pic>
      <xdr:nvPicPr>
        <xdr:cNvPr id="37904" name="Picture 40">
          <a:extLst>
            <a:ext uri="{FF2B5EF4-FFF2-40B4-BE49-F238E27FC236}">
              <a16:creationId xmlns:a16="http://schemas.microsoft.com/office/drawing/2014/main" id="{00000000-0008-0000-0800-0000109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6936700"/>
          <a:ext cx="11525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150</xdr:row>
      <xdr:rowOff>19050</xdr:rowOff>
    </xdr:from>
    <xdr:to>
      <xdr:col>5</xdr:col>
      <xdr:colOff>447675</xdr:colOff>
      <xdr:row>152</xdr:row>
      <xdr:rowOff>133350</xdr:rowOff>
    </xdr:to>
    <xdr:pic>
      <xdr:nvPicPr>
        <xdr:cNvPr id="37905" name="Picture 43">
          <a:extLst>
            <a:ext uri="{FF2B5EF4-FFF2-40B4-BE49-F238E27FC236}">
              <a16:creationId xmlns:a16="http://schemas.microsoft.com/office/drawing/2014/main" id="{00000000-0008-0000-0800-0000119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0825" y="28594050"/>
          <a:ext cx="1362075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714375</xdr:colOff>
      <xdr:row>153</xdr:row>
      <xdr:rowOff>152400</xdr:rowOff>
    </xdr:from>
    <xdr:to>
      <xdr:col>5</xdr:col>
      <xdr:colOff>533400</xdr:colOff>
      <xdr:row>155</xdr:row>
      <xdr:rowOff>171450</xdr:rowOff>
    </xdr:to>
    <xdr:pic>
      <xdr:nvPicPr>
        <xdr:cNvPr id="37912" name="Picture 44">
          <a:extLst>
            <a:ext uri="{FF2B5EF4-FFF2-40B4-BE49-F238E27FC236}">
              <a16:creationId xmlns:a16="http://schemas.microsoft.com/office/drawing/2014/main" id="{00000000-0008-0000-0800-0000189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29298900"/>
          <a:ext cx="148590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19050</xdr:colOff>
      <xdr:row>158</xdr:row>
      <xdr:rowOff>95250</xdr:rowOff>
    </xdr:from>
    <xdr:to>
      <xdr:col>5</xdr:col>
      <xdr:colOff>57150</xdr:colOff>
      <xdr:row>160</xdr:row>
      <xdr:rowOff>57150</xdr:rowOff>
    </xdr:to>
    <xdr:pic>
      <xdr:nvPicPr>
        <xdr:cNvPr id="37914" name="Picture 45">
          <a:extLst>
            <a:ext uri="{FF2B5EF4-FFF2-40B4-BE49-F238E27FC236}">
              <a16:creationId xmlns:a16="http://schemas.microsoft.com/office/drawing/2014/main" id="{00000000-0008-0000-0800-00001A9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9875" y="30194250"/>
          <a:ext cx="9525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323850</xdr:colOff>
      <xdr:row>177</xdr:row>
      <xdr:rowOff>57150</xdr:rowOff>
    </xdr:from>
    <xdr:to>
      <xdr:col>4</xdr:col>
      <xdr:colOff>285750</xdr:colOff>
      <xdr:row>178</xdr:row>
      <xdr:rowOff>133350</xdr:rowOff>
    </xdr:to>
    <xdr:pic>
      <xdr:nvPicPr>
        <xdr:cNvPr id="37915" name="Picture 46">
          <a:extLst>
            <a:ext uri="{FF2B5EF4-FFF2-40B4-BE49-F238E27FC236}">
              <a16:creationId xmlns:a16="http://schemas.microsoft.com/office/drawing/2014/main" id="{00000000-0008-0000-0800-00001B9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25" y="33775650"/>
          <a:ext cx="13525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209550</xdr:colOff>
      <xdr:row>179</xdr:row>
      <xdr:rowOff>19050</xdr:rowOff>
    </xdr:from>
    <xdr:to>
      <xdr:col>4</xdr:col>
      <xdr:colOff>304800</xdr:colOff>
      <xdr:row>181</xdr:row>
      <xdr:rowOff>133350</xdr:rowOff>
    </xdr:to>
    <xdr:pic>
      <xdr:nvPicPr>
        <xdr:cNvPr id="37916" name="Picture 47">
          <a:extLst>
            <a:ext uri="{FF2B5EF4-FFF2-40B4-BE49-F238E27FC236}">
              <a16:creationId xmlns:a16="http://schemas.microsoft.com/office/drawing/2014/main" id="{00000000-0008-0000-0800-00001C9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34118550"/>
          <a:ext cx="14859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561975</xdr:colOff>
      <xdr:row>177</xdr:row>
      <xdr:rowOff>19050</xdr:rowOff>
    </xdr:from>
    <xdr:to>
      <xdr:col>6</xdr:col>
      <xdr:colOff>600075</xdr:colOff>
      <xdr:row>179</xdr:row>
      <xdr:rowOff>19050</xdr:rowOff>
    </xdr:to>
    <xdr:pic>
      <xdr:nvPicPr>
        <xdr:cNvPr id="37917" name="Picture 48">
          <a:extLst>
            <a:ext uri="{FF2B5EF4-FFF2-40B4-BE49-F238E27FC236}">
              <a16:creationId xmlns:a16="http://schemas.microsoft.com/office/drawing/2014/main" id="{00000000-0008-0000-0800-00001D9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33737550"/>
          <a:ext cx="18002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19050</xdr:colOff>
      <xdr:row>179</xdr:row>
      <xdr:rowOff>152400</xdr:rowOff>
    </xdr:from>
    <xdr:to>
      <xdr:col>6</xdr:col>
      <xdr:colOff>257175</xdr:colOff>
      <xdr:row>181</xdr:row>
      <xdr:rowOff>0</xdr:rowOff>
    </xdr:to>
    <xdr:pic>
      <xdr:nvPicPr>
        <xdr:cNvPr id="37919" name="Picture 49">
          <a:extLst>
            <a:ext uri="{FF2B5EF4-FFF2-40B4-BE49-F238E27FC236}">
              <a16:creationId xmlns:a16="http://schemas.microsoft.com/office/drawing/2014/main" id="{00000000-0008-0000-0800-00001F9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24275" y="34251900"/>
          <a:ext cx="10858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704850</xdr:colOff>
      <xdr:row>155</xdr:row>
      <xdr:rowOff>95250</xdr:rowOff>
    </xdr:from>
    <xdr:to>
      <xdr:col>5</xdr:col>
      <xdr:colOff>133350</xdr:colOff>
      <xdr:row>156</xdr:row>
      <xdr:rowOff>95250</xdr:rowOff>
    </xdr:to>
    <xdr:pic>
      <xdr:nvPicPr>
        <xdr:cNvPr id="32" name="Picture 5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9622750"/>
          <a:ext cx="10953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552450</xdr:colOff>
      <xdr:row>143</xdr:row>
      <xdr:rowOff>76200</xdr:rowOff>
    </xdr:from>
    <xdr:to>
      <xdr:col>7</xdr:col>
      <xdr:colOff>552450</xdr:colOff>
      <xdr:row>145</xdr:row>
      <xdr:rowOff>104775</xdr:rowOff>
    </xdr:to>
    <xdr:pic>
      <xdr:nvPicPr>
        <xdr:cNvPr id="33" name="Picture 53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7675" y="27317700"/>
          <a:ext cx="168592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552450</xdr:colOff>
      <xdr:row>145</xdr:row>
      <xdr:rowOff>95250</xdr:rowOff>
    </xdr:from>
    <xdr:to>
      <xdr:col>7</xdr:col>
      <xdr:colOff>457200</xdr:colOff>
      <xdr:row>147</xdr:row>
      <xdr:rowOff>133350</xdr:rowOff>
    </xdr:to>
    <xdr:pic>
      <xdr:nvPicPr>
        <xdr:cNvPr id="34" name="Picture 54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7675" y="27717750"/>
          <a:ext cx="15906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641351</xdr:colOff>
      <xdr:row>23</xdr:row>
      <xdr:rowOff>60478</xdr:rowOff>
    </xdr:from>
    <xdr:to>
      <xdr:col>10</xdr:col>
      <xdr:colOff>298451</xdr:colOff>
      <xdr:row>25</xdr:row>
      <xdr:rowOff>104232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5137" y="4169835"/>
          <a:ext cx="1616528" cy="39754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7</xdr:col>
      <xdr:colOff>637120</xdr:colOff>
      <xdr:row>25</xdr:row>
      <xdr:rowOff>95251</xdr:rowOff>
    </xdr:from>
    <xdr:to>
      <xdr:col>10</xdr:col>
      <xdr:colOff>304800</xdr:colOff>
      <xdr:row>27</xdr:row>
      <xdr:rowOff>147975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28495" y="4781551"/>
          <a:ext cx="1610780" cy="39908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16</xdr:col>
      <xdr:colOff>533179</xdr:colOff>
      <xdr:row>0</xdr:row>
      <xdr:rowOff>147205</xdr:rowOff>
    </xdr:from>
    <xdr:to>
      <xdr:col>24</xdr:col>
      <xdr:colOff>369868</xdr:colOff>
      <xdr:row>30</xdr:row>
      <xdr:rowOff>172231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4231861" y="147205"/>
          <a:ext cx="5101416" cy="52588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29</xdr:col>
      <xdr:colOff>164852</xdr:colOff>
      <xdr:row>60</xdr:row>
      <xdr:rowOff>23633</xdr:rowOff>
    </xdr:from>
    <xdr:to>
      <xdr:col>35</xdr:col>
      <xdr:colOff>94570</xdr:colOff>
      <xdr:row>88</xdr:row>
      <xdr:rowOff>55157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938261" y="10466497"/>
          <a:ext cx="4501718" cy="4897933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23</xdr:col>
      <xdr:colOff>41652</xdr:colOff>
      <xdr:row>59</xdr:row>
      <xdr:rowOff>169162</xdr:rowOff>
    </xdr:from>
    <xdr:to>
      <xdr:col>29</xdr:col>
      <xdr:colOff>48395</xdr:colOff>
      <xdr:row>100</xdr:row>
      <xdr:rowOff>34636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243061" y="10438844"/>
          <a:ext cx="4578743" cy="698324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16</xdr:col>
      <xdr:colOff>73211</xdr:colOff>
      <xdr:row>60</xdr:row>
      <xdr:rowOff>0</xdr:rowOff>
    </xdr:from>
    <xdr:to>
      <xdr:col>22</xdr:col>
      <xdr:colOff>681235</xdr:colOff>
      <xdr:row>100</xdr:row>
      <xdr:rowOff>33964</xdr:rowOff>
    </xdr:to>
    <xdr:pic>
      <xdr:nvPicPr>
        <xdr:cNvPr id="12" name="Picture 26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71893" y="10442864"/>
          <a:ext cx="4348751" cy="697855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4231</xdr:colOff>
      <xdr:row>95</xdr:row>
      <xdr:rowOff>46265</xdr:rowOff>
    </xdr:from>
    <xdr:to>
      <xdr:col>10</xdr:col>
      <xdr:colOff>314474</xdr:colOff>
      <xdr:row>97</xdr:row>
      <xdr:rowOff>93003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1160" y="17082408"/>
          <a:ext cx="1616528" cy="400524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0</xdr:colOff>
      <xdr:row>97</xdr:row>
      <xdr:rowOff>85120</xdr:rowOff>
    </xdr:from>
    <xdr:to>
      <xdr:col>10</xdr:col>
      <xdr:colOff>320823</xdr:colOff>
      <xdr:row>99</xdr:row>
      <xdr:rowOff>148030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39075" y="21059170"/>
          <a:ext cx="1616223" cy="39908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4231</xdr:colOff>
      <xdr:row>136</xdr:row>
      <xdr:rowOff>31297</xdr:rowOff>
    </xdr:from>
    <xdr:to>
      <xdr:col>10</xdr:col>
      <xdr:colOff>314474</xdr:colOff>
      <xdr:row>138</xdr:row>
      <xdr:rowOff>79053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1160" y="24156761"/>
          <a:ext cx="1616528" cy="40154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0</xdr:colOff>
      <xdr:row>138</xdr:row>
      <xdr:rowOff>94645</xdr:rowOff>
    </xdr:from>
    <xdr:to>
      <xdr:col>10</xdr:col>
      <xdr:colOff>320823</xdr:colOff>
      <xdr:row>140</xdr:row>
      <xdr:rowOff>157556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39075" y="25774045"/>
          <a:ext cx="1616223" cy="39908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42</xdr:col>
      <xdr:colOff>15915</xdr:colOff>
      <xdr:row>7</xdr:row>
      <xdr:rowOff>149810</xdr:rowOff>
    </xdr:from>
    <xdr:to>
      <xdr:col>51</xdr:col>
      <xdr:colOff>350790</xdr:colOff>
      <xdr:row>17</xdr:row>
      <xdr:rowOff>27925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695324" y="1414037"/>
          <a:ext cx="7192875" cy="1609933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42</xdr:col>
      <xdr:colOff>22856</xdr:colOff>
      <xdr:row>0</xdr:row>
      <xdr:rowOff>101679</xdr:rowOff>
    </xdr:from>
    <xdr:to>
      <xdr:col>52</xdr:col>
      <xdr:colOff>565005</xdr:colOff>
      <xdr:row>7</xdr:row>
      <xdr:rowOff>175000</xdr:rowOff>
    </xdr:to>
    <xdr:pic>
      <xdr:nvPicPr>
        <xdr:cNvPr id="19" name="18 Imagen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702265" y="101679"/>
          <a:ext cx="8162149" cy="132394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42</xdr:col>
      <xdr:colOff>33303</xdr:colOff>
      <xdr:row>17</xdr:row>
      <xdr:rowOff>25602</xdr:rowOff>
    </xdr:from>
    <xdr:to>
      <xdr:col>47</xdr:col>
      <xdr:colOff>309683</xdr:colOff>
      <xdr:row>29</xdr:row>
      <xdr:rowOff>55271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712712" y="3021647"/>
          <a:ext cx="4086380" cy="210785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17</xdr:col>
      <xdr:colOff>168901</xdr:colOff>
      <xdr:row>119</xdr:row>
      <xdr:rowOff>104723</xdr:rowOff>
    </xdr:from>
    <xdr:to>
      <xdr:col>23</xdr:col>
      <xdr:colOff>744680</xdr:colOff>
      <xdr:row>145</xdr:row>
      <xdr:rowOff>47877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4860261" y="20991143"/>
          <a:ext cx="4591519" cy="4515154"/>
          <a:chOff x="14283221" y="20782632"/>
          <a:chExt cx="4489688" cy="4463200"/>
        </a:xfrm>
      </xdr:grpSpPr>
      <xdr:pic>
        <xdr:nvPicPr>
          <xdr:cNvPr id="34" name="33 Imagen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4291216" y="20782632"/>
            <a:ext cx="4460210" cy="2493502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  <xdr:pic>
        <xdr:nvPicPr>
          <xdr:cNvPr id="35" name="34 Imagen" descr="CN_Zonas semiaridas02C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PicPr/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3221" y="22869676"/>
            <a:ext cx="4489688" cy="2376156"/>
          </a:xfrm>
          <a:prstGeom prst="rect">
            <a:avLst/>
          </a:prstGeom>
          <a:noFill/>
          <a:ln w="9525" cmpd="sng">
            <a:solidFill>
              <a:srgbClr val="000000"/>
            </a:solidFill>
            <a:miter lim="800000"/>
            <a:headEnd/>
            <a:tailEnd/>
          </a:ln>
          <a:effectLst/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6</xdr:row>
      <xdr:rowOff>38100</xdr:rowOff>
    </xdr:from>
    <xdr:to>
      <xdr:col>8</xdr:col>
      <xdr:colOff>600075</xdr:colOff>
      <xdr:row>9</xdr:row>
      <xdr:rowOff>76200</xdr:rowOff>
    </xdr:to>
    <xdr:sp macro="" textlink="">
      <xdr:nvSpPr>
        <xdr:cNvPr id="90113" name="Object 1" hidden="1">
          <a:extLst>
            <a:ext uri="{63B3BB69-23CF-44E3-9099-C40C66FF867C}">
              <a14:compatExt xmlns:a14="http://schemas.microsoft.com/office/drawing/2010/main" spid="_x0000_s90113"/>
            </a:ext>
            <a:ext uri="{FF2B5EF4-FFF2-40B4-BE49-F238E27FC236}">
              <a16:creationId xmlns:a16="http://schemas.microsoft.com/office/drawing/2014/main" id="{00000000-0008-0000-0B00-0000016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258295</xdr:colOff>
      <xdr:row>0</xdr:row>
      <xdr:rowOff>170074</xdr:rowOff>
    </xdr:from>
    <xdr:to>
      <xdr:col>31</xdr:col>
      <xdr:colOff>759598</xdr:colOff>
      <xdr:row>18</xdr:row>
      <xdr:rowOff>130696</xdr:rowOff>
    </xdr:to>
    <xdr:grpSp>
      <xdr:nvGrpSpPr>
        <xdr:cNvPr id="2" name="1 Grup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10728175" y="170074"/>
          <a:ext cx="13059063" cy="3389622"/>
          <a:chOff x="10298766" y="170074"/>
          <a:chExt cx="12693303" cy="3444943"/>
        </a:xfrm>
      </xdr:grpSpPr>
      <xdr:pic>
        <xdr:nvPicPr>
          <xdr:cNvPr id="3" name="2 Imagen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4545234" y="170074"/>
            <a:ext cx="4244703" cy="3427013"/>
          </a:xfrm>
          <a:prstGeom prst="rect">
            <a:avLst/>
          </a:prstGeom>
        </xdr:spPr>
      </xdr:pic>
      <xdr:pic>
        <xdr:nvPicPr>
          <xdr:cNvPr id="4" name="3 Imagen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8855418" y="183393"/>
            <a:ext cx="4136651" cy="2028906"/>
          </a:xfrm>
          <a:prstGeom prst="rect">
            <a:avLst/>
          </a:prstGeom>
        </xdr:spPr>
      </xdr:pic>
      <xdr:pic>
        <xdr:nvPicPr>
          <xdr:cNvPr id="5" name="4 Imagen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0298766" y="172288"/>
            <a:ext cx="4138145" cy="3442729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625929</xdr:colOff>
      <xdr:row>4</xdr:row>
      <xdr:rowOff>81643</xdr:rowOff>
    </xdr:from>
    <xdr:to>
      <xdr:col>19</xdr:col>
      <xdr:colOff>462643</xdr:colOff>
      <xdr:row>5</xdr:row>
      <xdr:rowOff>163286</xdr:rowOff>
    </xdr:to>
    <xdr:sp macro="" textlink="">
      <xdr:nvSpPr>
        <xdr:cNvPr id="6" name="5 Elipse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2763500" y="857250"/>
          <a:ext cx="598714" cy="272143"/>
        </a:xfrm>
        <a:prstGeom prst="ellipse">
          <a:avLst/>
        </a:prstGeom>
        <a:noFill/>
        <a:ln w="28575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18</xdr:col>
      <xdr:colOff>108857</xdr:colOff>
      <xdr:row>14</xdr:row>
      <xdr:rowOff>40822</xdr:rowOff>
    </xdr:from>
    <xdr:to>
      <xdr:col>18</xdr:col>
      <xdr:colOff>707571</xdr:colOff>
      <xdr:row>15</xdr:row>
      <xdr:rowOff>108857</xdr:rowOff>
    </xdr:to>
    <xdr:sp macro="" textlink="">
      <xdr:nvSpPr>
        <xdr:cNvPr id="8" name="7 Elipse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12246428" y="2748643"/>
          <a:ext cx="598714" cy="272143"/>
        </a:xfrm>
        <a:prstGeom prst="ellipse">
          <a:avLst/>
        </a:prstGeom>
        <a:noFill/>
        <a:ln w="28575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12</xdr:col>
      <xdr:colOff>628650</xdr:colOff>
      <xdr:row>24</xdr:row>
      <xdr:rowOff>66675</xdr:rowOff>
    </xdr:from>
    <xdr:to>
      <xdr:col>14</xdr:col>
      <xdr:colOff>628650</xdr:colOff>
      <xdr:row>26</xdr:row>
      <xdr:rowOff>323850</xdr:rowOff>
    </xdr:to>
    <xdr:sp macro="" textlink="">
      <xdr:nvSpPr>
        <xdr:cNvPr id="90116" name="Object 4" hidden="1">
          <a:extLst>
            <a:ext uri="{63B3BB69-23CF-44E3-9099-C40C66FF867C}">
              <a14:compatExt xmlns:a14="http://schemas.microsoft.com/office/drawing/2010/main" spid="_x0000_s90116"/>
            </a:ext>
            <a:ext uri="{FF2B5EF4-FFF2-40B4-BE49-F238E27FC236}">
              <a16:creationId xmlns:a16="http://schemas.microsoft.com/office/drawing/2014/main" id="{00000000-0008-0000-0B00-0000046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76200</xdr:colOff>
      <xdr:row>6</xdr:row>
      <xdr:rowOff>38100</xdr:rowOff>
    </xdr:from>
    <xdr:to>
      <xdr:col>8</xdr:col>
      <xdr:colOff>600075</xdr:colOff>
      <xdr:row>9</xdr:row>
      <xdr:rowOff>76200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81100"/>
          <a:ext cx="123825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628650</xdr:colOff>
      <xdr:row>24</xdr:row>
      <xdr:rowOff>66675</xdr:rowOff>
    </xdr:from>
    <xdr:to>
      <xdr:col>14</xdr:col>
      <xdr:colOff>628650</xdr:colOff>
      <xdr:row>26</xdr:row>
      <xdr:rowOff>323850</xdr:rowOff>
    </xdr:to>
    <xdr:pic>
      <xdr:nvPicPr>
        <xdr:cNvPr id="9" name="Picture 4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96325" y="4638675"/>
          <a:ext cx="14287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761999</xdr:colOff>
      <xdr:row>36</xdr:row>
      <xdr:rowOff>12339</xdr:rowOff>
    </xdr:from>
    <xdr:to>
      <xdr:col>10</xdr:col>
      <xdr:colOff>456037</xdr:colOff>
      <xdr:row>68</xdr:row>
      <xdr:rowOff>15875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499" y="6937014"/>
          <a:ext cx="4361288" cy="6099536"/>
        </a:xfrm>
        <a:prstGeom prst="rect">
          <a:avLst/>
        </a:prstGeom>
        <a:noFill/>
        <a:ln w="12700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/>
  </xdr:twoCellAnchor>
  <xdr:twoCellAnchor>
    <xdr:from>
      <xdr:col>2</xdr:col>
      <xdr:colOff>628650</xdr:colOff>
      <xdr:row>17</xdr:row>
      <xdr:rowOff>57150</xdr:rowOff>
    </xdr:from>
    <xdr:to>
      <xdr:col>7</xdr:col>
      <xdr:colOff>247650</xdr:colOff>
      <xdr:row>20</xdr:row>
      <xdr:rowOff>19050</xdr:rowOff>
    </xdr:to>
    <xdr:sp macro="" textlink="">
      <xdr:nvSpPr>
        <xdr:cNvPr id="87041" name="6 Objeto" hidden="1">
          <a:extLst>
            <a:ext uri="{63B3BB69-23CF-44E3-9099-C40C66FF867C}">
              <a14:compatExt xmlns:a14="http://schemas.microsoft.com/office/drawing/2010/main" spid="_x0000_s87041"/>
            </a:ext>
            <a:ext uri="{FF2B5EF4-FFF2-40B4-BE49-F238E27FC236}">
              <a16:creationId xmlns:a16="http://schemas.microsoft.com/office/drawing/2014/main" id="{00000000-0008-0000-0C00-0000015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11205</xdr:colOff>
      <xdr:row>23</xdr:row>
      <xdr:rowOff>189194</xdr:rowOff>
    </xdr:from>
    <xdr:to>
      <xdr:col>7</xdr:col>
      <xdr:colOff>301625</xdr:colOff>
      <xdr:row>34</xdr:row>
      <xdr:rowOff>123963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1330" y="4618319"/>
          <a:ext cx="4224245" cy="204932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7</xdr:col>
      <xdr:colOff>460373</xdr:colOff>
      <xdr:row>25</xdr:row>
      <xdr:rowOff>85700</xdr:rowOff>
    </xdr:from>
    <xdr:to>
      <xdr:col>11</xdr:col>
      <xdr:colOff>830036</xdr:colOff>
      <xdr:row>33</xdr:row>
      <xdr:rowOff>129259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94323" y="4905350"/>
          <a:ext cx="3560538" cy="157708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</xdr:colOff>
          <xdr:row>7</xdr:row>
          <xdr:rowOff>175260</xdr:rowOff>
        </xdr:from>
        <xdr:to>
          <xdr:col>17</xdr:col>
          <xdr:colOff>609600</xdr:colOff>
          <xdr:row>9</xdr:row>
          <xdr:rowOff>22860</xdr:rowOff>
        </xdr:to>
        <xdr:sp macro="" textlink="">
          <xdr:nvSpPr>
            <xdr:cNvPr id="87042" name="Drop Dow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C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247650</xdr:colOff>
      <xdr:row>15</xdr:row>
      <xdr:rowOff>171450</xdr:rowOff>
    </xdr:from>
    <xdr:to>
      <xdr:col>20</xdr:col>
      <xdr:colOff>57150</xdr:colOff>
      <xdr:row>18</xdr:row>
      <xdr:rowOff>66675</xdr:rowOff>
    </xdr:to>
    <xdr:sp macro="" textlink="">
      <xdr:nvSpPr>
        <xdr:cNvPr id="87043" name="6 Objeto" hidden="1">
          <a:extLst>
            <a:ext uri="{63B3BB69-23CF-44E3-9099-C40C66FF867C}">
              <a14:compatExt xmlns:a14="http://schemas.microsoft.com/office/drawing/2010/main" spid="_x0000_s87043"/>
            </a:ext>
            <a:ext uri="{FF2B5EF4-FFF2-40B4-BE49-F238E27FC236}">
              <a16:creationId xmlns:a16="http://schemas.microsoft.com/office/drawing/2014/main" id="{00000000-0008-0000-0C00-00000354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437700</xdr:colOff>
      <xdr:row>34</xdr:row>
      <xdr:rowOff>11206</xdr:rowOff>
    </xdr:from>
    <xdr:to>
      <xdr:col>20</xdr:col>
      <xdr:colOff>759130</xdr:colOff>
      <xdr:row>68</xdr:row>
      <xdr:rowOff>26655</xdr:rowOff>
    </xdr:to>
    <xdr:pic>
      <xdr:nvPicPr>
        <xdr:cNvPr id="8" name="Picture 99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300" y="6554881"/>
          <a:ext cx="4674355" cy="6492449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/>
  </xdr:twoCellAnchor>
  <xdr:twoCellAnchor>
    <xdr:from>
      <xdr:col>15</xdr:col>
      <xdr:colOff>278412</xdr:colOff>
      <xdr:row>59</xdr:row>
      <xdr:rowOff>81643</xdr:rowOff>
    </xdr:from>
    <xdr:to>
      <xdr:col>19</xdr:col>
      <xdr:colOff>190500</xdr:colOff>
      <xdr:row>65</xdr:row>
      <xdr:rowOff>57811</xdr:rowOff>
    </xdr:to>
    <xdr:grpSp>
      <xdr:nvGrpSpPr>
        <xdr:cNvPr id="3" name="2 Grup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/>
      </xdr:nvGrpSpPr>
      <xdr:grpSpPr>
        <a:xfrm>
          <a:off x="11055269" y="11174186"/>
          <a:ext cx="3602345" cy="1086511"/>
          <a:chOff x="11055269" y="10028464"/>
          <a:chExt cx="3490767" cy="1119168"/>
        </a:xfrm>
      </xdr:grpSpPr>
      <xdr:cxnSp macro="">
        <xdr:nvCxnSpPr>
          <xdr:cNvPr id="10" name="4 Conector recto de flecha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CxnSpPr/>
        </xdr:nvCxnSpPr>
        <xdr:spPr>
          <a:xfrm flipV="1">
            <a:off x="12940393" y="10028464"/>
            <a:ext cx="1605643" cy="734786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1" name="18 CuadroTexto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 txBox="1"/>
        </xdr:nvSpPr>
        <xdr:spPr>
          <a:xfrm>
            <a:off x="11055269" y="10435899"/>
            <a:ext cx="1817087" cy="711733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>
            <a:spAutoFit/>
          </a:bodyPr>
          <a:lstStyle>
            <a:defPPr>
              <a:defRPr lang="es-P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PE" sz="1400">
                <a:latin typeface="Arial" pitchFamily="34" charset="0"/>
                <a:cs typeface="Arial" pitchFamily="34" charset="0"/>
              </a:rPr>
              <a:t>Cuenca del Huatanay hasta el Puente Angostura</a:t>
            </a:r>
          </a:p>
        </xdr:txBody>
      </xdr:sp>
    </xdr:grpSp>
    <xdr:clientData/>
  </xdr:twoCellAnchor>
  <xdr:twoCellAnchor>
    <xdr:from>
      <xdr:col>2</xdr:col>
      <xdr:colOff>628650</xdr:colOff>
      <xdr:row>17</xdr:row>
      <xdr:rowOff>57150</xdr:rowOff>
    </xdr:from>
    <xdr:to>
      <xdr:col>7</xdr:col>
      <xdr:colOff>247650</xdr:colOff>
      <xdr:row>20</xdr:row>
      <xdr:rowOff>19050</xdr:rowOff>
    </xdr:to>
    <xdr:pic>
      <xdr:nvPicPr>
        <xdr:cNvPr id="6" name="6 Objeto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3314700"/>
          <a:ext cx="3552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247650</xdr:colOff>
      <xdr:row>15</xdr:row>
      <xdr:rowOff>171450</xdr:rowOff>
    </xdr:from>
    <xdr:to>
      <xdr:col>20</xdr:col>
      <xdr:colOff>57150</xdr:colOff>
      <xdr:row>18</xdr:row>
      <xdr:rowOff>66675</xdr:rowOff>
    </xdr:to>
    <xdr:pic>
      <xdr:nvPicPr>
        <xdr:cNvPr id="7" name="Picture 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250" y="3048000"/>
          <a:ext cx="417195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164800</xdr:colOff>
      <xdr:row>22</xdr:row>
      <xdr:rowOff>15875</xdr:rowOff>
    </xdr:from>
    <xdr:to>
      <xdr:col>43</xdr:col>
      <xdr:colOff>742039</xdr:colOff>
      <xdr:row>51</xdr:row>
      <xdr:rowOff>110002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49586" y="4206875"/>
          <a:ext cx="4958738" cy="5611823"/>
        </a:xfrm>
        <a:prstGeom prst="rect">
          <a:avLst/>
        </a:prstGeom>
      </xdr:spPr>
    </xdr:pic>
    <xdr:clientData/>
  </xdr:twoCellAnchor>
  <xdr:twoCellAnchor>
    <xdr:from>
      <xdr:col>40</xdr:col>
      <xdr:colOff>167822</xdr:colOff>
      <xdr:row>25</xdr:row>
      <xdr:rowOff>176894</xdr:rowOff>
    </xdr:from>
    <xdr:to>
      <xdr:col>41</xdr:col>
      <xdr:colOff>129268</xdr:colOff>
      <xdr:row>27</xdr:row>
      <xdr:rowOff>74840</xdr:rowOff>
    </xdr:to>
    <xdr:sp macro="" textlink="">
      <xdr:nvSpPr>
        <xdr:cNvPr id="7" name="6 Elipse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22537965" y="4939394"/>
          <a:ext cx="478517" cy="278946"/>
        </a:xfrm>
        <a:prstGeom prst="ellipse">
          <a:avLst/>
        </a:prstGeom>
        <a:noFill/>
        <a:ln w="28575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26</xdr:col>
      <xdr:colOff>676275</xdr:colOff>
      <xdr:row>1</xdr:row>
      <xdr:rowOff>142875</xdr:rowOff>
    </xdr:from>
    <xdr:to>
      <xdr:col>28</xdr:col>
      <xdr:colOff>171450</xdr:colOff>
      <xdr:row>4</xdr:row>
      <xdr:rowOff>57150</xdr:rowOff>
    </xdr:to>
    <xdr:sp macro="" textlink="">
      <xdr:nvSpPr>
        <xdr:cNvPr id="94211" name="Object 3" hidden="1">
          <a:extLst>
            <a:ext uri="{63B3BB69-23CF-44E3-9099-C40C66FF867C}">
              <a14:compatExt xmlns:a14="http://schemas.microsoft.com/office/drawing/2010/main" spid="_x0000_s94211"/>
            </a:ext>
            <a:ext uri="{FF2B5EF4-FFF2-40B4-BE49-F238E27FC236}">
              <a16:creationId xmlns:a16="http://schemas.microsoft.com/office/drawing/2014/main" id="{00000000-0008-0000-0D00-0000037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27</xdr:col>
      <xdr:colOff>34778</xdr:colOff>
      <xdr:row>22</xdr:row>
      <xdr:rowOff>23377</xdr:rowOff>
    </xdr:from>
    <xdr:to>
      <xdr:col>34</xdr:col>
      <xdr:colOff>372751</xdr:colOff>
      <xdr:row>45</xdr:row>
      <xdr:rowOff>77672</xdr:rowOff>
    </xdr:to>
    <xdr:grpSp>
      <xdr:nvGrpSpPr>
        <xdr:cNvPr id="12" name="11 Grupo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pSpPr/>
      </xdr:nvGrpSpPr>
      <xdr:grpSpPr>
        <a:xfrm>
          <a:off x="17164538" y="4214377"/>
          <a:ext cx="4018433" cy="4420555"/>
          <a:chOff x="12696827" y="4264269"/>
          <a:chExt cx="3907125" cy="4231990"/>
        </a:xfrm>
      </xdr:grpSpPr>
      <xdr:grpSp>
        <xdr:nvGrpSpPr>
          <xdr:cNvPr id="4" name="3 Grupo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GrpSpPr/>
        </xdr:nvGrpSpPr>
        <xdr:grpSpPr>
          <a:xfrm>
            <a:off x="12696827" y="4264269"/>
            <a:ext cx="3119819" cy="744103"/>
            <a:chOff x="8817955" y="4410807"/>
            <a:chExt cx="3103310" cy="740020"/>
          </a:xfrm>
        </xdr:grpSpPr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94216" name="Object 8" hidden="1">
                  <a:extLst>
                    <a:ext uri="{63B3BB69-23CF-44E3-9099-C40C66FF867C}">
                      <a14:compatExt spid="_x0000_s94216"/>
                    </a:ext>
                    <a:ext uri="{FF2B5EF4-FFF2-40B4-BE49-F238E27FC236}">
                      <a16:creationId xmlns:a16="http://schemas.microsoft.com/office/drawing/2014/main" id="{00000000-0008-0000-0D00-000008700100}"/>
                    </a:ext>
                  </a:extLst>
                </xdr:cNvPr>
                <xdr:cNvSpPr/>
              </xdr:nvSpPr>
              <xdr:spPr bwMode="auto">
                <a:xfrm>
                  <a:off x="10929193" y="4569233"/>
                  <a:ext cx="992072" cy="428625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sp>
          </mc:Choice>
          <mc:Fallback xmlns=""/>
        </mc:AlternateContent>
        <xdr:sp macro="" textlink="">
          <xdr:nvSpPr>
            <xdr:cNvPr id="3" name="2 CuadroTexto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:cNvPr>
            <xdr:cNvSpPr txBox="1"/>
          </xdr:nvSpPr>
          <xdr:spPr>
            <a:xfrm>
              <a:off x="8817955" y="4410807"/>
              <a:ext cx="2099160" cy="7400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s-PE" sz="1000" b="1" u="sng">
                  <a:latin typeface="Arial" panose="020B0604020202020204" pitchFamily="34" charset="0"/>
                  <a:cs typeface="Arial" panose="020B0604020202020204" pitchFamily="34" charset="0"/>
                </a:rPr>
                <a:t>Método de Kirpich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tc: Tiempo Concentración (min).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L: Longitud Flujo (km).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S: Pendiente Flujo (m/m).</a:t>
              </a:r>
            </a:p>
            <a:p>
              <a:pPr algn="l"/>
              <a:endParaRPr lang="es-PE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5" name="4 Grupo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GrpSpPr/>
        </xdr:nvGrpSpPr>
        <xdr:grpSpPr>
          <a:xfrm>
            <a:off x="12698290" y="5056584"/>
            <a:ext cx="3101505" cy="855786"/>
            <a:chOff x="8825151" y="5260730"/>
            <a:chExt cx="3099828" cy="864577"/>
          </a:xfrm>
        </xdr:grpSpPr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94217" name="Object 9" hidden="1">
                  <a:extLst>
                    <a:ext uri="{63B3BB69-23CF-44E3-9099-C40C66FF867C}">
                      <a14:compatExt spid="_x0000_s94217"/>
                    </a:ext>
                    <a:ext uri="{FF2B5EF4-FFF2-40B4-BE49-F238E27FC236}">
                      <a16:creationId xmlns:a16="http://schemas.microsoft.com/office/drawing/2014/main" id="{00000000-0008-0000-0D00-000009700100}"/>
                    </a:ext>
                  </a:extLst>
                </xdr:cNvPr>
                <xdr:cNvSpPr/>
              </xdr:nvSpPr>
              <xdr:spPr bwMode="auto">
                <a:xfrm>
                  <a:off x="10935850" y="5501832"/>
                  <a:ext cx="989129" cy="377336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sp>
          </mc:Choice>
          <mc:Fallback xmlns=""/>
        </mc:AlternateContent>
        <xdr:sp macro="" textlink="">
          <xdr:nvSpPr>
            <xdr:cNvPr id="10" name="9 CuadroTexto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 txBox="1"/>
          </xdr:nvSpPr>
          <xdr:spPr>
            <a:xfrm>
              <a:off x="8825151" y="5260730"/>
              <a:ext cx="2099289" cy="864577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s-PE" sz="1000" b="1" u="sng">
                  <a:latin typeface="Arial" panose="020B0604020202020204" pitchFamily="34" charset="0"/>
                  <a:cs typeface="Arial" panose="020B0604020202020204" pitchFamily="34" charset="0"/>
                </a:rPr>
                <a:t>Método de G. Bransby William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tc: Tiempo Concentración (min).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L: Longitud Flujo (km).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A: Área Aportante</a:t>
              </a:r>
              <a:r>
                <a:rPr lang="es-PE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(km</a:t>
              </a:r>
              <a:r>
                <a:rPr lang="es-PE" sz="1000" baseline="30000">
                  <a:latin typeface="Arial" panose="020B0604020202020204" pitchFamily="34" charset="0"/>
                  <a:cs typeface="Arial" panose="020B0604020202020204" pitchFamily="34" charset="0"/>
                </a:rPr>
                <a:t>2</a:t>
              </a:r>
              <a:r>
                <a:rPr lang="es-PE" sz="1000" baseline="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  <a:endParaRPr lang="es-PE" sz="100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S: Pendiente Flujo (m/m).</a:t>
              </a:r>
            </a:p>
            <a:p>
              <a:pPr algn="l"/>
              <a:endParaRPr lang="es-PE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6" name="5 Grupo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GrpSpPr/>
        </xdr:nvGrpSpPr>
        <xdr:grpSpPr>
          <a:xfrm>
            <a:off x="12698288" y="5956011"/>
            <a:ext cx="3905664" cy="860154"/>
            <a:chOff x="8897109" y="5890847"/>
            <a:chExt cx="3867235" cy="864577"/>
          </a:xfrm>
        </xdr:grpSpPr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94219" name="Object 11" hidden="1">
                  <a:extLst>
                    <a:ext uri="{63B3BB69-23CF-44E3-9099-C40C66FF867C}">
                      <a14:compatExt spid="_x0000_s94219"/>
                    </a:ext>
                    <a:ext uri="{FF2B5EF4-FFF2-40B4-BE49-F238E27FC236}">
                      <a16:creationId xmlns:a16="http://schemas.microsoft.com/office/drawing/2014/main" id="{00000000-0008-0000-0D00-00000B700100}"/>
                    </a:ext>
                  </a:extLst>
                </xdr:cNvPr>
                <xdr:cNvSpPr/>
              </xdr:nvSpPr>
              <xdr:spPr bwMode="auto">
                <a:xfrm>
                  <a:off x="10994890" y="5992473"/>
                  <a:ext cx="1769454" cy="635978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sp>
          </mc:Choice>
          <mc:Fallback xmlns=""/>
        </mc:AlternateContent>
        <xdr:sp macro="" textlink="">
          <xdr:nvSpPr>
            <xdr:cNvPr id="14" name="13 CuadroTexto">
              <a:extLst>
                <a:ext uri="{FF2B5EF4-FFF2-40B4-BE49-F238E27FC236}">
                  <a16:creationId xmlns:a16="http://schemas.microsoft.com/office/drawing/2014/main" id="{00000000-0008-0000-0D00-00000E000000}"/>
                </a:ext>
              </a:extLst>
            </xdr:cNvPr>
            <xdr:cNvSpPr txBox="1"/>
          </xdr:nvSpPr>
          <xdr:spPr>
            <a:xfrm>
              <a:off x="8897109" y="5890847"/>
              <a:ext cx="2093273" cy="864577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s-PE" sz="1000" b="1" u="sng">
                  <a:latin typeface="Arial" panose="020B0604020202020204" pitchFamily="34" charset="0"/>
                  <a:cs typeface="Arial" panose="020B0604020202020204" pitchFamily="34" charset="0"/>
                </a:rPr>
                <a:t>Método</a:t>
              </a:r>
              <a:r>
                <a:rPr lang="es-PE" sz="1000" b="1" u="sng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es-PE" sz="1000" b="1" u="sng">
                  <a:latin typeface="Arial" panose="020B0604020202020204" pitchFamily="34" charset="0"/>
                  <a:cs typeface="Arial" panose="020B0604020202020204" pitchFamily="34" charset="0"/>
                </a:rPr>
                <a:t>del NRCS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tc: Tiempo Concentración (min).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L: Longitud Flujo (km).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A: Área Aportante</a:t>
              </a:r>
              <a:r>
                <a:rPr lang="es-PE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(km</a:t>
              </a:r>
              <a:r>
                <a:rPr lang="es-PE" sz="1000" baseline="30000">
                  <a:latin typeface="Arial" panose="020B0604020202020204" pitchFamily="34" charset="0"/>
                  <a:cs typeface="Arial" panose="020B0604020202020204" pitchFamily="34" charset="0"/>
                </a:rPr>
                <a:t>2</a:t>
              </a:r>
              <a:r>
                <a:rPr lang="es-PE" sz="1000" baseline="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  <a:endParaRPr lang="es-PE" sz="100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S: Pendiente Flujo (%).</a:t>
              </a:r>
            </a:p>
            <a:p>
              <a:pPr algn="l"/>
              <a:endParaRPr lang="es-PE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9" name="8 Grupo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GrpSpPr/>
        </xdr:nvGrpSpPr>
        <xdr:grpSpPr>
          <a:xfrm>
            <a:off x="12705126" y="6871760"/>
            <a:ext cx="3439186" cy="850642"/>
            <a:chOff x="12486933" y="5174064"/>
            <a:chExt cx="3434912" cy="835269"/>
          </a:xfrm>
        </xdr:grpSpPr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94220" name="Object 12" hidden="1">
                  <a:extLst>
                    <a:ext uri="{63B3BB69-23CF-44E3-9099-C40C66FF867C}">
                      <a14:compatExt spid="_x0000_s94220"/>
                    </a:ext>
                    <a:ext uri="{FF2B5EF4-FFF2-40B4-BE49-F238E27FC236}">
                      <a16:creationId xmlns:a16="http://schemas.microsoft.com/office/drawing/2014/main" id="{00000000-0008-0000-0D00-00000C700100}"/>
                    </a:ext>
                  </a:extLst>
                </xdr:cNvPr>
                <xdr:cNvSpPr/>
              </xdr:nvSpPr>
              <xdr:spPr bwMode="auto">
                <a:xfrm>
                  <a:off x="14591276" y="5379973"/>
                  <a:ext cx="1330569" cy="446781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sp>
          </mc:Choice>
          <mc:Fallback xmlns=""/>
        </mc:AlternateContent>
        <xdr:sp macro="" textlink="">
          <xdr:nvSpPr>
            <xdr:cNvPr id="17" name="16 CuadroTexto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 txBox="1"/>
          </xdr:nvSpPr>
          <xdr:spPr>
            <a:xfrm>
              <a:off x="12486933" y="5174064"/>
              <a:ext cx="2099144" cy="83526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s-PE" sz="1000" b="1" u="sng">
                  <a:latin typeface="Arial" panose="020B0604020202020204" pitchFamily="34" charset="0"/>
                  <a:cs typeface="Arial" panose="020B0604020202020204" pitchFamily="34" charset="0"/>
                </a:rPr>
                <a:t>Método de</a:t>
              </a:r>
              <a:r>
                <a:rPr lang="es-PE" sz="1000" b="1" u="sng" baseline="0">
                  <a:latin typeface="Arial" panose="020B0604020202020204" pitchFamily="34" charset="0"/>
                  <a:cs typeface="Arial" panose="020B0604020202020204" pitchFamily="34" charset="0"/>
                </a:rPr>
                <a:t> la FAA</a:t>
              </a:r>
              <a:endParaRPr lang="es-PE" sz="1000" b="1" u="sng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tc: Tiempo Concentración (min).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C: Coeficiente</a:t>
              </a:r>
              <a:r>
                <a:rPr lang="es-PE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Escorrentia</a:t>
              </a:r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L: Longitud Flujo (km).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Sc: Pendiente Microcuenca (%).</a:t>
              </a:r>
            </a:p>
            <a:p>
              <a:pPr algn="l"/>
              <a:endParaRPr lang="es-PE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" name="10 Grupo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GrpSpPr/>
        </xdr:nvGrpSpPr>
        <xdr:grpSpPr>
          <a:xfrm>
            <a:off x="12705110" y="7773678"/>
            <a:ext cx="3046180" cy="722581"/>
            <a:chOff x="12654742" y="5200784"/>
            <a:chExt cx="3033422" cy="742017"/>
          </a:xfrm>
        </xdr:grpSpPr>
        <xdr:sp macro="" textlink="">
          <xdr:nvSpPr>
            <xdr:cNvPr id="19" name="18 CuadroTexto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 txBox="1"/>
          </xdr:nvSpPr>
          <xdr:spPr>
            <a:xfrm>
              <a:off x="12654742" y="5200784"/>
              <a:ext cx="2104012" cy="742017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es-PE" sz="1000" b="1" u="sng">
                  <a:latin typeface="Arial" panose="020B0604020202020204" pitchFamily="34" charset="0"/>
                  <a:cs typeface="Arial" panose="020B0604020202020204" pitchFamily="34" charset="0"/>
                </a:rPr>
                <a:t>Método de</a:t>
              </a:r>
              <a:r>
                <a:rPr lang="es-PE" sz="1000" b="1" u="sng" baseline="0">
                  <a:latin typeface="Arial" panose="020B0604020202020204" pitchFamily="34" charset="0"/>
                  <a:cs typeface="Arial" panose="020B0604020202020204" pitchFamily="34" charset="0"/>
                </a:rPr>
                <a:t> Témez</a:t>
              </a:r>
              <a:endParaRPr lang="es-PE" sz="1000" b="1" u="sng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tc: Tiempo Concentración (min).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L: Longitud Flujo (km).</a:t>
              </a:r>
            </a:p>
            <a:p>
              <a:pPr algn="l"/>
              <a:r>
                <a:rPr lang="es-PE" sz="1000">
                  <a:latin typeface="Arial" panose="020B0604020202020204" pitchFamily="34" charset="0"/>
                  <a:cs typeface="Arial" panose="020B0604020202020204" pitchFamily="34" charset="0"/>
                </a:rPr>
                <a:t>S: Pendiente Flujo (m/m).</a:t>
              </a:r>
            </a:p>
            <a:p>
              <a:pPr algn="l"/>
              <a:endParaRPr lang="es-PE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94222" name="Object 14" hidden="1">
                  <a:extLst>
                    <a:ext uri="{63B3BB69-23CF-44E3-9099-C40C66FF867C}">
                      <a14:compatExt spid="_x0000_s94222"/>
                    </a:ext>
                    <a:ext uri="{FF2B5EF4-FFF2-40B4-BE49-F238E27FC236}">
                      <a16:creationId xmlns:a16="http://schemas.microsoft.com/office/drawing/2014/main" id="{00000000-0008-0000-0D00-00000E700100}"/>
                    </a:ext>
                  </a:extLst>
                </xdr:cNvPr>
                <xdr:cNvSpPr/>
              </xdr:nvSpPr>
              <xdr:spPr bwMode="auto">
                <a:xfrm>
                  <a:off x="14773765" y="5346986"/>
                  <a:ext cx="914399" cy="39918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sp>
          </mc:Choice>
          <mc:Fallback xmlns=""/>
        </mc:AlternateContent>
      </xdr:grpSp>
    </xdr:grpSp>
    <xdr:clientData/>
  </xdr:twoCellAnchor>
  <xdr:oneCellAnchor>
    <xdr:from>
      <xdr:col>26</xdr:col>
      <xdr:colOff>358588</xdr:colOff>
      <xdr:row>5</xdr:row>
      <xdr:rowOff>168088</xdr:rowOff>
    </xdr:from>
    <xdr:ext cx="1602707" cy="455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21 CuadroTexto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 txBox="1"/>
          </xdr:nvSpPr>
          <xdr:spPr>
            <a:xfrm>
              <a:off x="17178617" y="1086970"/>
              <a:ext cx="1602707" cy="455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I</m:t>
                    </m:r>
                    <m:r>
                      <a:rPr lang="es-PE" sz="1400" b="0" i="0">
                        <a:solidFill>
                          <a:sysClr val="windowText" lastClr="000000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PE" sz="14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𝐾</m:t>
                        </m:r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𝑇𝑟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s-PE" sz="14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2" name="21 CuadroTexto"/>
            <xdr:cNvSpPr txBox="1"/>
          </xdr:nvSpPr>
          <xdr:spPr>
            <a:xfrm>
              <a:off x="17178617" y="1086970"/>
              <a:ext cx="1602707" cy="455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s-PE" sz="1400" b="0" i="0">
                  <a:solidFill>
                    <a:sysClr val="windowText" lastClr="000000"/>
                  </a:solidFill>
                  <a:effectLst/>
                  <a:latin typeface="Cambria Math"/>
                  <a:ea typeface="+mn-ea"/>
                  <a:cs typeface="+mn-cs"/>
                </a:rPr>
                <a:t>I=(𝐾〖𝑇𝑟〗^𝑚)/𝑡^𝑛 </a:t>
              </a:r>
              <a:endParaRPr lang="es-PE" sz="1400" b="0">
                <a:solidFill>
                  <a:sysClr val="windowText" lastClr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>
    <xdr:from>
      <xdr:col>40</xdr:col>
      <xdr:colOff>116116</xdr:colOff>
      <xdr:row>43</xdr:row>
      <xdr:rowOff>122465</xdr:rowOff>
    </xdr:from>
    <xdr:to>
      <xdr:col>41</xdr:col>
      <xdr:colOff>136072</xdr:colOff>
      <xdr:row>46</xdr:row>
      <xdr:rowOff>9527</xdr:rowOff>
    </xdr:to>
    <xdr:sp macro="" textlink="">
      <xdr:nvSpPr>
        <xdr:cNvPr id="23" name="6 Elipse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22486259" y="8313965"/>
          <a:ext cx="537027" cy="458562"/>
        </a:xfrm>
        <a:prstGeom prst="ellipse">
          <a:avLst/>
        </a:prstGeom>
        <a:noFill/>
        <a:ln w="28575">
          <a:solidFill>
            <a:srgbClr val="C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26</xdr:col>
      <xdr:colOff>676275</xdr:colOff>
      <xdr:row>1</xdr:row>
      <xdr:rowOff>142875</xdr:rowOff>
    </xdr:from>
    <xdr:to>
      <xdr:col>28</xdr:col>
      <xdr:colOff>171450</xdr:colOff>
      <xdr:row>4</xdr:row>
      <xdr:rowOff>57150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35375" y="333375"/>
          <a:ext cx="105727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114300</xdr:colOff>
      <xdr:row>22</xdr:row>
      <xdr:rowOff>190500</xdr:rowOff>
    </xdr:from>
    <xdr:to>
      <xdr:col>33</xdr:col>
      <xdr:colOff>95250</xdr:colOff>
      <xdr:row>25</xdr:row>
      <xdr:rowOff>66675</xdr:rowOff>
    </xdr:to>
    <xdr:pic>
      <xdr:nvPicPr>
        <xdr:cNvPr id="13" name="Picture 8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78550" y="4381500"/>
          <a:ext cx="100965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104775</xdr:colOff>
      <xdr:row>27</xdr:row>
      <xdr:rowOff>152400</xdr:rowOff>
    </xdr:from>
    <xdr:to>
      <xdr:col>33</xdr:col>
      <xdr:colOff>76200</xdr:colOff>
      <xdr:row>29</xdr:row>
      <xdr:rowOff>161925</xdr:rowOff>
    </xdr:to>
    <xdr:pic>
      <xdr:nvPicPr>
        <xdr:cNvPr id="15" name="Picture 9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69025" y="5295900"/>
          <a:ext cx="10001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114300</xdr:colOff>
      <xdr:row>31</xdr:row>
      <xdr:rowOff>180975</xdr:rowOff>
    </xdr:from>
    <xdr:to>
      <xdr:col>34</xdr:col>
      <xdr:colOff>371475</xdr:colOff>
      <xdr:row>35</xdr:row>
      <xdr:rowOff>95250</xdr:rowOff>
    </xdr:to>
    <xdr:pic>
      <xdr:nvPicPr>
        <xdr:cNvPr id="16" name="Picture 1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78550" y="6086475"/>
          <a:ext cx="180022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104775</xdr:colOff>
      <xdr:row>37</xdr:row>
      <xdr:rowOff>123825</xdr:rowOff>
    </xdr:from>
    <xdr:to>
      <xdr:col>33</xdr:col>
      <xdr:colOff>428625</xdr:colOff>
      <xdr:row>40</xdr:row>
      <xdr:rowOff>28575</xdr:rowOff>
    </xdr:to>
    <xdr:pic>
      <xdr:nvPicPr>
        <xdr:cNvPr id="18" name="Picture 1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69025" y="7162800"/>
          <a:ext cx="135255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133350</xdr:colOff>
      <xdr:row>42</xdr:row>
      <xdr:rowOff>47625</xdr:rowOff>
    </xdr:from>
    <xdr:to>
      <xdr:col>33</xdr:col>
      <xdr:colOff>28575</xdr:colOff>
      <xdr:row>44</xdr:row>
      <xdr:rowOff>66675</xdr:rowOff>
    </xdr:to>
    <xdr:pic>
      <xdr:nvPicPr>
        <xdr:cNvPr id="20" name="Picture 14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8039100"/>
          <a:ext cx="9239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171450</xdr:colOff>
      <xdr:row>34</xdr:row>
      <xdr:rowOff>161925</xdr:rowOff>
    </xdr:from>
    <xdr:ext cx="1333500" cy="2622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9 CuadroTexto">
              <a:extLst>
                <a:ext uri="{FF2B5EF4-FFF2-40B4-BE49-F238E27FC236}">
                  <a16:creationId xmlns:a16="http://schemas.microsoft.com/office/drawing/2014/main" id="{00000000-0008-0000-0E00-000005000000}"/>
                </a:ext>
              </a:extLst>
            </xdr:cNvPr>
            <xdr:cNvSpPr txBox="1"/>
          </xdr:nvSpPr>
          <xdr:spPr>
            <a:xfrm>
              <a:off x="6334125" y="6638925"/>
              <a:ext cx="1333500" cy="2622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PE" sz="1050" b="0" i="1">
                        <a:latin typeface="Cambria Math" panose="02040503050406030204" pitchFamily="18" charset="0"/>
                        <a:ea typeface="Cambria Math"/>
                      </a:rPr>
                      <m:t>𝑃𝑀𝑃</m:t>
                    </m:r>
                    <m:r>
                      <a:rPr lang="es-PE" sz="1050" b="0" i="1">
                        <a:latin typeface="Cambria Math"/>
                        <a:ea typeface="Cambria Math"/>
                      </a:rPr>
                      <m:t>=</m:t>
                    </m:r>
                    <m:r>
                      <a:rPr lang="es-PE" sz="1050" b="0" i="1">
                        <a:latin typeface="Cambria Math" panose="02040503050406030204" pitchFamily="18" charset="0"/>
                        <a:ea typeface="Cambria Math"/>
                      </a:rPr>
                      <m:t>𝑋</m:t>
                    </m:r>
                    <m:r>
                      <a:rPr lang="es-PE" sz="1050" b="0" i="1">
                        <a:latin typeface="Cambria Math" panose="02040503050406030204" pitchFamily="18" charset="0"/>
                        <a:ea typeface="Cambria Math"/>
                      </a:rPr>
                      <m:t>+</m:t>
                    </m:r>
                    <m:d>
                      <m:dPr>
                        <m:ctrlPr>
                          <a:rPr lang="es-PE" sz="105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PE" sz="105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s-PE" sz="105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𝐾</m:t>
                            </m:r>
                          </m:e>
                          <m:sub>
                            <m:r>
                              <a:rPr lang="es-PE" sz="1050" b="0" i="1">
                                <a:latin typeface="Cambria Math" panose="02040503050406030204" pitchFamily="18" charset="0"/>
                                <a:ea typeface="Cambria Math"/>
                              </a:rPr>
                              <m:t>𝑚</m:t>
                            </m:r>
                          </m:sub>
                        </m:sSub>
                      </m:e>
                    </m:d>
                    <m:r>
                      <a:rPr lang="es-PE" sz="1050" b="0" i="1">
                        <a:latin typeface="Cambria Math" panose="02040503050406030204" pitchFamily="18" charset="0"/>
                        <a:ea typeface="Cambria Math"/>
                      </a:rPr>
                      <m:t> </m:t>
                    </m:r>
                    <m:r>
                      <a:rPr lang="es-PE" sz="1050" b="0" i="1">
                        <a:latin typeface="Cambria Math" panose="02040503050406030204" pitchFamily="18" charset="0"/>
                        <a:ea typeface="Cambria Math"/>
                      </a:rPr>
                      <m:t>𝑆</m:t>
                    </m:r>
                  </m:oMath>
                </m:oMathPara>
              </a14:m>
              <a:endParaRPr lang="es-PE" sz="105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5" name="9 CuadroTexto"/>
            <xdr:cNvSpPr txBox="1"/>
          </xdr:nvSpPr>
          <xdr:spPr>
            <a:xfrm>
              <a:off x="6334125" y="6638925"/>
              <a:ext cx="1333500" cy="2622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/>
              <a:r>
                <a:rPr lang="es-PE" sz="1050" b="0" i="0">
                  <a:latin typeface="Cambria Math" panose="02040503050406030204" pitchFamily="18" charset="0"/>
                  <a:ea typeface="Cambria Math"/>
                </a:rPr>
                <a:t>𝑃𝑀𝑃</a:t>
              </a:r>
              <a:r>
                <a:rPr lang="es-PE" sz="1050" b="0" i="0">
                  <a:latin typeface="Cambria Math"/>
                  <a:ea typeface="Cambria Math"/>
                </a:rPr>
                <a:t>=</a:t>
              </a:r>
              <a:r>
                <a:rPr lang="es-PE" sz="1050" b="0" i="0">
                  <a:latin typeface="Cambria Math" panose="02040503050406030204" pitchFamily="18" charset="0"/>
                  <a:ea typeface="Cambria Math"/>
                </a:rPr>
                <a:t>𝑋+</a:t>
              </a:r>
              <a:r>
                <a:rPr lang="es-PE" sz="1050" b="0" i="0">
                  <a:latin typeface="Cambria Math"/>
                  <a:ea typeface="Cambria Math"/>
                </a:rPr>
                <a:t>(</a:t>
              </a:r>
              <a:r>
                <a:rPr lang="es-PE" sz="1050" b="0" i="0">
                  <a:latin typeface="Cambria Math" panose="02040503050406030204" pitchFamily="18" charset="0"/>
                  <a:ea typeface="Cambria Math"/>
                </a:rPr>
                <a:t>𝐾</a:t>
              </a:r>
              <a:r>
                <a:rPr lang="es-PE" sz="1050" b="0" i="0">
                  <a:latin typeface="Cambria Math"/>
                  <a:ea typeface="Cambria Math"/>
                </a:rPr>
                <a:t>_</a:t>
              </a:r>
              <a:r>
                <a:rPr lang="es-PE" sz="1050" b="0" i="0">
                  <a:latin typeface="Cambria Math" panose="02040503050406030204" pitchFamily="18" charset="0"/>
                  <a:ea typeface="Cambria Math"/>
                </a:rPr>
                <a:t>𝑚</a:t>
              </a:r>
              <a:r>
                <a:rPr lang="es-PE" sz="1050" b="0" i="0">
                  <a:latin typeface="Cambria Math"/>
                  <a:ea typeface="Cambria Math"/>
                </a:rPr>
                <a:t> )</a:t>
              </a:r>
              <a:r>
                <a:rPr lang="es-PE" sz="1050" b="0" i="0">
                  <a:latin typeface="Cambria Math" panose="02040503050406030204" pitchFamily="18" charset="0"/>
                  <a:ea typeface="Cambria Math"/>
                </a:rPr>
                <a:t>  𝑆</a:t>
              </a:r>
              <a:endParaRPr lang="es-PE" sz="105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oneCellAnchor>
  <xdr:twoCellAnchor editAs="oneCell">
    <xdr:from>
      <xdr:col>4</xdr:col>
      <xdr:colOff>377623</xdr:colOff>
      <xdr:row>12</xdr:row>
      <xdr:rowOff>12886</xdr:rowOff>
    </xdr:from>
    <xdr:to>
      <xdr:col>10</xdr:col>
      <xdr:colOff>480172</xdr:colOff>
      <xdr:row>31</xdr:row>
      <xdr:rowOff>179716</xdr:rowOff>
    </xdr:to>
    <xdr:pic>
      <xdr:nvPicPr>
        <xdr:cNvPr id="6" name="Imagen 1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9398" y="2298886"/>
          <a:ext cx="5188899" cy="3786330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4</xdr:col>
      <xdr:colOff>381000</xdr:colOff>
      <xdr:row>41</xdr:row>
      <xdr:rowOff>19050</xdr:rowOff>
    </xdr:from>
    <xdr:to>
      <xdr:col>10</xdr:col>
      <xdr:colOff>485775</xdr:colOff>
      <xdr:row>59</xdr:row>
      <xdr:rowOff>68919</xdr:rowOff>
    </xdr:to>
    <xdr:pic>
      <xdr:nvPicPr>
        <xdr:cNvPr id="7" name="Imagen 1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52775" y="7829550"/>
          <a:ext cx="5191125" cy="3478869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0b30485db68da2e9/MK_Proyectos/13_Chancay/02_GABINETE/02_JOSEPH/AN&#193;LISIS%20ESTAD&#205;STICO-EXCEL/ESTACI&#211;N%20REFERENCIA/Hidrologia_Pmax24h_Buena%20Vista-1992-2017_vf_con%201mm.xlsm" TargetMode="External"/><Relationship Id="rId1" Type="http://schemas.openxmlformats.org/officeDocument/2006/relationships/externalLinkPath" Target="ESTACI&#211;N%20REFERENCIA/Hidrologia_Pmax24h_Buena%20Vista-1992-2017_vf_con%201m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CV"/>
      <sheetName val="P24h_real"/>
      <sheetName val="Años"/>
      <sheetName val="SK_1"/>
      <sheetName val="RESUMEN SK_1"/>
      <sheetName val="P24h_1"/>
      <sheetName val="IDF_1"/>
      <sheetName val="Pefect_1"/>
      <sheetName val="HUS_1"/>
      <sheetName val="CN"/>
      <sheetName val="Cuadros"/>
      <sheetName val="Tr"/>
      <sheetName val="Creager"/>
      <sheetName val="Qracional"/>
      <sheetName val="PMP"/>
      <sheetName val="Hoja1"/>
      <sheetName val="Hoja2"/>
    </sheetNames>
    <sheetDataSet>
      <sheetData sheetId="0"/>
      <sheetData sheetId="1"/>
      <sheetData sheetId="2"/>
      <sheetData sheetId="3">
        <row r="60">
          <cell r="F60" t="str">
            <v/>
          </cell>
          <cell r="G60" t="str">
            <v/>
          </cell>
          <cell r="N60" t="str">
            <v/>
          </cell>
          <cell r="O60" t="str">
            <v/>
          </cell>
          <cell r="V60" t="str">
            <v/>
          </cell>
          <cell r="W60" t="str">
            <v/>
          </cell>
          <cell r="AC60" t="str">
            <v/>
          </cell>
          <cell r="AD60" t="str">
            <v/>
          </cell>
          <cell r="AL60" t="str">
            <v/>
          </cell>
          <cell r="AM60" t="str">
            <v/>
          </cell>
          <cell r="AT60" t="str">
            <v/>
          </cell>
          <cell r="AU60" t="str">
            <v/>
          </cell>
        </row>
        <row r="61">
          <cell r="F61" t="str">
            <v/>
          </cell>
          <cell r="G61" t="str">
            <v/>
          </cell>
          <cell r="N61" t="str">
            <v/>
          </cell>
          <cell r="O61" t="str">
            <v/>
          </cell>
          <cell r="V61" t="str">
            <v/>
          </cell>
          <cell r="W61" t="str">
            <v/>
          </cell>
          <cell r="AC61" t="str">
            <v/>
          </cell>
          <cell r="AD61" t="str">
            <v/>
          </cell>
          <cell r="AL61" t="str">
            <v/>
          </cell>
          <cell r="AM61" t="str">
            <v/>
          </cell>
          <cell r="AT61" t="str">
            <v/>
          </cell>
          <cell r="AU61" t="str">
            <v/>
          </cell>
        </row>
        <row r="62">
          <cell r="F62" t="str">
            <v/>
          </cell>
          <cell r="G62" t="str">
            <v/>
          </cell>
          <cell r="N62" t="str">
            <v/>
          </cell>
          <cell r="O62" t="str">
            <v/>
          </cell>
          <cell r="V62" t="str">
            <v/>
          </cell>
          <cell r="W62" t="str">
            <v/>
          </cell>
          <cell r="AC62" t="str">
            <v/>
          </cell>
          <cell r="AD62" t="str">
            <v/>
          </cell>
          <cell r="AL62" t="str">
            <v/>
          </cell>
          <cell r="AM62" t="str">
            <v/>
          </cell>
          <cell r="AT62" t="str">
            <v/>
          </cell>
          <cell r="AU62" t="str">
            <v/>
          </cell>
        </row>
        <row r="63">
          <cell r="F63" t="str">
            <v/>
          </cell>
          <cell r="G63" t="str">
            <v/>
          </cell>
          <cell r="N63" t="str">
            <v/>
          </cell>
          <cell r="O63" t="str">
            <v/>
          </cell>
          <cell r="V63" t="str">
            <v/>
          </cell>
          <cell r="W63" t="str">
            <v/>
          </cell>
          <cell r="AC63" t="str">
            <v/>
          </cell>
          <cell r="AD63" t="str">
            <v/>
          </cell>
          <cell r="AL63" t="str">
            <v/>
          </cell>
          <cell r="AM63" t="str">
            <v/>
          </cell>
          <cell r="AT63" t="str">
            <v/>
          </cell>
          <cell r="AU63" t="str">
            <v/>
          </cell>
        </row>
        <row r="64">
          <cell r="E64" t="str">
            <v/>
          </cell>
          <cell r="F64" t="str">
            <v/>
          </cell>
          <cell r="G64" t="str">
            <v/>
          </cell>
          <cell r="N64" t="str">
            <v/>
          </cell>
          <cell r="O64" t="str">
            <v/>
          </cell>
          <cell r="V64" t="str">
            <v/>
          </cell>
          <cell r="W64" t="str">
            <v/>
          </cell>
          <cell r="AC64" t="str">
            <v/>
          </cell>
          <cell r="AD64" t="str">
            <v/>
          </cell>
          <cell r="AL64" t="str">
            <v/>
          </cell>
          <cell r="AM64" t="str">
            <v/>
          </cell>
          <cell r="AT64" t="str">
            <v/>
          </cell>
          <cell r="AU64" t="str">
            <v/>
          </cell>
        </row>
        <row r="65">
          <cell r="E65" t="str">
            <v/>
          </cell>
          <cell r="F65" t="str">
            <v/>
          </cell>
          <cell r="G65" t="str">
            <v/>
          </cell>
          <cell r="N65" t="str">
            <v/>
          </cell>
          <cell r="O65" t="str">
            <v/>
          </cell>
          <cell r="V65" t="str">
            <v/>
          </cell>
          <cell r="W65" t="str">
            <v/>
          </cell>
          <cell r="AC65" t="str">
            <v/>
          </cell>
          <cell r="AD65" t="str">
            <v/>
          </cell>
          <cell r="AL65" t="str">
            <v/>
          </cell>
          <cell r="AM65" t="str">
            <v/>
          </cell>
          <cell r="AT65" t="str">
            <v/>
          </cell>
          <cell r="AU65" t="str">
            <v/>
          </cell>
        </row>
        <row r="66">
          <cell r="E66" t="str">
            <v/>
          </cell>
          <cell r="F66" t="str">
            <v/>
          </cell>
          <cell r="G66" t="str">
            <v/>
          </cell>
          <cell r="N66" t="str">
            <v/>
          </cell>
          <cell r="O66" t="str">
            <v/>
          </cell>
          <cell r="V66" t="str">
            <v/>
          </cell>
          <cell r="W66" t="str">
            <v/>
          </cell>
          <cell r="AC66" t="str">
            <v/>
          </cell>
          <cell r="AD66" t="str">
            <v/>
          </cell>
          <cell r="AL66" t="str">
            <v/>
          </cell>
          <cell r="AM66" t="str">
            <v/>
          </cell>
          <cell r="AT66" t="str">
            <v/>
          </cell>
          <cell r="AU66" t="str">
            <v/>
          </cell>
        </row>
        <row r="67">
          <cell r="E67" t="str">
            <v/>
          </cell>
          <cell r="F67" t="str">
            <v/>
          </cell>
          <cell r="G67" t="str">
            <v/>
          </cell>
          <cell r="N67" t="str">
            <v/>
          </cell>
          <cell r="O67" t="str">
            <v/>
          </cell>
          <cell r="V67" t="str">
            <v/>
          </cell>
          <cell r="W67" t="str">
            <v/>
          </cell>
          <cell r="AC67" t="str">
            <v/>
          </cell>
          <cell r="AD67" t="str">
            <v/>
          </cell>
          <cell r="AL67" t="str">
            <v/>
          </cell>
          <cell r="AM67" t="str">
            <v/>
          </cell>
          <cell r="AT67" t="str">
            <v/>
          </cell>
          <cell r="AU67" t="str">
            <v/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6">
    <tabColor rgb="FF7030A0"/>
  </sheetPr>
  <dimension ref="A1:BL723"/>
  <sheetViews>
    <sheetView showGridLines="0" view="pageBreakPreview" zoomScale="70" zoomScaleNormal="70" zoomScaleSheetLayoutView="70" zoomScalePageLayoutView="80" workbookViewId="0">
      <selection activeCell="D8" sqref="D8:P60"/>
    </sheetView>
  </sheetViews>
  <sheetFormatPr baseColWidth="10" defaultColWidth="11.44140625" defaultRowHeight="14.4" x14ac:dyDescent="0.3"/>
  <cols>
    <col min="1" max="3" width="8.6640625" customWidth="1"/>
    <col min="4" max="4" width="17.88671875" customWidth="1"/>
    <col min="5" max="16" width="10.6640625" customWidth="1"/>
    <col min="17" max="31" width="11.6640625" customWidth="1"/>
    <col min="36" max="36" width="13.44140625" style="18" bestFit="1" customWidth="1"/>
    <col min="40" max="40" width="10.6640625" customWidth="1"/>
  </cols>
  <sheetData>
    <row r="1" spans="2:64" x14ac:dyDescent="0.3">
      <c r="D1" s="533" t="s">
        <v>796</v>
      </c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 t="s">
        <v>472</v>
      </c>
      <c r="S1" s="533"/>
      <c r="T1" s="533"/>
      <c r="U1" s="533"/>
      <c r="V1" s="533"/>
      <c r="W1" s="533"/>
      <c r="X1" s="533"/>
      <c r="Y1" s="533"/>
      <c r="Z1" s="533"/>
      <c r="AA1" s="533"/>
      <c r="AB1" s="533"/>
      <c r="AC1" s="533"/>
      <c r="AD1" s="533"/>
      <c r="AE1" s="533"/>
      <c r="AI1" s="232">
        <f>D8</f>
        <v>1969</v>
      </c>
      <c r="AJ1" s="354">
        <f t="shared" ref="AJ1:AJ32" si="0">IFERROR(VLOOKUP(AI1,Matriz1,2,FALSE),"")</f>
        <v>21.9</v>
      </c>
      <c r="AK1" s="233" t="s">
        <v>473</v>
      </c>
      <c r="AN1" s="363">
        <v>24108</v>
      </c>
      <c r="AO1" s="367">
        <f>AN1</f>
        <v>24108</v>
      </c>
      <c r="AQ1" s="363">
        <v>23377</v>
      </c>
      <c r="AR1">
        <v>23377</v>
      </c>
    </row>
    <row r="2" spans="2:64" ht="13.5" customHeight="1" x14ac:dyDescent="0.3">
      <c r="AI2" s="234">
        <f>AI1+1</f>
        <v>1970</v>
      </c>
      <c r="AJ2" s="355">
        <f t="shared" si="0"/>
        <v>23.200000000000003</v>
      </c>
      <c r="AK2" s="233" t="s">
        <v>474</v>
      </c>
      <c r="AN2" s="363">
        <v>24139</v>
      </c>
      <c r="AQ2" s="363">
        <v>45748</v>
      </c>
      <c r="AR2">
        <v>45748</v>
      </c>
    </row>
    <row r="3" spans="2:64" ht="17.25" customHeight="1" x14ac:dyDescent="0.3">
      <c r="B3" s="235"/>
      <c r="D3" s="31" t="s">
        <v>475</v>
      </c>
      <c r="E3" s="540" t="s">
        <v>795</v>
      </c>
      <c r="F3" s="540"/>
      <c r="G3" s="540"/>
      <c r="I3" s="70" t="s">
        <v>476</v>
      </c>
      <c r="J3" s="538" t="s">
        <v>903</v>
      </c>
      <c r="K3" s="538"/>
      <c r="M3" s="70" t="s">
        <v>477</v>
      </c>
      <c r="N3" s="237" t="s">
        <v>478</v>
      </c>
      <c r="O3" s="242" t="s">
        <v>907</v>
      </c>
      <c r="R3" s="368" t="s">
        <v>475</v>
      </c>
      <c r="S3" s="238" t="str">
        <f>E3</f>
        <v>Precipitación máx. de 24 horas (mm)</v>
      </c>
      <c r="W3" s="70" t="s">
        <v>476</v>
      </c>
      <c r="X3" s="538" t="str">
        <f>J3</f>
        <v>YANTAC</v>
      </c>
      <c r="Y3" s="538"/>
      <c r="AA3" s="70" t="s">
        <v>477</v>
      </c>
      <c r="AB3" s="237" t="s">
        <v>478</v>
      </c>
      <c r="AC3" s="242" t="str">
        <f>O3</f>
        <v>11° 20' S</v>
      </c>
      <c r="AI3" s="234">
        <f t="shared" ref="AI3:AI66" si="1">AI2+1</f>
        <v>1971</v>
      </c>
      <c r="AJ3" s="355">
        <f t="shared" si="0"/>
        <v>25</v>
      </c>
      <c r="AK3" s="233" t="s">
        <v>479</v>
      </c>
      <c r="AN3" s="363">
        <v>24167</v>
      </c>
    </row>
    <row r="4" spans="2:64" x14ac:dyDescent="0.3">
      <c r="E4" s="540"/>
      <c r="F4" s="540"/>
      <c r="G4" s="540"/>
      <c r="I4" s="237" t="s">
        <v>481</v>
      </c>
      <c r="J4" s="538" t="s">
        <v>904</v>
      </c>
      <c r="K4" s="538"/>
      <c r="M4" s="31"/>
      <c r="N4" s="237" t="s">
        <v>482</v>
      </c>
      <c r="O4" s="242" t="s">
        <v>908</v>
      </c>
      <c r="R4" s="31" t="s">
        <v>480</v>
      </c>
      <c r="S4" s="240">
        <f>E5</f>
        <v>53</v>
      </c>
      <c r="T4" s="241" t="s">
        <v>354</v>
      </c>
      <c r="W4" s="237" t="s">
        <v>481</v>
      </c>
      <c r="X4" s="538" t="str">
        <f>J4</f>
        <v>Junin</v>
      </c>
      <c r="Y4" s="538"/>
      <c r="AA4" s="31"/>
      <c r="AB4" s="237" t="s">
        <v>482</v>
      </c>
      <c r="AC4" s="242" t="str">
        <f>O4</f>
        <v>76° 24' W</v>
      </c>
      <c r="AI4" s="234">
        <f t="shared" si="1"/>
        <v>1972</v>
      </c>
      <c r="AJ4" s="355">
        <f t="shared" si="0"/>
        <v>19.7</v>
      </c>
      <c r="AK4" s="233" t="s">
        <v>735</v>
      </c>
      <c r="AN4" s="363">
        <v>24198</v>
      </c>
    </row>
    <row r="5" spans="2:64" x14ac:dyDescent="0.3">
      <c r="D5" s="31" t="s">
        <v>843</v>
      </c>
      <c r="E5" s="240">
        <f>COUNT(D8:D70)</f>
        <v>53</v>
      </c>
      <c r="F5" s="241" t="s">
        <v>354</v>
      </c>
      <c r="I5" s="237" t="s">
        <v>483</v>
      </c>
      <c r="J5" s="538" t="s">
        <v>905</v>
      </c>
      <c r="K5" s="538"/>
      <c r="M5" s="31"/>
      <c r="N5" s="237" t="s">
        <v>484</v>
      </c>
      <c r="O5" s="366">
        <v>4600</v>
      </c>
      <c r="P5" s="241" t="s">
        <v>251</v>
      </c>
      <c r="R5" s="31"/>
      <c r="W5" s="237" t="s">
        <v>483</v>
      </c>
      <c r="X5" s="538" t="str">
        <f>J5</f>
        <v>Yauli</v>
      </c>
      <c r="Y5" s="538"/>
      <c r="AA5" s="31"/>
      <c r="AB5" s="237" t="s">
        <v>484</v>
      </c>
      <c r="AC5" s="366">
        <f>O5</f>
        <v>4600</v>
      </c>
      <c r="AD5" s="241" t="s">
        <v>251</v>
      </c>
      <c r="AI5" s="234">
        <f t="shared" si="1"/>
        <v>1973</v>
      </c>
      <c r="AJ5" s="355">
        <f t="shared" si="0"/>
        <v>27.5</v>
      </c>
      <c r="AK5" s="233" t="s">
        <v>736</v>
      </c>
      <c r="AN5" s="363">
        <v>24228</v>
      </c>
      <c r="BL5" s="242"/>
    </row>
    <row r="6" spans="2:64" ht="15" thickBot="1" x14ac:dyDescent="0.35">
      <c r="I6" s="237" t="s">
        <v>485</v>
      </c>
      <c r="J6" s="538" t="s">
        <v>906</v>
      </c>
      <c r="K6" s="538"/>
      <c r="W6" s="237" t="s">
        <v>485</v>
      </c>
      <c r="X6" s="538" t="str">
        <f>J6</f>
        <v>Marcapomacocha</v>
      </c>
      <c r="Y6" s="538"/>
      <c r="AI6" s="234">
        <f t="shared" si="1"/>
        <v>1974</v>
      </c>
      <c r="AJ6" s="355">
        <f t="shared" si="0"/>
        <v>35</v>
      </c>
      <c r="AK6" s="233" t="s">
        <v>737</v>
      </c>
      <c r="AN6" s="363">
        <v>24259</v>
      </c>
      <c r="BL6" s="242"/>
    </row>
    <row r="7" spans="2:64" x14ac:dyDescent="0.3">
      <c r="D7" s="261" t="s">
        <v>486</v>
      </c>
      <c r="E7" s="365" t="s">
        <v>487</v>
      </c>
      <c r="F7" s="262" t="s">
        <v>488</v>
      </c>
      <c r="G7" s="262" t="s">
        <v>489</v>
      </c>
      <c r="H7" s="262" t="s">
        <v>490</v>
      </c>
      <c r="I7" s="262" t="s">
        <v>491</v>
      </c>
      <c r="J7" s="262" t="s">
        <v>492</v>
      </c>
      <c r="K7" s="365" t="s">
        <v>493</v>
      </c>
      <c r="L7" s="262" t="s">
        <v>494</v>
      </c>
      <c r="M7" s="262" t="s">
        <v>495</v>
      </c>
      <c r="N7" s="262" t="s">
        <v>496</v>
      </c>
      <c r="O7" s="262" t="s">
        <v>497</v>
      </c>
      <c r="P7" s="262" t="s">
        <v>498</v>
      </c>
      <c r="Q7" s="263" t="s">
        <v>499</v>
      </c>
      <c r="AI7" s="234">
        <f t="shared" si="1"/>
        <v>1975</v>
      </c>
      <c r="AJ7" s="355">
        <f t="shared" si="0"/>
        <v>33.400000000000006</v>
      </c>
      <c r="AN7" s="363">
        <v>24289</v>
      </c>
      <c r="BL7" s="242"/>
    </row>
    <row r="8" spans="2:64" ht="17.399999999999999" x14ac:dyDescent="0.3">
      <c r="D8" s="460">
        <v>1969</v>
      </c>
      <c r="E8" s="503">
        <v>13.9</v>
      </c>
      <c r="F8" s="503">
        <v>21.9</v>
      </c>
      <c r="G8" s="503">
        <v>12.7</v>
      </c>
      <c r="H8" s="503">
        <v>21.5</v>
      </c>
      <c r="I8" s="503">
        <v>12</v>
      </c>
      <c r="J8" s="503">
        <v>5.5</v>
      </c>
      <c r="K8" s="503">
        <v>13.6</v>
      </c>
      <c r="L8" s="503">
        <v>12.3</v>
      </c>
      <c r="M8" s="503">
        <v>17.3</v>
      </c>
      <c r="N8" s="503">
        <v>21.9</v>
      </c>
      <c r="O8" s="503">
        <v>13</v>
      </c>
      <c r="P8" s="503"/>
      <c r="Q8" s="504">
        <f>IF(D8="","",MAX(E8:P8))</f>
        <v>21.9</v>
      </c>
      <c r="AG8" s="244">
        <f>IF(D8="","",D8)</f>
        <v>1969</v>
      </c>
      <c r="AH8" s="245">
        <f>IF(Q8="","",Q8)</f>
        <v>21.9</v>
      </c>
      <c r="AI8" s="234">
        <f t="shared" si="1"/>
        <v>1976</v>
      </c>
      <c r="AJ8" s="355">
        <f t="shared" si="0"/>
        <v>28.5</v>
      </c>
      <c r="AN8" s="363">
        <v>24320</v>
      </c>
    </row>
    <row r="9" spans="2:64" ht="17.399999999999999" x14ac:dyDescent="0.3">
      <c r="D9" s="460">
        <v>1970</v>
      </c>
      <c r="E9" s="503">
        <v>21.9</v>
      </c>
      <c r="F9" s="503">
        <v>17.600000000000001</v>
      </c>
      <c r="G9" s="503">
        <v>14</v>
      </c>
      <c r="H9" s="503">
        <v>18.600000000000001</v>
      </c>
      <c r="I9" s="503">
        <v>7.4</v>
      </c>
      <c r="J9" s="503">
        <v>8</v>
      </c>
      <c r="K9" s="503">
        <v>3.6</v>
      </c>
      <c r="L9" s="503">
        <v>2.2000000000000002</v>
      </c>
      <c r="M9" s="503">
        <v>10.7</v>
      </c>
      <c r="N9" s="503">
        <v>9.6999999999999993</v>
      </c>
      <c r="O9" s="503">
        <v>8.2000000000000011</v>
      </c>
      <c r="P9" s="503">
        <v>23.200000000000003</v>
      </c>
      <c r="Q9" s="504">
        <f t="shared" ref="Q9:Q24" si="2">IF(D9="","",MAX(E9:P9))</f>
        <v>23.200000000000003</v>
      </c>
      <c r="AG9" s="244">
        <f t="shared" ref="AG9:AG11" si="3">IF(D9="","",D9)</f>
        <v>1970</v>
      </c>
      <c r="AH9" s="245">
        <f t="shared" ref="AH9:AH67" si="4">IF(Q9="","",Q9)</f>
        <v>23.200000000000003</v>
      </c>
      <c r="AI9" s="234">
        <f t="shared" si="1"/>
        <v>1977</v>
      </c>
      <c r="AJ9" s="355">
        <f t="shared" si="0"/>
        <v>15.1</v>
      </c>
      <c r="AN9" s="363">
        <v>24351</v>
      </c>
    </row>
    <row r="10" spans="2:64" ht="18" thickBot="1" x14ac:dyDescent="0.35">
      <c r="D10" s="460">
        <v>1971</v>
      </c>
      <c r="E10" s="503">
        <v>11.9</v>
      </c>
      <c r="F10" s="503">
        <v>25</v>
      </c>
      <c r="G10" s="503">
        <v>21.099999999999998</v>
      </c>
      <c r="H10" s="503">
        <v>9.5</v>
      </c>
      <c r="I10" s="503">
        <v>3</v>
      </c>
      <c r="J10" s="503">
        <v>1</v>
      </c>
      <c r="K10" s="503">
        <v>2.9</v>
      </c>
      <c r="L10" s="503">
        <v>1.7</v>
      </c>
      <c r="M10" s="503">
        <v>7.4</v>
      </c>
      <c r="N10" s="503">
        <v>21.2</v>
      </c>
      <c r="O10" s="503">
        <v>10.9</v>
      </c>
      <c r="P10" s="503">
        <v>17.600000000000001</v>
      </c>
      <c r="Q10" s="504">
        <f t="shared" si="2"/>
        <v>25</v>
      </c>
      <c r="AG10" s="244">
        <f t="shared" si="3"/>
        <v>1971</v>
      </c>
      <c r="AH10" s="245">
        <f t="shared" si="4"/>
        <v>25</v>
      </c>
      <c r="AI10" s="234">
        <f t="shared" si="1"/>
        <v>1978</v>
      </c>
      <c r="AJ10" s="355">
        <f t="shared" si="0"/>
        <v>27</v>
      </c>
      <c r="AN10" s="363">
        <v>24381</v>
      </c>
    </row>
    <row r="11" spans="2:64" ht="18" thickBot="1" x14ac:dyDescent="0.35">
      <c r="D11" s="460">
        <v>1972</v>
      </c>
      <c r="E11" s="503">
        <v>16.5</v>
      </c>
      <c r="F11" s="503">
        <v>19.7</v>
      </c>
      <c r="G11" s="503">
        <v>19.099999999999998</v>
      </c>
      <c r="H11" s="503">
        <v>12.8</v>
      </c>
      <c r="I11" s="503">
        <v>2</v>
      </c>
      <c r="J11" s="503">
        <v>14</v>
      </c>
      <c r="K11" s="503">
        <v>19</v>
      </c>
      <c r="L11" s="503">
        <v>2.9000000000000004</v>
      </c>
      <c r="M11" s="503">
        <v>13.7</v>
      </c>
      <c r="N11" s="503">
        <v>8.4</v>
      </c>
      <c r="O11" s="503">
        <v>16.100000000000001</v>
      </c>
      <c r="P11" s="503">
        <v>16.7</v>
      </c>
      <c r="Q11" s="504">
        <f t="shared" si="2"/>
        <v>19.7</v>
      </c>
      <c r="R11" s="443"/>
      <c r="AG11" s="244">
        <f t="shared" si="3"/>
        <v>1972</v>
      </c>
      <c r="AH11" s="245">
        <f t="shared" si="4"/>
        <v>19.7</v>
      </c>
      <c r="AI11" s="234">
        <f t="shared" si="1"/>
        <v>1979</v>
      </c>
      <c r="AJ11" s="355">
        <f t="shared" si="0"/>
        <v>23.1</v>
      </c>
      <c r="AN11" s="363">
        <v>24412</v>
      </c>
    </row>
    <row r="12" spans="2:64" ht="17.399999999999999" x14ac:dyDescent="0.3">
      <c r="D12" s="460">
        <v>1973</v>
      </c>
      <c r="E12" s="503">
        <v>27.5</v>
      </c>
      <c r="F12" s="503">
        <v>17.7</v>
      </c>
      <c r="G12" s="503">
        <v>15.299999999999999</v>
      </c>
      <c r="H12" s="503">
        <v>10.6</v>
      </c>
      <c r="I12" s="503">
        <v>14.8</v>
      </c>
      <c r="J12" s="503">
        <v>10.1</v>
      </c>
      <c r="K12" s="503">
        <v>6.1</v>
      </c>
      <c r="L12" s="503">
        <v>6.3000000000000007</v>
      </c>
      <c r="M12" s="503">
        <v>19.600000000000001</v>
      </c>
      <c r="N12" s="503">
        <v>13.2</v>
      </c>
      <c r="O12" s="503">
        <v>8.1</v>
      </c>
      <c r="P12" s="503">
        <v>16.700000000000003</v>
      </c>
      <c r="Q12" s="504">
        <f t="shared" si="2"/>
        <v>27.5</v>
      </c>
      <c r="AG12" s="244">
        <f t="shared" ref="AG12:AG24" si="5">IF(D12="","",D12)</f>
        <v>1973</v>
      </c>
      <c r="AH12" s="245">
        <f t="shared" ref="AH12:AH55" si="6">IF(Q12="","",Q12)</f>
        <v>27.5</v>
      </c>
      <c r="AI12" s="234">
        <f t="shared" si="1"/>
        <v>1980</v>
      </c>
      <c r="AJ12" s="355">
        <f t="shared" si="0"/>
        <v>25.2</v>
      </c>
      <c r="AN12" s="363">
        <v>24442</v>
      </c>
    </row>
    <row r="13" spans="2:64" ht="17.399999999999999" x14ac:dyDescent="0.3">
      <c r="D13" s="460">
        <v>1974</v>
      </c>
      <c r="E13" s="503">
        <v>15</v>
      </c>
      <c r="F13" s="503">
        <v>35</v>
      </c>
      <c r="G13" s="503">
        <v>15.100000000000001</v>
      </c>
      <c r="H13" s="503">
        <v>12.9</v>
      </c>
      <c r="I13" s="503">
        <v>1.1000000000000001</v>
      </c>
      <c r="J13" s="503">
        <v>1.8</v>
      </c>
      <c r="K13" s="503">
        <v>2.5</v>
      </c>
      <c r="L13" s="503">
        <v>17.399999999999999</v>
      </c>
      <c r="M13" s="503">
        <v>11.399999999999999</v>
      </c>
      <c r="N13" s="503">
        <v>4.5</v>
      </c>
      <c r="O13" s="503">
        <v>5.2</v>
      </c>
      <c r="P13" s="503">
        <v>8</v>
      </c>
      <c r="Q13" s="504">
        <f t="shared" si="2"/>
        <v>35</v>
      </c>
      <c r="AG13" s="244">
        <f t="shared" si="5"/>
        <v>1974</v>
      </c>
      <c r="AH13" s="245">
        <f t="shared" si="6"/>
        <v>35</v>
      </c>
      <c r="AI13" s="234">
        <f t="shared" si="1"/>
        <v>1981</v>
      </c>
      <c r="AJ13" s="355">
        <f t="shared" si="0"/>
        <v>31.4</v>
      </c>
      <c r="AN13" s="363">
        <v>24473</v>
      </c>
    </row>
    <row r="14" spans="2:64" ht="17.399999999999999" x14ac:dyDescent="0.3">
      <c r="D14" s="460">
        <v>1975</v>
      </c>
      <c r="E14" s="503">
        <v>15.399999999999999</v>
      </c>
      <c r="F14" s="503">
        <v>29.400000000000002</v>
      </c>
      <c r="G14" s="503">
        <v>20</v>
      </c>
      <c r="H14" s="503">
        <v>13.9</v>
      </c>
      <c r="I14" s="503">
        <v>29.9</v>
      </c>
      <c r="J14" s="503">
        <v>18.899999999999999</v>
      </c>
      <c r="K14" s="503">
        <v>0</v>
      </c>
      <c r="L14" s="503">
        <v>15.5</v>
      </c>
      <c r="M14" s="503">
        <v>10.899999999999999</v>
      </c>
      <c r="N14" s="503">
        <v>17.100000000000001</v>
      </c>
      <c r="O14" s="503">
        <v>21.2</v>
      </c>
      <c r="P14" s="503">
        <v>33.400000000000006</v>
      </c>
      <c r="Q14" s="504">
        <f t="shared" si="2"/>
        <v>33.400000000000006</v>
      </c>
      <c r="AG14" s="244">
        <f t="shared" si="5"/>
        <v>1975</v>
      </c>
      <c r="AH14" s="245">
        <f t="shared" si="6"/>
        <v>33.400000000000006</v>
      </c>
      <c r="AI14" s="234">
        <f t="shared" si="1"/>
        <v>1982</v>
      </c>
      <c r="AJ14" s="355">
        <f t="shared" si="0"/>
        <v>12.3</v>
      </c>
      <c r="AN14" s="363">
        <v>24504</v>
      </c>
    </row>
    <row r="15" spans="2:64" ht="17.399999999999999" x14ac:dyDescent="0.3">
      <c r="D15" s="460">
        <v>1976</v>
      </c>
      <c r="E15" s="503">
        <v>28</v>
      </c>
      <c r="F15" s="503">
        <v>23.2</v>
      </c>
      <c r="G15" s="503">
        <v>23.5</v>
      </c>
      <c r="H15" s="503">
        <v>28.5</v>
      </c>
      <c r="I15" s="503">
        <v>10.6</v>
      </c>
      <c r="J15" s="503">
        <v>4.2</v>
      </c>
      <c r="K15" s="503">
        <v>5.8</v>
      </c>
      <c r="L15" s="503">
        <v>3.6</v>
      </c>
      <c r="M15" s="503">
        <v>10.1</v>
      </c>
      <c r="N15" s="503">
        <v>7.3999999999999995</v>
      </c>
      <c r="O15" s="503">
        <v>7</v>
      </c>
      <c r="P15" s="503">
        <v>11.2</v>
      </c>
      <c r="Q15" s="504">
        <f t="shared" si="2"/>
        <v>28.5</v>
      </c>
      <c r="AG15" s="244">
        <f t="shared" si="5"/>
        <v>1976</v>
      </c>
      <c r="AH15" s="245">
        <f t="shared" si="6"/>
        <v>28.5</v>
      </c>
      <c r="AI15" s="234">
        <f t="shared" si="1"/>
        <v>1983</v>
      </c>
      <c r="AJ15" s="355">
        <f t="shared" si="0"/>
        <v>15.3</v>
      </c>
      <c r="AN15" s="363">
        <v>24532</v>
      </c>
    </row>
    <row r="16" spans="2:64" ht="17.399999999999999" x14ac:dyDescent="0.3">
      <c r="D16" s="460">
        <v>1977</v>
      </c>
      <c r="E16" s="503">
        <v>13.4</v>
      </c>
      <c r="F16" s="503">
        <v>13</v>
      </c>
      <c r="G16" s="503">
        <v>8.6</v>
      </c>
      <c r="H16" s="503">
        <v>14.1</v>
      </c>
      <c r="I16" s="503">
        <v>10.199999999999999</v>
      </c>
      <c r="J16" s="503">
        <v>0</v>
      </c>
      <c r="K16" s="503">
        <v>2.0999999999999996</v>
      </c>
      <c r="L16" s="503">
        <v>0.7</v>
      </c>
      <c r="M16" s="503">
        <v>7.3000000000000007</v>
      </c>
      <c r="N16" s="503">
        <v>13.600000000000001</v>
      </c>
      <c r="O16" s="503">
        <v>15.1</v>
      </c>
      <c r="P16" s="503">
        <v>11.7</v>
      </c>
      <c r="Q16" s="504">
        <f t="shared" si="2"/>
        <v>15.1</v>
      </c>
      <c r="AG16" s="244">
        <f t="shared" si="5"/>
        <v>1977</v>
      </c>
      <c r="AH16" s="245">
        <f t="shared" si="6"/>
        <v>15.1</v>
      </c>
      <c r="AI16" s="234">
        <f t="shared" si="1"/>
        <v>1984</v>
      </c>
      <c r="AJ16" s="355">
        <f t="shared" si="0"/>
        <v>16.7</v>
      </c>
      <c r="AN16" s="363">
        <v>24563</v>
      </c>
    </row>
    <row r="17" spans="1:40" ht="17.399999999999999" x14ac:dyDescent="0.3">
      <c r="D17" s="460">
        <v>1978</v>
      </c>
      <c r="E17" s="503">
        <v>18.399999999999999</v>
      </c>
      <c r="F17" s="503">
        <v>17.899999999999999</v>
      </c>
      <c r="G17" s="503">
        <v>15</v>
      </c>
      <c r="H17" s="503">
        <v>4.7</v>
      </c>
      <c r="I17" s="503">
        <v>2</v>
      </c>
      <c r="J17" s="503">
        <v>8.5</v>
      </c>
      <c r="K17" s="503">
        <v>9</v>
      </c>
      <c r="L17" s="503">
        <v>27</v>
      </c>
      <c r="M17" s="503">
        <v>15.799999999999999</v>
      </c>
      <c r="N17" s="503">
        <v>9.3999999999999986</v>
      </c>
      <c r="O17" s="503">
        <v>14.5</v>
      </c>
      <c r="P17" s="503">
        <v>16.3</v>
      </c>
      <c r="Q17" s="504">
        <f t="shared" si="2"/>
        <v>27</v>
      </c>
      <c r="AG17" s="244">
        <f t="shared" si="5"/>
        <v>1978</v>
      </c>
      <c r="AH17" s="245">
        <f t="shared" si="6"/>
        <v>27</v>
      </c>
      <c r="AI17" s="234">
        <f t="shared" si="1"/>
        <v>1985</v>
      </c>
      <c r="AJ17" s="355">
        <f t="shared" si="0"/>
        <v>10</v>
      </c>
      <c r="AN17" s="363">
        <v>24593</v>
      </c>
    </row>
    <row r="18" spans="1:40" ht="17.399999999999999" x14ac:dyDescent="0.3">
      <c r="D18" s="460">
        <v>1979</v>
      </c>
      <c r="E18" s="503">
        <v>11.5</v>
      </c>
      <c r="F18" s="503">
        <v>19</v>
      </c>
      <c r="G18" s="503">
        <v>23.1</v>
      </c>
      <c r="H18" s="503">
        <v>8.5</v>
      </c>
      <c r="I18" s="503">
        <v>9.6999999999999993</v>
      </c>
      <c r="J18" s="503">
        <v>2.8</v>
      </c>
      <c r="K18" s="503">
        <v>8.9</v>
      </c>
      <c r="L18" s="503">
        <v>5</v>
      </c>
      <c r="M18" s="503">
        <v>9</v>
      </c>
      <c r="N18" s="503">
        <v>2.9000000000000004</v>
      </c>
      <c r="O18" s="503">
        <v>10.3</v>
      </c>
      <c r="P18" s="503">
        <v>8.4</v>
      </c>
      <c r="Q18" s="504">
        <f t="shared" si="2"/>
        <v>23.1</v>
      </c>
      <c r="AG18" s="244">
        <f t="shared" si="5"/>
        <v>1979</v>
      </c>
      <c r="AH18" s="245">
        <f t="shared" si="6"/>
        <v>23.1</v>
      </c>
      <c r="AI18" s="234">
        <f t="shared" si="1"/>
        <v>1986</v>
      </c>
      <c r="AJ18" s="355">
        <f t="shared" si="0"/>
        <v>12.399999999999999</v>
      </c>
      <c r="AN18" s="363">
        <v>24624</v>
      </c>
    </row>
    <row r="19" spans="1:40" ht="17.399999999999999" x14ac:dyDescent="0.3">
      <c r="D19" s="460">
        <v>1980</v>
      </c>
      <c r="E19" s="503">
        <v>10.7</v>
      </c>
      <c r="F19" s="503">
        <v>12.2</v>
      </c>
      <c r="G19" s="503">
        <v>25.2</v>
      </c>
      <c r="H19" s="503">
        <v>6.3000000000000007</v>
      </c>
      <c r="I19" s="503">
        <v>10</v>
      </c>
      <c r="J19" s="503">
        <v>2.7</v>
      </c>
      <c r="K19" s="503">
        <v>5.9</v>
      </c>
      <c r="L19" s="503">
        <v>2.2000000000000002</v>
      </c>
      <c r="M19" s="503">
        <v>9.6999999999999993</v>
      </c>
      <c r="N19" s="503">
        <v>14.5</v>
      </c>
      <c r="O19" s="503">
        <v>11.4</v>
      </c>
      <c r="P19" s="503">
        <v>10.600000000000001</v>
      </c>
      <c r="Q19" s="504">
        <f t="shared" si="2"/>
        <v>25.2</v>
      </c>
      <c r="AG19" s="244">
        <f t="shared" si="5"/>
        <v>1980</v>
      </c>
      <c r="AH19" s="245">
        <f t="shared" si="6"/>
        <v>25.2</v>
      </c>
      <c r="AI19" s="234">
        <f t="shared" si="1"/>
        <v>1987</v>
      </c>
      <c r="AJ19" s="355">
        <f t="shared" si="0"/>
        <v>10.7</v>
      </c>
      <c r="AN19" s="363">
        <v>24654</v>
      </c>
    </row>
    <row r="20" spans="1:40" ht="17.399999999999999" x14ac:dyDescent="0.3">
      <c r="D20" s="460">
        <v>1981</v>
      </c>
      <c r="E20" s="503">
        <v>31.4</v>
      </c>
      <c r="F20" s="503">
        <v>18.5</v>
      </c>
      <c r="G20" s="503">
        <v>18</v>
      </c>
      <c r="H20" s="503">
        <v>16.2</v>
      </c>
      <c r="I20" s="503">
        <v>3.9</v>
      </c>
      <c r="J20" s="503">
        <v>4.3000000000000007</v>
      </c>
      <c r="K20" s="503">
        <v>1.6</v>
      </c>
      <c r="L20" s="503">
        <v>5.5</v>
      </c>
      <c r="M20" s="503">
        <v>8</v>
      </c>
      <c r="N20" s="503">
        <v>5.8</v>
      </c>
      <c r="O20" s="503">
        <v>6.7</v>
      </c>
      <c r="P20" s="503"/>
      <c r="Q20" s="504">
        <f t="shared" si="2"/>
        <v>31.4</v>
      </c>
      <c r="AG20" s="244">
        <f t="shared" si="5"/>
        <v>1981</v>
      </c>
      <c r="AH20" s="245">
        <f t="shared" si="6"/>
        <v>31.4</v>
      </c>
      <c r="AI20" s="234">
        <f t="shared" si="1"/>
        <v>1988</v>
      </c>
      <c r="AJ20" s="355">
        <f t="shared" si="0"/>
        <v>13.5</v>
      </c>
      <c r="AN20" s="363">
        <v>24685</v>
      </c>
    </row>
    <row r="21" spans="1:40" ht="17.399999999999999" x14ac:dyDescent="0.3">
      <c r="D21" s="460">
        <v>1982</v>
      </c>
      <c r="E21" s="503">
        <v>8.8000000000000007</v>
      </c>
      <c r="F21" s="503">
        <v>12.3</v>
      </c>
      <c r="G21" s="503">
        <v>9</v>
      </c>
      <c r="H21" s="503">
        <v>8.1</v>
      </c>
      <c r="I21" s="503">
        <v>1.7999999999999998</v>
      </c>
      <c r="J21" s="503">
        <v>0.4</v>
      </c>
      <c r="K21" s="503">
        <v>5.7</v>
      </c>
      <c r="L21" s="503">
        <v>6.1</v>
      </c>
      <c r="M21" s="503">
        <v>7.1</v>
      </c>
      <c r="N21" s="503">
        <v>8.6999999999999993</v>
      </c>
      <c r="O21" s="503">
        <v>11.100000000000001</v>
      </c>
      <c r="P21" s="503">
        <v>10.600000000000001</v>
      </c>
      <c r="Q21" s="504">
        <f t="shared" si="2"/>
        <v>12.3</v>
      </c>
      <c r="AG21" s="244">
        <f t="shared" si="5"/>
        <v>1982</v>
      </c>
      <c r="AH21" s="245">
        <f t="shared" si="6"/>
        <v>12.3</v>
      </c>
      <c r="AI21" s="234">
        <f t="shared" si="1"/>
        <v>1989</v>
      </c>
      <c r="AJ21" s="355">
        <f t="shared" si="0"/>
        <v>9.9</v>
      </c>
      <c r="AN21" s="363">
        <v>24716</v>
      </c>
    </row>
    <row r="22" spans="1:40" ht="17.399999999999999" x14ac:dyDescent="0.3">
      <c r="D22" s="460">
        <v>1983</v>
      </c>
      <c r="E22" s="503">
        <v>11.1</v>
      </c>
      <c r="F22" s="503">
        <v>10.199999999999999</v>
      </c>
      <c r="G22" s="503">
        <v>15.3</v>
      </c>
      <c r="H22" s="503">
        <v>6</v>
      </c>
      <c r="I22" s="503">
        <v>4.7</v>
      </c>
      <c r="J22" s="503">
        <v>8.5</v>
      </c>
      <c r="K22" s="503">
        <v>0</v>
      </c>
      <c r="L22" s="503">
        <v>1.4</v>
      </c>
      <c r="M22" s="503">
        <v>4</v>
      </c>
      <c r="N22" s="503">
        <v>5.1999999999999993</v>
      </c>
      <c r="O22" s="503">
        <v>9.1999999999999993</v>
      </c>
      <c r="P22" s="503">
        <v>13.100000000000001</v>
      </c>
      <c r="Q22" s="504">
        <f t="shared" si="2"/>
        <v>15.3</v>
      </c>
      <c r="AG22" s="244">
        <f t="shared" si="5"/>
        <v>1983</v>
      </c>
      <c r="AH22" s="245">
        <f t="shared" si="6"/>
        <v>15.3</v>
      </c>
      <c r="AI22" s="234">
        <f t="shared" si="1"/>
        <v>1990</v>
      </c>
      <c r="AJ22" s="355">
        <f t="shared" si="0"/>
        <v>27.2</v>
      </c>
      <c r="AN22" s="363">
        <v>24746</v>
      </c>
    </row>
    <row r="23" spans="1:40" ht="17.399999999999999" x14ac:dyDescent="0.3">
      <c r="A23" s="246"/>
      <c r="B23" s="191"/>
      <c r="C23" s="246"/>
      <c r="D23" s="460">
        <v>1984</v>
      </c>
      <c r="E23" s="503">
        <v>11.2</v>
      </c>
      <c r="F23" s="503">
        <v>16.7</v>
      </c>
      <c r="G23" s="503">
        <v>16.5</v>
      </c>
      <c r="H23" s="503">
        <v>8.6999999999999993</v>
      </c>
      <c r="I23" s="503">
        <v>3.9</v>
      </c>
      <c r="J23" s="503">
        <v>2.1</v>
      </c>
      <c r="K23" s="503">
        <v>1.2</v>
      </c>
      <c r="L23" s="503">
        <v>3.5</v>
      </c>
      <c r="M23" s="503">
        <v>5.9</v>
      </c>
      <c r="N23" s="503">
        <v>4.9000000000000004</v>
      </c>
      <c r="O23" s="503">
        <v>6.5</v>
      </c>
      <c r="P23" s="503">
        <v>3.9</v>
      </c>
      <c r="Q23" s="504">
        <f t="shared" si="2"/>
        <v>16.7</v>
      </c>
      <c r="AG23" s="244">
        <f t="shared" si="5"/>
        <v>1984</v>
      </c>
      <c r="AH23" s="245">
        <f t="shared" si="6"/>
        <v>16.7</v>
      </c>
      <c r="AI23" s="234">
        <f t="shared" si="1"/>
        <v>1991</v>
      </c>
      <c r="AJ23" s="355">
        <f t="shared" si="0"/>
        <v>10.8</v>
      </c>
      <c r="AN23" s="363">
        <v>24777</v>
      </c>
    </row>
    <row r="24" spans="1:40" ht="17.399999999999999" x14ac:dyDescent="0.3">
      <c r="A24" s="191"/>
      <c r="B24" s="191"/>
      <c r="C24" s="191"/>
      <c r="D24" s="460">
        <v>1985</v>
      </c>
      <c r="E24" s="503">
        <v>6.8</v>
      </c>
      <c r="F24" s="503">
        <v>9.8000000000000007</v>
      </c>
      <c r="G24" s="503">
        <v>7.8000000000000007</v>
      </c>
      <c r="H24" s="503">
        <v>9.5</v>
      </c>
      <c r="I24" s="503">
        <v>10</v>
      </c>
      <c r="J24" s="503">
        <v>4.5999999999999996</v>
      </c>
      <c r="K24" s="503">
        <v>1.5</v>
      </c>
      <c r="L24" s="503">
        <v>2.5</v>
      </c>
      <c r="M24" s="503">
        <v>6.6</v>
      </c>
      <c r="N24" s="503">
        <v>0</v>
      </c>
      <c r="O24" s="503">
        <v>8</v>
      </c>
      <c r="P24" s="503">
        <v>6.2</v>
      </c>
      <c r="Q24" s="504">
        <f t="shared" si="2"/>
        <v>10</v>
      </c>
      <c r="AG24" s="244">
        <f t="shared" si="5"/>
        <v>1985</v>
      </c>
      <c r="AH24" s="245">
        <f t="shared" si="6"/>
        <v>10</v>
      </c>
      <c r="AI24" s="234">
        <f t="shared" si="1"/>
        <v>1992</v>
      </c>
      <c r="AJ24" s="355">
        <f t="shared" si="0"/>
        <v>10.100000000000001</v>
      </c>
      <c r="AN24" s="363">
        <v>24807</v>
      </c>
    </row>
    <row r="25" spans="1:40" ht="17.399999999999999" x14ac:dyDescent="0.3">
      <c r="A25" s="191"/>
      <c r="B25" s="246"/>
      <c r="C25" s="191"/>
      <c r="D25" s="460">
        <v>1986</v>
      </c>
      <c r="E25" s="503">
        <v>7.5</v>
      </c>
      <c r="F25" s="503">
        <v>8.5</v>
      </c>
      <c r="G25" s="503">
        <v>10.5</v>
      </c>
      <c r="H25" s="503">
        <v>9.6000000000000014</v>
      </c>
      <c r="I25" s="503">
        <v>12.399999999999999</v>
      </c>
      <c r="J25" s="503">
        <v>0</v>
      </c>
      <c r="K25" s="503">
        <v>6.3999999999999995</v>
      </c>
      <c r="L25" s="503">
        <v>4.3000000000000007</v>
      </c>
      <c r="M25" s="503">
        <v>3.1</v>
      </c>
      <c r="N25" s="503">
        <v>5.7</v>
      </c>
      <c r="O25" s="503">
        <v>7.3</v>
      </c>
      <c r="P25" s="503">
        <v>10.100000000000001</v>
      </c>
      <c r="Q25" s="504">
        <f t="shared" ref="Q25:Q69" si="7">IF(D25="","",MAX(E25:P25))</f>
        <v>12.399999999999999</v>
      </c>
      <c r="AG25" s="244">
        <f t="shared" ref="AG25:AG68" si="8">IF(D25="","",D25)</f>
        <v>1986</v>
      </c>
      <c r="AH25" s="245">
        <f t="shared" si="6"/>
        <v>12.399999999999999</v>
      </c>
      <c r="AI25" s="234">
        <f t="shared" si="1"/>
        <v>1993</v>
      </c>
      <c r="AJ25" s="355">
        <f t="shared" si="0"/>
        <v>15.2</v>
      </c>
      <c r="AN25" s="363">
        <v>24838</v>
      </c>
    </row>
    <row r="26" spans="1:40" ht="17.399999999999999" x14ac:dyDescent="0.3">
      <c r="A26" s="191"/>
      <c r="B26" s="191"/>
      <c r="C26" s="191"/>
      <c r="D26" s="460">
        <v>1987</v>
      </c>
      <c r="E26" s="503">
        <v>10.5</v>
      </c>
      <c r="F26" s="503">
        <v>10.7</v>
      </c>
      <c r="G26" s="503">
        <v>5.6</v>
      </c>
      <c r="H26" s="503">
        <v>3.6</v>
      </c>
      <c r="I26" s="503">
        <v>2.4</v>
      </c>
      <c r="J26" s="503">
        <v>1.3</v>
      </c>
      <c r="K26" s="503">
        <v>3.9</v>
      </c>
      <c r="L26" s="503">
        <v>5.0999999999999996</v>
      </c>
      <c r="M26" s="503">
        <v>7.1</v>
      </c>
      <c r="N26" s="503">
        <v>3.9</v>
      </c>
      <c r="O26" s="503">
        <v>4.5</v>
      </c>
      <c r="P26" s="503">
        <v>5.5</v>
      </c>
      <c r="Q26" s="504">
        <f t="shared" si="7"/>
        <v>10.7</v>
      </c>
      <c r="AG26" s="244">
        <f t="shared" si="8"/>
        <v>1987</v>
      </c>
      <c r="AH26" s="245">
        <f t="shared" si="6"/>
        <v>10.7</v>
      </c>
      <c r="AI26" s="234">
        <f t="shared" si="1"/>
        <v>1994</v>
      </c>
      <c r="AJ26" s="355">
        <f t="shared" si="0"/>
        <v>18</v>
      </c>
      <c r="AN26" s="363">
        <v>24869</v>
      </c>
    </row>
    <row r="27" spans="1:40" ht="17.399999999999999" x14ac:dyDescent="0.3">
      <c r="A27" s="191"/>
      <c r="B27" s="191"/>
      <c r="C27" s="191"/>
      <c r="D27" s="460">
        <v>1988</v>
      </c>
      <c r="E27" s="503">
        <v>9.3000000000000007</v>
      </c>
      <c r="F27" s="503">
        <v>13.5</v>
      </c>
      <c r="G27" s="503">
        <v>7.1</v>
      </c>
      <c r="H27" s="503">
        <v>8.5</v>
      </c>
      <c r="I27" s="503">
        <v>3.3000000000000003</v>
      </c>
      <c r="J27" s="503">
        <v>0</v>
      </c>
      <c r="K27" s="503">
        <v>0.4</v>
      </c>
      <c r="L27" s="503">
        <v>1.4000000000000001</v>
      </c>
      <c r="M27" s="503">
        <v>1.7</v>
      </c>
      <c r="N27" s="503">
        <v>6.5</v>
      </c>
      <c r="O27" s="503">
        <v>5.9</v>
      </c>
      <c r="P27" s="503">
        <v>8.8000000000000007</v>
      </c>
      <c r="Q27" s="504">
        <f t="shared" si="7"/>
        <v>13.5</v>
      </c>
      <c r="AG27" s="244">
        <f t="shared" si="8"/>
        <v>1988</v>
      </c>
      <c r="AH27" s="245">
        <f t="shared" si="6"/>
        <v>13.5</v>
      </c>
      <c r="AI27" s="234">
        <f t="shared" si="1"/>
        <v>1995</v>
      </c>
      <c r="AJ27" s="355">
        <f t="shared" si="0"/>
        <v>19.7</v>
      </c>
      <c r="AN27" s="363">
        <v>24898</v>
      </c>
    </row>
    <row r="28" spans="1:40" ht="17.399999999999999" x14ac:dyDescent="0.3">
      <c r="A28" s="191"/>
      <c r="B28" s="247"/>
      <c r="C28" s="191"/>
      <c r="D28" s="460">
        <v>1989</v>
      </c>
      <c r="E28" s="503">
        <v>7.3999999999999995</v>
      </c>
      <c r="F28" s="503">
        <v>9.3000000000000007</v>
      </c>
      <c r="G28" s="503">
        <v>9.9</v>
      </c>
      <c r="H28" s="503">
        <v>5.6</v>
      </c>
      <c r="I28" s="503">
        <v>5.3000000000000007</v>
      </c>
      <c r="J28" s="503">
        <v>5.5</v>
      </c>
      <c r="K28" s="503">
        <v>7.1</v>
      </c>
      <c r="L28" s="503">
        <v>6</v>
      </c>
      <c r="M28" s="503">
        <v>6.1</v>
      </c>
      <c r="N28" s="503">
        <v>9.8999999999999986</v>
      </c>
      <c r="O28" s="503">
        <v>6.8</v>
      </c>
      <c r="P28" s="503">
        <v>8.1999999999999993</v>
      </c>
      <c r="Q28" s="504">
        <f t="shared" si="7"/>
        <v>9.9</v>
      </c>
      <c r="AG28" s="244">
        <f t="shared" si="8"/>
        <v>1989</v>
      </c>
      <c r="AH28" s="245">
        <f t="shared" si="6"/>
        <v>9.9</v>
      </c>
      <c r="AI28" s="234">
        <f t="shared" si="1"/>
        <v>1996</v>
      </c>
      <c r="AJ28" s="355">
        <f t="shared" si="0"/>
        <v>17.7</v>
      </c>
      <c r="AN28" s="363">
        <v>24929</v>
      </c>
    </row>
    <row r="29" spans="1:40" ht="17.399999999999999" x14ac:dyDescent="0.3">
      <c r="D29" s="460">
        <v>1990</v>
      </c>
      <c r="E29" s="503">
        <v>8.8000000000000007</v>
      </c>
      <c r="F29" s="503">
        <v>5.0999999999999996</v>
      </c>
      <c r="G29" s="503">
        <v>12.7</v>
      </c>
      <c r="H29" s="503">
        <v>5.0999999999999996</v>
      </c>
      <c r="I29" s="503">
        <v>9.8999999999999986</v>
      </c>
      <c r="J29" s="503">
        <v>27.2</v>
      </c>
      <c r="K29" s="503">
        <v>2.1</v>
      </c>
      <c r="L29" s="503">
        <v>6.4</v>
      </c>
      <c r="M29" s="503">
        <v>8.1</v>
      </c>
      <c r="N29" s="503">
        <v>10</v>
      </c>
      <c r="O29" s="503">
        <v>8.9</v>
      </c>
      <c r="P29" s="503">
        <v>7.1999999999999993</v>
      </c>
      <c r="Q29" s="504">
        <f t="shared" si="7"/>
        <v>27.2</v>
      </c>
      <c r="AG29" s="244">
        <f t="shared" si="8"/>
        <v>1990</v>
      </c>
      <c r="AH29" s="245">
        <f t="shared" si="6"/>
        <v>27.2</v>
      </c>
      <c r="AI29" s="234">
        <f t="shared" si="1"/>
        <v>1997</v>
      </c>
      <c r="AJ29" s="355">
        <f t="shared" si="0"/>
        <v>26.200000000000003</v>
      </c>
      <c r="AN29" s="363">
        <v>24959</v>
      </c>
    </row>
    <row r="30" spans="1:40" ht="17.399999999999999" x14ac:dyDescent="0.3">
      <c r="D30" s="460">
        <v>1991</v>
      </c>
      <c r="E30" s="503">
        <v>6.3999999999999995</v>
      </c>
      <c r="F30" s="503">
        <v>7.1</v>
      </c>
      <c r="G30" s="503">
        <v>10.3</v>
      </c>
      <c r="H30" s="503">
        <v>6.4</v>
      </c>
      <c r="I30" s="503">
        <v>10.8</v>
      </c>
      <c r="J30" s="503">
        <v>5.5</v>
      </c>
      <c r="K30" s="503">
        <v>5.7</v>
      </c>
      <c r="L30" s="503">
        <v>0.2</v>
      </c>
      <c r="M30" s="503">
        <v>6.6999999999999993</v>
      </c>
      <c r="N30" s="503">
        <v>9</v>
      </c>
      <c r="O30" s="503">
        <v>8</v>
      </c>
      <c r="P30" s="503">
        <v>6</v>
      </c>
      <c r="Q30" s="504">
        <f t="shared" si="7"/>
        <v>10.8</v>
      </c>
      <c r="AG30" s="244">
        <f t="shared" si="8"/>
        <v>1991</v>
      </c>
      <c r="AH30" s="245">
        <f t="shared" si="6"/>
        <v>10.8</v>
      </c>
      <c r="AI30" s="234">
        <f t="shared" si="1"/>
        <v>1998</v>
      </c>
      <c r="AJ30" s="355">
        <f t="shared" si="0"/>
        <v>28.599999999999998</v>
      </c>
      <c r="AN30" s="363">
        <v>24990</v>
      </c>
    </row>
    <row r="31" spans="1:40" ht="17.399999999999999" x14ac:dyDescent="0.3">
      <c r="D31" s="460">
        <v>1992</v>
      </c>
      <c r="E31" s="503">
        <v>6.8000000000000007</v>
      </c>
      <c r="F31" s="503">
        <v>9.6000000000000014</v>
      </c>
      <c r="G31" s="503">
        <v>10.100000000000001</v>
      </c>
      <c r="H31" s="503">
        <v>8.6</v>
      </c>
      <c r="I31" s="503">
        <v>5.5</v>
      </c>
      <c r="J31" s="503">
        <v>3.4</v>
      </c>
      <c r="K31" s="503">
        <v>5.3999999999999995</v>
      </c>
      <c r="L31" s="503">
        <v>4.8</v>
      </c>
      <c r="M31" s="503">
        <v>2.9000000000000004</v>
      </c>
      <c r="N31" s="503">
        <v>8.1</v>
      </c>
      <c r="O31" s="503">
        <v>7.7</v>
      </c>
      <c r="P31" s="503">
        <v>2.4000000000000004</v>
      </c>
      <c r="Q31" s="504">
        <f t="shared" si="7"/>
        <v>10.100000000000001</v>
      </c>
      <c r="AG31" s="244">
        <f t="shared" si="8"/>
        <v>1992</v>
      </c>
      <c r="AH31" s="245">
        <f t="shared" si="6"/>
        <v>10.100000000000001</v>
      </c>
      <c r="AI31" s="234">
        <f t="shared" si="1"/>
        <v>1999</v>
      </c>
      <c r="AJ31" s="355">
        <f t="shared" si="0"/>
        <v>24.9</v>
      </c>
      <c r="AN31" s="363">
        <v>25020</v>
      </c>
    </row>
    <row r="32" spans="1:40" ht="17.399999999999999" x14ac:dyDescent="0.3">
      <c r="D32" s="460">
        <v>1993</v>
      </c>
      <c r="E32" s="503">
        <v>11.2</v>
      </c>
      <c r="F32" s="503">
        <v>9.5</v>
      </c>
      <c r="G32" s="503">
        <v>8.6000000000000014</v>
      </c>
      <c r="H32" s="503">
        <v>7.6999999999999993</v>
      </c>
      <c r="I32" s="503">
        <v>6</v>
      </c>
      <c r="J32" s="503">
        <v>4.0999999999999996</v>
      </c>
      <c r="K32" s="503">
        <v>3.7</v>
      </c>
      <c r="L32" s="503">
        <v>8.3000000000000007</v>
      </c>
      <c r="M32" s="503">
        <v>1.6</v>
      </c>
      <c r="N32" s="503">
        <v>4.5999999999999996</v>
      </c>
      <c r="O32" s="503">
        <v>15.2</v>
      </c>
      <c r="P32" s="503">
        <v>8.1999999999999993</v>
      </c>
      <c r="Q32" s="504">
        <f t="shared" si="7"/>
        <v>15.2</v>
      </c>
      <c r="AG32" s="244">
        <f t="shared" si="8"/>
        <v>1993</v>
      </c>
      <c r="AH32" s="245">
        <f t="shared" si="6"/>
        <v>15.2</v>
      </c>
      <c r="AI32" s="234">
        <f t="shared" si="1"/>
        <v>2000</v>
      </c>
      <c r="AJ32" s="355">
        <f t="shared" si="0"/>
        <v>35.599999999999994</v>
      </c>
      <c r="AN32" s="363">
        <v>25051</v>
      </c>
    </row>
    <row r="33" spans="4:40" ht="17.399999999999999" x14ac:dyDescent="0.3">
      <c r="D33" s="460">
        <v>1994</v>
      </c>
      <c r="E33" s="503">
        <v>10.4</v>
      </c>
      <c r="F33" s="503">
        <v>13.1</v>
      </c>
      <c r="G33" s="503">
        <v>18</v>
      </c>
      <c r="H33" s="503">
        <v>9.8999999999999986</v>
      </c>
      <c r="I33" s="503">
        <v>8</v>
      </c>
      <c r="J33" s="503">
        <v>3.2</v>
      </c>
      <c r="K33" s="503">
        <v>7.8000000000000007</v>
      </c>
      <c r="L33" s="503">
        <v>6</v>
      </c>
      <c r="M33" s="503">
        <v>6</v>
      </c>
      <c r="N33" s="503">
        <v>15.6</v>
      </c>
      <c r="O33" s="503">
        <v>12</v>
      </c>
      <c r="P33" s="503">
        <v>8.3000000000000007</v>
      </c>
      <c r="Q33" s="504">
        <f t="shared" si="7"/>
        <v>18</v>
      </c>
      <c r="AG33" s="244">
        <f t="shared" si="8"/>
        <v>1994</v>
      </c>
      <c r="AH33" s="245">
        <f t="shared" si="6"/>
        <v>18</v>
      </c>
      <c r="AI33" s="234">
        <f t="shared" si="1"/>
        <v>2001</v>
      </c>
      <c r="AJ33" s="355">
        <f t="shared" ref="AJ33:AJ64" si="9">IFERROR(VLOOKUP(AI33,Matriz1,2,FALSE),"")</f>
        <v>28.1</v>
      </c>
      <c r="AN33" s="363">
        <v>25082</v>
      </c>
    </row>
    <row r="34" spans="4:40" ht="17.399999999999999" x14ac:dyDescent="0.3">
      <c r="D34" s="460">
        <v>1995</v>
      </c>
      <c r="E34" s="503">
        <v>10.9</v>
      </c>
      <c r="F34" s="503">
        <v>7.6</v>
      </c>
      <c r="G34" s="503">
        <v>14.1</v>
      </c>
      <c r="H34" s="503">
        <v>5.4</v>
      </c>
      <c r="I34" s="503">
        <v>8.5</v>
      </c>
      <c r="J34" s="503">
        <v>3.5</v>
      </c>
      <c r="K34" s="503">
        <v>3.4</v>
      </c>
      <c r="L34" s="503">
        <v>9.3000000000000007</v>
      </c>
      <c r="M34" s="503">
        <v>8.9</v>
      </c>
      <c r="N34" s="503">
        <v>11.9</v>
      </c>
      <c r="O34" s="503">
        <v>19.7</v>
      </c>
      <c r="P34" s="503">
        <v>12.3</v>
      </c>
      <c r="Q34" s="504">
        <f t="shared" si="7"/>
        <v>19.7</v>
      </c>
      <c r="AF34" s="248">
        <f>CEILING(Q73,5)</f>
        <v>40</v>
      </c>
      <c r="AG34" s="244">
        <f t="shared" si="8"/>
        <v>1995</v>
      </c>
      <c r="AH34" s="245">
        <f t="shared" si="6"/>
        <v>19.7</v>
      </c>
      <c r="AI34" s="234">
        <f t="shared" si="1"/>
        <v>2002</v>
      </c>
      <c r="AJ34" s="355">
        <f t="shared" si="9"/>
        <v>19.5</v>
      </c>
      <c r="AN34" s="363">
        <v>25112</v>
      </c>
    </row>
    <row r="35" spans="4:40" ht="17.399999999999999" x14ac:dyDescent="0.3">
      <c r="D35" s="460">
        <v>1996</v>
      </c>
      <c r="E35" s="503">
        <v>17.7</v>
      </c>
      <c r="F35" s="503">
        <v>16.399999999999999</v>
      </c>
      <c r="G35" s="503">
        <v>17.2</v>
      </c>
      <c r="H35" s="503">
        <v>8.9</v>
      </c>
      <c r="I35" s="503">
        <v>5.0999999999999996</v>
      </c>
      <c r="J35" s="503">
        <v>0.5</v>
      </c>
      <c r="K35" s="503">
        <v>1.1000000000000001</v>
      </c>
      <c r="L35" s="503">
        <v>5.5</v>
      </c>
      <c r="M35" s="503">
        <v>7.6000000000000005</v>
      </c>
      <c r="N35" s="503">
        <v>9.1</v>
      </c>
      <c r="O35" s="503">
        <v>11.5</v>
      </c>
      <c r="P35" s="503">
        <v>15.399999999999999</v>
      </c>
      <c r="Q35" s="504">
        <f t="shared" si="7"/>
        <v>17.7</v>
      </c>
      <c r="AF35" s="249"/>
      <c r="AG35" s="244">
        <f t="shared" si="8"/>
        <v>1996</v>
      </c>
      <c r="AH35" s="245">
        <f t="shared" si="6"/>
        <v>17.7</v>
      </c>
      <c r="AI35" s="234">
        <f t="shared" si="1"/>
        <v>2003</v>
      </c>
      <c r="AJ35" s="355">
        <f t="shared" si="9"/>
        <v>29.299999999999997</v>
      </c>
      <c r="AN35" s="363">
        <v>25143</v>
      </c>
    </row>
    <row r="36" spans="4:40" ht="17.399999999999999" x14ac:dyDescent="0.3">
      <c r="D36" s="460">
        <v>1997</v>
      </c>
      <c r="E36" s="503">
        <v>20.5</v>
      </c>
      <c r="F36" s="503">
        <v>19.399999999999999</v>
      </c>
      <c r="G36" s="503">
        <v>10.200000000000001</v>
      </c>
      <c r="H36" s="503">
        <v>10.100000000000001</v>
      </c>
      <c r="I36" s="503">
        <v>6.2</v>
      </c>
      <c r="J36" s="503">
        <v>0</v>
      </c>
      <c r="K36" s="503">
        <v>6.1</v>
      </c>
      <c r="L36" s="503">
        <v>11.2</v>
      </c>
      <c r="M36" s="503">
        <v>17.799999999999997</v>
      </c>
      <c r="N36" s="503">
        <v>8.3000000000000007</v>
      </c>
      <c r="O36" s="503">
        <v>26.200000000000003</v>
      </c>
      <c r="P36" s="503">
        <v>19</v>
      </c>
      <c r="Q36" s="504">
        <f t="shared" si="7"/>
        <v>26.200000000000003</v>
      </c>
      <c r="AG36" s="244">
        <f t="shared" si="8"/>
        <v>1997</v>
      </c>
      <c r="AH36" s="245">
        <f t="shared" si="6"/>
        <v>26.200000000000003</v>
      </c>
      <c r="AI36" s="234">
        <f t="shared" si="1"/>
        <v>2004</v>
      </c>
      <c r="AJ36" s="355">
        <f t="shared" si="9"/>
        <v>16.5</v>
      </c>
      <c r="AN36" s="363">
        <v>25173</v>
      </c>
    </row>
    <row r="37" spans="4:40" ht="17.399999999999999" x14ac:dyDescent="0.3">
      <c r="D37" s="460">
        <v>1998</v>
      </c>
      <c r="E37" s="503">
        <v>28.599999999999998</v>
      </c>
      <c r="F37" s="503">
        <v>18.299999999999997</v>
      </c>
      <c r="G37" s="503">
        <v>11.8</v>
      </c>
      <c r="H37" s="503">
        <v>7.3999999999999995</v>
      </c>
      <c r="I37" s="503">
        <v>5.3</v>
      </c>
      <c r="J37" s="503">
        <v>10</v>
      </c>
      <c r="K37" s="503">
        <v>0</v>
      </c>
      <c r="L37" s="503">
        <v>12.7</v>
      </c>
      <c r="M37" s="503">
        <v>10.3</v>
      </c>
      <c r="N37" s="503">
        <v>13.9</v>
      </c>
      <c r="O37" s="503">
        <v>9.3000000000000007</v>
      </c>
      <c r="P37" s="503">
        <v>10.399999999999999</v>
      </c>
      <c r="Q37" s="504">
        <f t="shared" si="7"/>
        <v>28.599999999999998</v>
      </c>
      <c r="AG37" s="244">
        <f t="shared" si="8"/>
        <v>1998</v>
      </c>
      <c r="AH37" s="245">
        <f t="shared" si="6"/>
        <v>28.599999999999998</v>
      </c>
      <c r="AI37" s="234">
        <f t="shared" si="1"/>
        <v>2005</v>
      </c>
      <c r="AJ37" s="355">
        <f t="shared" si="9"/>
        <v>12.3</v>
      </c>
      <c r="AN37" s="363">
        <v>25204</v>
      </c>
    </row>
    <row r="38" spans="4:40" ht="17.399999999999999" x14ac:dyDescent="0.3">
      <c r="D38" s="460">
        <v>1999</v>
      </c>
      <c r="E38" s="503">
        <v>12.7</v>
      </c>
      <c r="F38" s="503">
        <v>18</v>
      </c>
      <c r="G38" s="503">
        <v>15.7</v>
      </c>
      <c r="H38" s="503">
        <v>14.8</v>
      </c>
      <c r="I38" s="503">
        <v>8.1000000000000014</v>
      </c>
      <c r="J38" s="503">
        <v>9.4</v>
      </c>
      <c r="K38" s="503">
        <v>9.6999999999999993</v>
      </c>
      <c r="L38" s="503">
        <v>2</v>
      </c>
      <c r="M38" s="503">
        <v>8.8000000000000007</v>
      </c>
      <c r="N38" s="503">
        <v>15.899999999999999</v>
      </c>
      <c r="O38" s="503">
        <v>24.9</v>
      </c>
      <c r="P38" s="503">
        <v>20.2</v>
      </c>
      <c r="Q38" s="504">
        <f t="shared" si="7"/>
        <v>24.9</v>
      </c>
      <c r="AG38" s="244">
        <f t="shared" si="8"/>
        <v>1999</v>
      </c>
      <c r="AH38" s="245">
        <f t="shared" si="6"/>
        <v>24.9</v>
      </c>
      <c r="AI38" s="234">
        <f t="shared" si="1"/>
        <v>2006</v>
      </c>
      <c r="AJ38" s="355">
        <f t="shared" si="9"/>
        <v>31.6</v>
      </c>
      <c r="AN38" s="363">
        <v>25235</v>
      </c>
    </row>
    <row r="39" spans="4:40" ht="17.399999999999999" x14ac:dyDescent="0.3">
      <c r="D39" s="460">
        <v>2000</v>
      </c>
      <c r="E39" s="503">
        <v>35.599999999999994</v>
      </c>
      <c r="F39" s="503">
        <v>23.299999999999997</v>
      </c>
      <c r="G39" s="503">
        <v>24.1</v>
      </c>
      <c r="H39" s="503">
        <v>6.9</v>
      </c>
      <c r="I39" s="503">
        <v>10</v>
      </c>
      <c r="J39" s="503">
        <v>0.7</v>
      </c>
      <c r="K39" s="503">
        <v>4.3999999999999995</v>
      </c>
      <c r="L39" s="503">
        <v>8.6</v>
      </c>
      <c r="M39" s="503">
        <v>18.3</v>
      </c>
      <c r="N39" s="503">
        <v>15.700000000000001</v>
      </c>
      <c r="O39" s="503">
        <v>20.3</v>
      </c>
      <c r="P39" s="503">
        <v>17.899999999999999</v>
      </c>
      <c r="Q39" s="504">
        <f t="shared" si="7"/>
        <v>35.599999999999994</v>
      </c>
      <c r="AG39" s="244">
        <f t="shared" si="8"/>
        <v>2000</v>
      </c>
      <c r="AH39" s="245">
        <f t="shared" si="6"/>
        <v>35.599999999999994</v>
      </c>
      <c r="AI39" s="234">
        <f t="shared" si="1"/>
        <v>2007</v>
      </c>
      <c r="AJ39" s="355">
        <f t="shared" si="9"/>
        <v>14.1</v>
      </c>
      <c r="AN39" s="363">
        <v>25263</v>
      </c>
    </row>
    <row r="40" spans="4:40" ht="17.399999999999999" x14ac:dyDescent="0.3">
      <c r="D40" s="460">
        <v>2001</v>
      </c>
      <c r="E40" s="505">
        <v>19.100000000000001</v>
      </c>
      <c r="F40" s="505">
        <v>28.1</v>
      </c>
      <c r="G40" s="505">
        <v>19.399999999999999</v>
      </c>
      <c r="H40" s="505">
        <v>13.899999999999999</v>
      </c>
      <c r="I40" s="505">
        <v>11.4</v>
      </c>
      <c r="J40" s="505">
        <v>5.0999999999999996</v>
      </c>
      <c r="K40" s="506">
        <v>10.4</v>
      </c>
      <c r="L40" s="505">
        <v>21.5</v>
      </c>
      <c r="M40" s="505">
        <v>8.1</v>
      </c>
      <c r="N40" s="505">
        <v>13.1</v>
      </c>
      <c r="O40" s="505">
        <v>12.799999999999999</v>
      </c>
      <c r="P40" s="505">
        <v>9.4</v>
      </c>
      <c r="Q40" s="504">
        <f t="shared" si="7"/>
        <v>28.1</v>
      </c>
      <c r="AG40" s="244">
        <f t="shared" si="8"/>
        <v>2001</v>
      </c>
      <c r="AH40" s="245">
        <f t="shared" si="6"/>
        <v>28.1</v>
      </c>
      <c r="AI40" s="234">
        <f t="shared" si="1"/>
        <v>2008</v>
      </c>
      <c r="AJ40" s="355">
        <f t="shared" si="9"/>
        <v>17.5</v>
      </c>
      <c r="AN40" s="363">
        <v>25294</v>
      </c>
    </row>
    <row r="41" spans="4:40" ht="17.399999999999999" x14ac:dyDescent="0.3">
      <c r="D41" s="460">
        <v>2002</v>
      </c>
      <c r="E41" s="505">
        <v>16.8</v>
      </c>
      <c r="F41" s="505">
        <v>10.8</v>
      </c>
      <c r="G41" s="505">
        <v>18.8</v>
      </c>
      <c r="H41" s="505">
        <v>10.8</v>
      </c>
      <c r="I41" s="505">
        <v>5.4</v>
      </c>
      <c r="J41" s="505">
        <v>5.2</v>
      </c>
      <c r="K41" s="505">
        <v>7.8000000000000007</v>
      </c>
      <c r="L41" s="505">
        <v>7.1</v>
      </c>
      <c r="M41" s="505">
        <v>11.3</v>
      </c>
      <c r="N41" s="505">
        <v>19.5</v>
      </c>
      <c r="O41" s="505">
        <v>17.7</v>
      </c>
      <c r="P41" s="505">
        <v>12.299999999999999</v>
      </c>
      <c r="Q41" s="504">
        <f t="shared" si="7"/>
        <v>19.5</v>
      </c>
      <c r="AG41" s="244">
        <f t="shared" si="8"/>
        <v>2002</v>
      </c>
      <c r="AH41" s="245">
        <f t="shared" si="6"/>
        <v>19.5</v>
      </c>
      <c r="AI41" s="234">
        <f t="shared" si="1"/>
        <v>2009</v>
      </c>
      <c r="AJ41" s="355">
        <f t="shared" si="9"/>
        <v>25.5</v>
      </c>
      <c r="AN41" s="363">
        <v>25324</v>
      </c>
    </row>
    <row r="42" spans="4:40" ht="17.399999999999999" x14ac:dyDescent="0.3">
      <c r="D42" s="460">
        <v>2003</v>
      </c>
      <c r="E42" s="505">
        <v>13.9</v>
      </c>
      <c r="F42" s="505">
        <v>15.9</v>
      </c>
      <c r="G42" s="505">
        <v>29.299999999999997</v>
      </c>
      <c r="H42" s="505">
        <v>14.700000000000001</v>
      </c>
      <c r="I42" s="505">
        <v>10.8</v>
      </c>
      <c r="J42" s="505">
        <v>4.9000000000000004</v>
      </c>
      <c r="K42" s="505">
        <v>4.5999999999999996</v>
      </c>
      <c r="L42" s="505">
        <v>12</v>
      </c>
      <c r="M42" s="505">
        <v>3.5</v>
      </c>
      <c r="N42" s="505">
        <v>9.6999999999999993</v>
      </c>
      <c r="O42" s="505">
        <v>17.100000000000001</v>
      </c>
      <c r="P42" s="505">
        <v>18.299999999999997</v>
      </c>
      <c r="Q42" s="504">
        <f t="shared" si="7"/>
        <v>29.299999999999997</v>
      </c>
      <c r="AG42" s="244">
        <f t="shared" si="8"/>
        <v>2003</v>
      </c>
      <c r="AH42" s="245">
        <f t="shared" si="6"/>
        <v>29.299999999999997</v>
      </c>
      <c r="AI42" s="234">
        <f t="shared" si="1"/>
        <v>2010</v>
      </c>
      <c r="AJ42" s="355">
        <f t="shared" si="9"/>
        <v>19.100000000000001</v>
      </c>
      <c r="AN42" s="363">
        <v>25355</v>
      </c>
    </row>
    <row r="43" spans="4:40" ht="17.399999999999999" x14ac:dyDescent="0.3">
      <c r="D43" s="460">
        <v>2004</v>
      </c>
      <c r="E43" s="505">
        <v>7.8999999999999995</v>
      </c>
      <c r="F43" s="505">
        <v>13</v>
      </c>
      <c r="G43" s="505">
        <v>14.899999999999999</v>
      </c>
      <c r="H43" s="505">
        <v>4.2</v>
      </c>
      <c r="I43" s="505">
        <v>8</v>
      </c>
      <c r="J43" s="505"/>
      <c r="K43" s="505">
        <v>2.8</v>
      </c>
      <c r="L43" s="505">
        <v>7.3</v>
      </c>
      <c r="M43" s="505">
        <v>12.4</v>
      </c>
      <c r="N43" s="505">
        <v>16.5</v>
      </c>
      <c r="O43" s="505">
        <v>15.5</v>
      </c>
      <c r="P43" s="505">
        <v>12.100000000000001</v>
      </c>
      <c r="Q43" s="504">
        <f t="shared" si="7"/>
        <v>16.5</v>
      </c>
      <c r="AG43" s="244">
        <f t="shared" si="8"/>
        <v>2004</v>
      </c>
      <c r="AH43" s="245">
        <f t="shared" si="6"/>
        <v>16.5</v>
      </c>
      <c r="AI43" s="234">
        <f t="shared" si="1"/>
        <v>2011</v>
      </c>
      <c r="AJ43" s="355">
        <f t="shared" si="9"/>
        <v>15.8</v>
      </c>
      <c r="AN43" s="363">
        <v>25385</v>
      </c>
    </row>
    <row r="44" spans="4:40" ht="17.399999999999999" x14ac:dyDescent="0.3">
      <c r="D44" s="460">
        <v>2005</v>
      </c>
      <c r="E44" s="505">
        <v>7.7</v>
      </c>
      <c r="F44" s="505">
        <v>9.4</v>
      </c>
      <c r="G44" s="505">
        <v>10.7</v>
      </c>
      <c r="H44" s="505">
        <v>7.5</v>
      </c>
      <c r="I44" s="505">
        <v>7.5</v>
      </c>
      <c r="J44" s="505">
        <v>6.1000000000000005</v>
      </c>
      <c r="K44" s="505">
        <v>1.8</v>
      </c>
      <c r="L44" s="505">
        <v>10.899999999999999</v>
      </c>
      <c r="M44" s="505">
        <v>5</v>
      </c>
      <c r="N44" s="505">
        <v>4.8000000000000007</v>
      </c>
      <c r="O44" s="505">
        <v>11.3</v>
      </c>
      <c r="P44" s="505">
        <v>12.3</v>
      </c>
      <c r="Q44" s="504">
        <f t="shared" si="7"/>
        <v>12.3</v>
      </c>
      <c r="AG44" s="244">
        <f t="shared" si="8"/>
        <v>2005</v>
      </c>
      <c r="AH44" s="245">
        <f t="shared" si="6"/>
        <v>12.3</v>
      </c>
      <c r="AI44" s="234">
        <f t="shared" si="1"/>
        <v>2012</v>
      </c>
      <c r="AJ44" s="355">
        <f t="shared" si="9"/>
        <v>9.9</v>
      </c>
      <c r="AN44" s="363">
        <v>25416</v>
      </c>
    </row>
    <row r="45" spans="4:40" ht="17.399999999999999" x14ac:dyDescent="0.3">
      <c r="D45" s="460">
        <v>2006</v>
      </c>
      <c r="E45" s="505">
        <v>18.799999999999997</v>
      </c>
      <c r="F45" s="505">
        <v>13.399999999999999</v>
      </c>
      <c r="G45" s="505">
        <v>31.6</v>
      </c>
      <c r="H45" s="505">
        <v>15.899999999999999</v>
      </c>
      <c r="I45" s="505">
        <v>1.1000000000000001</v>
      </c>
      <c r="J45" s="505">
        <v>5.0999999999999996</v>
      </c>
      <c r="K45" s="505">
        <v>4.2</v>
      </c>
      <c r="L45" s="505">
        <v>11.2</v>
      </c>
      <c r="M45" s="505">
        <v>8.8000000000000007</v>
      </c>
      <c r="N45" s="505">
        <v>16.5</v>
      </c>
      <c r="O45" s="505">
        <v>14.5</v>
      </c>
      <c r="P45" s="505">
        <v>15.5</v>
      </c>
      <c r="Q45" s="504">
        <f t="shared" si="7"/>
        <v>31.6</v>
      </c>
      <c r="AG45" s="244">
        <f t="shared" si="8"/>
        <v>2006</v>
      </c>
      <c r="AH45" s="245">
        <f t="shared" si="6"/>
        <v>31.6</v>
      </c>
      <c r="AI45" s="234">
        <f t="shared" si="1"/>
        <v>2013</v>
      </c>
      <c r="AJ45" s="355">
        <f t="shared" si="9"/>
        <v>10.7</v>
      </c>
      <c r="AN45" s="363">
        <v>25447</v>
      </c>
    </row>
    <row r="46" spans="4:40" ht="17.399999999999999" x14ac:dyDescent="0.3">
      <c r="D46" s="460">
        <v>2007</v>
      </c>
      <c r="E46" s="505">
        <v>12.899999999999999</v>
      </c>
      <c r="F46" s="505">
        <v>10.399999999999999</v>
      </c>
      <c r="G46" s="505">
        <v>11.5</v>
      </c>
      <c r="H46" s="505">
        <v>11</v>
      </c>
      <c r="I46" s="505">
        <v>6.1</v>
      </c>
      <c r="J46" s="505">
        <v>2.7</v>
      </c>
      <c r="K46" s="505">
        <v>2.9000000000000004</v>
      </c>
      <c r="L46" s="505">
        <v>3</v>
      </c>
      <c r="M46" s="505">
        <v>7.6</v>
      </c>
      <c r="N46" s="505">
        <v>14.1</v>
      </c>
      <c r="O46" s="505">
        <v>11.2</v>
      </c>
      <c r="P46" s="505">
        <v>8.1</v>
      </c>
      <c r="Q46" s="504">
        <f t="shared" si="7"/>
        <v>14.1</v>
      </c>
      <c r="AG46" s="244">
        <f t="shared" si="8"/>
        <v>2007</v>
      </c>
      <c r="AH46" s="245">
        <f t="shared" si="6"/>
        <v>14.1</v>
      </c>
      <c r="AI46" s="234">
        <f t="shared" si="1"/>
        <v>2014</v>
      </c>
      <c r="AJ46" s="355">
        <f t="shared" si="9"/>
        <v>12.3</v>
      </c>
      <c r="AN46" s="363">
        <v>25477</v>
      </c>
    </row>
    <row r="47" spans="4:40" ht="17.399999999999999" x14ac:dyDescent="0.3">
      <c r="D47" s="460">
        <v>2008</v>
      </c>
      <c r="E47" s="505">
        <v>17.5</v>
      </c>
      <c r="F47" s="505">
        <v>16.600000000000001</v>
      </c>
      <c r="G47" s="505">
        <v>17.200000000000003</v>
      </c>
      <c r="H47" s="505">
        <v>12.1</v>
      </c>
      <c r="I47" s="505">
        <v>3.7</v>
      </c>
      <c r="J47" s="505">
        <v>10.199999999999999</v>
      </c>
      <c r="K47" s="505">
        <v>8</v>
      </c>
      <c r="L47" s="505">
        <v>3.6</v>
      </c>
      <c r="M47" s="505">
        <v>5.3000000000000007</v>
      </c>
      <c r="N47" s="505">
        <v>14.7</v>
      </c>
      <c r="O47" s="505">
        <v>9.8000000000000007</v>
      </c>
      <c r="P47" s="505">
        <v>9.6999999999999993</v>
      </c>
      <c r="Q47" s="504">
        <f t="shared" si="7"/>
        <v>17.5</v>
      </c>
      <c r="AG47" s="244">
        <f t="shared" si="8"/>
        <v>2008</v>
      </c>
      <c r="AH47" s="245">
        <f t="shared" si="6"/>
        <v>17.5</v>
      </c>
      <c r="AI47" s="234">
        <f t="shared" si="1"/>
        <v>2015</v>
      </c>
      <c r="AJ47" s="355">
        <f t="shared" si="9"/>
        <v>15.7</v>
      </c>
      <c r="AN47" s="363">
        <v>25508</v>
      </c>
    </row>
    <row r="48" spans="4:40" ht="17.399999999999999" x14ac:dyDescent="0.3">
      <c r="D48" s="460">
        <v>2009</v>
      </c>
      <c r="E48" s="505">
        <v>10.3</v>
      </c>
      <c r="F48" s="505">
        <v>13.7</v>
      </c>
      <c r="G48" s="505">
        <v>12.7</v>
      </c>
      <c r="H48" s="505">
        <v>11.9</v>
      </c>
      <c r="I48" s="505">
        <v>9.9</v>
      </c>
      <c r="J48" s="505">
        <v>1.9</v>
      </c>
      <c r="K48" s="505">
        <v>4.2</v>
      </c>
      <c r="L48" s="505">
        <v>6.6999999999999993</v>
      </c>
      <c r="M48" s="505">
        <v>8.3000000000000007</v>
      </c>
      <c r="N48" s="505">
        <v>18.899999999999999</v>
      </c>
      <c r="O48" s="505">
        <v>13</v>
      </c>
      <c r="P48" s="505">
        <v>25.5</v>
      </c>
      <c r="Q48" s="504">
        <f t="shared" si="7"/>
        <v>25.5</v>
      </c>
      <c r="AG48" s="244">
        <f t="shared" si="8"/>
        <v>2009</v>
      </c>
      <c r="AH48" s="245">
        <f t="shared" si="6"/>
        <v>25.5</v>
      </c>
      <c r="AI48" s="234">
        <f t="shared" si="1"/>
        <v>2016</v>
      </c>
      <c r="AJ48" s="355">
        <f t="shared" si="9"/>
        <v>15.3</v>
      </c>
      <c r="AN48" s="363">
        <v>25538</v>
      </c>
    </row>
    <row r="49" spans="4:40" ht="17.399999999999999" x14ac:dyDescent="0.3">
      <c r="D49" s="460">
        <v>2010</v>
      </c>
      <c r="E49" s="505">
        <v>19</v>
      </c>
      <c r="F49" s="505">
        <v>16.600000000000001</v>
      </c>
      <c r="G49" s="505">
        <v>17.2</v>
      </c>
      <c r="H49" s="505">
        <v>19.100000000000001</v>
      </c>
      <c r="I49" s="505">
        <v>2.9000000000000004</v>
      </c>
      <c r="J49" s="505">
        <v>3</v>
      </c>
      <c r="K49" s="505">
        <v>4</v>
      </c>
      <c r="L49" s="505">
        <v>5.9</v>
      </c>
      <c r="M49" s="505">
        <v>6.6</v>
      </c>
      <c r="N49" s="505">
        <v>10.9</v>
      </c>
      <c r="O49" s="505">
        <v>17.5</v>
      </c>
      <c r="P49" s="505">
        <v>12.600000000000001</v>
      </c>
      <c r="Q49" s="504">
        <f t="shared" si="7"/>
        <v>19.100000000000001</v>
      </c>
      <c r="AG49" s="244">
        <f t="shared" si="8"/>
        <v>2010</v>
      </c>
      <c r="AH49" s="245">
        <f t="shared" si="6"/>
        <v>19.100000000000001</v>
      </c>
      <c r="AI49" s="234">
        <f t="shared" si="1"/>
        <v>2017</v>
      </c>
      <c r="AJ49" s="355">
        <f t="shared" si="9"/>
        <v>14.8</v>
      </c>
      <c r="AN49" s="363">
        <v>25569</v>
      </c>
    </row>
    <row r="50" spans="4:40" ht="17.399999999999999" x14ac:dyDescent="0.3">
      <c r="D50" s="460">
        <v>2011</v>
      </c>
      <c r="E50" s="505">
        <v>15.8</v>
      </c>
      <c r="F50" s="505">
        <v>15.7</v>
      </c>
      <c r="G50" s="505">
        <v>15.100000000000001</v>
      </c>
      <c r="H50" s="505">
        <v>8.4</v>
      </c>
      <c r="I50" s="505">
        <v>4.5</v>
      </c>
      <c r="J50" s="505">
        <v>0</v>
      </c>
      <c r="K50" s="505">
        <v>8</v>
      </c>
      <c r="L50" s="505">
        <v>4.4000000000000004</v>
      </c>
      <c r="M50" s="505">
        <v>9</v>
      </c>
      <c r="N50" s="505">
        <v>7.8</v>
      </c>
      <c r="O50" s="505">
        <v>9.3999999999999986</v>
      </c>
      <c r="P50" s="505">
        <v>11.2</v>
      </c>
      <c r="Q50" s="504">
        <f t="shared" si="7"/>
        <v>15.8</v>
      </c>
      <c r="AG50" s="244">
        <f t="shared" si="8"/>
        <v>2011</v>
      </c>
      <c r="AH50" s="245">
        <f t="shared" si="6"/>
        <v>15.8</v>
      </c>
      <c r="AI50" s="234">
        <f t="shared" si="1"/>
        <v>2018</v>
      </c>
      <c r="AJ50" s="355">
        <f t="shared" si="9"/>
        <v>18.8</v>
      </c>
      <c r="AN50" s="363">
        <v>25600</v>
      </c>
    </row>
    <row r="51" spans="4:40" ht="17.399999999999999" x14ac:dyDescent="0.3">
      <c r="D51" s="460">
        <v>2012</v>
      </c>
      <c r="E51" s="505">
        <v>9.3000000000000007</v>
      </c>
      <c r="F51" s="505">
        <v>8.5</v>
      </c>
      <c r="G51" s="505">
        <v>8.3000000000000007</v>
      </c>
      <c r="H51" s="505">
        <v>9.9</v>
      </c>
      <c r="I51" s="505">
        <v>4.0999999999999996</v>
      </c>
      <c r="J51" s="505">
        <v>5.2</v>
      </c>
      <c r="K51" s="505">
        <v>6.4</v>
      </c>
      <c r="L51" s="505">
        <v>0</v>
      </c>
      <c r="M51" s="505">
        <v>9.1999999999999993</v>
      </c>
      <c r="N51" s="505">
        <v>8.1</v>
      </c>
      <c r="O51" s="505">
        <v>6.7</v>
      </c>
      <c r="P51" s="505">
        <v>8.1999999999999993</v>
      </c>
      <c r="Q51" s="504">
        <f t="shared" si="7"/>
        <v>9.9</v>
      </c>
      <c r="AG51" s="244">
        <f t="shared" si="8"/>
        <v>2012</v>
      </c>
      <c r="AH51" s="245">
        <f t="shared" si="6"/>
        <v>9.9</v>
      </c>
      <c r="AI51" s="234">
        <f t="shared" si="1"/>
        <v>2019</v>
      </c>
      <c r="AJ51" s="355">
        <f t="shared" si="9"/>
        <v>11.7</v>
      </c>
      <c r="AN51" s="363">
        <v>25628</v>
      </c>
    </row>
    <row r="52" spans="4:40" ht="17.399999999999999" x14ac:dyDescent="0.3">
      <c r="D52" s="460">
        <v>2013</v>
      </c>
      <c r="E52" s="505">
        <v>10.7</v>
      </c>
      <c r="F52" s="505">
        <v>8.3999999999999986</v>
      </c>
      <c r="G52" s="505">
        <v>9.1</v>
      </c>
      <c r="H52" s="505">
        <v>6</v>
      </c>
      <c r="I52" s="505">
        <v>6.5</v>
      </c>
      <c r="J52" s="505">
        <v>6.2</v>
      </c>
      <c r="K52" s="505">
        <v>6.8999999999999995</v>
      </c>
      <c r="L52" s="505">
        <v>6.1</v>
      </c>
      <c r="M52" s="505">
        <v>6.5</v>
      </c>
      <c r="N52" s="505">
        <v>8.6</v>
      </c>
      <c r="O52" s="505">
        <v>6.1999999999999993</v>
      </c>
      <c r="P52" s="505">
        <v>8.5</v>
      </c>
      <c r="Q52" s="504">
        <f t="shared" si="7"/>
        <v>10.7</v>
      </c>
      <c r="AG52" s="244">
        <f t="shared" si="8"/>
        <v>2013</v>
      </c>
      <c r="AH52" s="245">
        <f t="shared" si="6"/>
        <v>10.7</v>
      </c>
      <c r="AI52" s="234">
        <f t="shared" si="1"/>
        <v>2020</v>
      </c>
      <c r="AJ52" s="355">
        <f t="shared" si="9"/>
        <v>20.9</v>
      </c>
      <c r="AN52" s="363">
        <v>25659</v>
      </c>
    </row>
    <row r="53" spans="4:40" ht="17.399999999999999" x14ac:dyDescent="0.3">
      <c r="D53" s="460">
        <v>2014</v>
      </c>
      <c r="E53" s="505">
        <v>11</v>
      </c>
      <c r="F53" s="505">
        <v>8.5</v>
      </c>
      <c r="G53" s="505">
        <v>8.6000000000000014</v>
      </c>
      <c r="H53" s="505">
        <v>6.1</v>
      </c>
      <c r="I53" s="505">
        <v>8</v>
      </c>
      <c r="J53" s="505">
        <v>2.6</v>
      </c>
      <c r="K53" s="505">
        <v>8.5</v>
      </c>
      <c r="L53" s="505">
        <v>3.6</v>
      </c>
      <c r="M53" s="505">
        <v>10</v>
      </c>
      <c r="N53" s="505">
        <v>12.3</v>
      </c>
      <c r="O53" s="505">
        <v>8.6</v>
      </c>
      <c r="P53" s="505">
        <v>11.1</v>
      </c>
      <c r="Q53" s="504">
        <f t="shared" si="7"/>
        <v>12.3</v>
      </c>
      <c r="AG53" s="244">
        <f t="shared" si="8"/>
        <v>2014</v>
      </c>
      <c r="AH53" s="245">
        <f t="shared" si="6"/>
        <v>12.3</v>
      </c>
      <c r="AI53" s="234">
        <f t="shared" si="1"/>
        <v>2021</v>
      </c>
      <c r="AJ53" s="355" t="str">
        <f t="shared" si="9"/>
        <v/>
      </c>
      <c r="AN53" s="363">
        <v>25689</v>
      </c>
    </row>
    <row r="54" spans="4:40" ht="17.399999999999999" x14ac:dyDescent="0.3">
      <c r="D54" s="460">
        <v>2015</v>
      </c>
      <c r="E54" s="505">
        <v>9.3999999999999986</v>
      </c>
      <c r="F54" s="505">
        <v>9.5</v>
      </c>
      <c r="G54" s="505">
        <v>10.399999999999999</v>
      </c>
      <c r="H54" s="505">
        <v>8.5</v>
      </c>
      <c r="I54" s="505">
        <v>9</v>
      </c>
      <c r="J54" s="505">
        <v>4.5999999999999996</v>
      </c>
      <c r="K54" s="505">
        <v>4.0999999999999996</v>
      </c>
      <c r="L54" s="505">
        <v>8.1999999999999993</v>
      </c>
      <c r="M54" s="505">
        <v>12.2</v>
      </c>
      <c r="N54" s="505">
        <v>11.600000000000001</v>
      </c>
      <c r="O54" s="505">
        <v>14.1</v>
      </c>
      <c r="P54" s="505">
        <v>15.7</v>
      </c>
      <c r="Q54" s="504">
        <f t="shared" si="7"/>
        <v>15.7</v>
      </c>
      <c r="AG54" s="244">
        <f t="shared" si="8"/>
        <v>2015</v>
      </c>
      <c r="AH54" s="245">
        <f t="shared" si="6"/>
        <v>15.7</v>
      </c>
      <c r="AI54" s="234">
        <f t="shared" si="1"/>
        <v>2022</v>
      </c>
      <c r="AJ54" s="355" t="str">
        <f t="shared" si="9"/>
        <v/>
      </c>
      <c r="AN54" s="363">
        <v>25720</v>
      </c>
    </row>
    <row r="55" spans="4:40" ht="17.399999999999999" x14ac:dyDescent="0.3">
      <c r="D55" s="460">
        <v>2016</v>
      </c>
      <c r="E55" s="505">
        <v>7.1</v>
      </c>
      <c r="F55" s="505">
        <v>15.3</v>
      </c>
      <c r="G55" s="505">
        <v>11.7</v>
      </c>
      <c r="H55" s="505">
        <v>10.100000000000001</v>
      </c>
      <c r="I55" s="505">
        <v>9.9</v>
      </c>
      <c r="J55" s="505">
        <v>3.8</v>
      </c>
      <c r="K55" s="505">
        <v>7.1</v>
      </c>
      <c r="L55" s="505">
        <v>3.1</v>
      </c>
      <c r="M55" s="505">
        <v>10.1</v>
      </c>
      <c r="N55" s="505">
        <v>10</v>
      </c>
      <c r="O55" s="505">
        <v>5.7</v>
      </c>
      <c r="P55" s="505">
        <v>14.200000000000001</v>
      </c>
      <c r="Q55" s="504">
        <f t="shared" si="7"/>
        <v>15.3</v>
      </c>
      <c r="AG55" s="244">
        <f t="shared" si="8"/>
        <v>2016</v>
      </c>
      <c r="AH55" s="245">
        <f t="shared" si="6"/>
        <v>15.3</v>
      </c>
      <c r="AI55" s="234">
        <f t="shared" si="1"/>
        <v>2023</v>
      </c>
      <c r="AJ55" s="355">
        <f t="shared" si="9"/>
        <v>16.5</v>
      </c>
      <c r="AN55" s="363">
        <v>25750</v>
      </c>
    </row>
    <row r="56" spans="4:40" ht="17.399999999999999" x14ac:dyDescent="0.3">
      <c r="D56" s="460">
        <v>2017</v>
      </c>
      <c r="E56" s="505">
        <v>14.6</v>
      </c>
      <c r="F56" s="505">
        <v>14.8</v>
      </c>
      <c r="G56" s="505">
        <v>13.2</v>
      </c>
      <c r="H56" s="505">
        <v>9.8000000000000007</v>
      </c>
      <c r="I56" s="505">
        <v>12.100000000000001</v>
      </c>
      <c r="J56" s="505">
        <v>4.0999999999999996</v>
      </c>
      <c r="K56" s="505">
        <v>2.4000000000000004</v>
      </c>
      <c r="L56" s="505">
        <v>12.899999999999999</v>
      </c>
      <c r="M56" s="505">
        <v>8.4</v>
      </c>
      <c r="N56" s="505">
        <v>12.4</v>
      </c>
      <c r="O56" s="505">
        <v>9.4</v>
      </c>
      <c r="P56" s="505">
        <v>10.100000000000001</v>
      </c>
      <c r="Q56" s="504">
        <f t="shared" si="7"/>
        <v>14.8</v>
      </c>
      <c r="AG56" s="244">
        <f t="shared" si="8"/>
        <v>2017</v>
      </c>
      <c r="AH56" s="245">
        <f t="shared" si="4"/>
        <v>14.8</v>
      </c>
      <c r="AI56" s="234">
        <f t="shared" si="1"/>
        <v>2024</v>
      </c>
      <c r="AJ56" s="355" t="str">
        <f t="shared" si="9"/>
        <v/>
      </c>
      <c r="AN56" s="363">
        <v>25781</v>
      </c>
    </row>
    <row r="57" spans="4:40" ht="17.399999999999999" x14ac:dyDescent="0.3">
      <c r="D57" s="460">
        <v>2018</v>
      </c>
      <c r="E57" s="505">
        <v>12.799999999999999</v>
      </c>
      <c r="F57" s="505">
        <v>9.3000000000000007</v>
      </c>
      <c r="G57" s="505">
        <v>13</v>
      </c>
      <c r="H57" s="505">
        <v>12.1</v>
      </c>
      <c r="I57" s="505">
        <v>10.5</v>
      </c>
      <c r="J57" s="505">
        <v>11.6</v>
      </c>
      <c r="K57" s="505">
        <v>12.4</v>
      </c>
      <c r="L57" s="505">
        <v>11.4</v>
      </c>
      <c r="M57" s="505">
        <v>11.2</v>
      </c>
      <c r="N57" s="505">
        <v>18.8</v>
      </c>
      <c r="O57" s="505">
        <v>10.3</v>
      </c>
      <c r="P57" s="505">
        <v>9.4</v>
      </c>
      <c r="Q57" s="504">
        <f t="shared" si="7"/>
        <v>18.8</v>
      </c>
      <c r="AG57" s="244">
        <f t="shared" si="8"/>
        <v>2018</v>
      </c>
      <c r="AH57" s="245">
        <f t="shared" si="4"/>
        <v>18.8</v>
      </c>
      <c r="AI57" s="234">
        <f t="shared" si="1"/>
        <v>2025</v>
      </c>
      <c r="AJ57" s="355" t="str">
        <f t="shared" si="9"/>
        <v/>
      </c>
      <c r="AN57" s="363">
        <v>25812</v>
      </c>
    </row>
    <row r="58" spans="4:40" ht="17.399999999999999" x14ac:dyDescent="0.3">
      <c r="D58" s="460">
        <v>2019</v>
      </c>
      <c r="E58" s="505">
        <v>11.2</v>
      </c>
      <c r="F58" s="505">
        <v>10.1</v>
      </c>
      <c r="G58" s="505">
        <v>9.5</v>
      </c>
      <c r="H58" s="505">
        <v>6.2</v>
      </c>
      <c r="I58" s="505">
        <v>6.1</v>
      </c>
      <c r="J58" s="505">
        <v>4.2</v>
      </c>
      <c r="K58" s="505">
        <v>4.8</v>
      </c>
      <c r="L58" s="505">
        <v>0</v>
      </c>
      <c r="M58" s="505">
        <v>8</v>
      </c>
      <c r="N58" s="505">
        <v>11.7</v>
      </c>
      <c r="O58" s="505">
        <v>11.5</v>
      </c>
      <c r="P58" s="505">
        <v>11.4</v>
      </c>
      <c r="Q58" s="504">
        <f t="shared" si="7"/>
        <v>11.7</v>
      </c>
      <c r="AG58" s="244">
        <f t="shared" si="8"/>
        <v>2019</v>
      </c>
      <c r="AH58" s="245">
        <f t="shared" si="4"/>
        <v>11.7</v>
      </c>
      <c r="AI58" s="234">
        <f t="shared" si="1"/>
        <v>2026</v>
      </c>
      <c r="AJ58" s="355" t="str">
        <f t="shared" si="9"/>
        <v/>
      </c>
      <c r="AN58" s="363">
        <v>25842</v>
      </c>
    </row>
    <row r="59" spans="4:40" ht="17.399999999999999" x14ac:dyDescent="0.3">
      <c r="D59" s="460">
        <v>2020</v>
      </c>
      <c r="E59" s="505">
        <v>20.9</v>
      </c>
      <c r="F59" s="505">
        <v>10.1</v>
      </c>
      <c r="G59" s="505">
        <v>7</v>
      </c>
      <c r="H59" s="505"/>
      <c r="I59" s="505"/>
      <c r="J59" s="505"/>
      <c r="K59" s="505"/>
      <c r="L59" s="505"/>
      <c r="M59" s="505"/>
      <c r="N59" s="505"/>
      <c r="O59" s="505"/>
      <c r="P59" s="505"/>
      <c r="Q59" s="504">
        <f t="shared" si="7"/>
        <v>20.9</v>
      </c>
      <c r="AG59" s="244">
        <f t="shared" si="8"/>
        <v>2020</v>
      </c>
      <c r="AH59" s="245">
        <f t="shared" si="4"/>
        <v>20.9</v>
      </c>
      <c r="AI59" s="234">
        <f t="shared" si="1"/>
        <v>2027</v>
      </c>
      <c r="AJ59" s="355" t="str">
        <f t="shared" si="9"/>
        <v/>
      </c>
      <c r="AN59" s="363">
        <v>25873</v>
      </c>
    </row>
    <row r="60" spans="4:40" ht="17.399999999999999" x14ac:dyDescent="0.3">
      <c r="D60" s="460">
        <v>2023</v>
      </c>
      <c r="E60" s="505">
        <v>9.6999999999999993</v>
      </c>
      <c r="F60" s="505">
        <v>10.199999999999999</v>
      </c>
      <c r="G60" s="505">
        <v>9.3000000000000007</v>
      </c>
      <c r="H60" s="505">
        <v>7.6</v>
      </c>
      <c r="I60" s="505">
        <v>7.5</v>
      </c>
      <c r="J60" s="505">
        <v>0</v>
      </c>
      <c r="K60" s="505">
        <v>0</v>
      </c>
      <c r="L60" s="505"/>
      <c r="M60" s="505"/>
      <c r="N60" s="505"/>
      <c r="O60" s="505">
        <v>8.1999999999999993</v>
      </c>
      <c r="P60" s="505">
        <v>16.5</v>
      </c>
      <c r="Q60" s="504">
        <f t="shared" si="7"/>
        <v>16.5</v>
      </c>
      <c r="AG60" s="244">
        <f t="shared" si="8"/>
        <v>2023</v>
      </c>
      <c r="AH60" s="245">
        <f t="shared" si="4"/>
        <v>16.5</v>
      </c>
      <c r="AI60" s="234">
        <f t="shared" si="1"/>
        <v>2028</v>
      </c>
      <c r="AJ60" s="355" t="str">
        <f t="shared" si="9"/>
        <v/>
      </c>
      <c r="AN60" s="363">
        <v>25903</v>
      </c>
    </row>
    <row r="61" spans="4:40" ht="17.399999999999999" x14ac:dyDescent="0.3">
      <c r="D61" s="460"/>
      <c r="E61" s="505"/>
      <c r="F61" s="505"/>
      <c r="G61" s="505"/>
      <c r="H61" s="505"/>
      <c r="I61" s="505"/>
      <c r="J61" s="505"/>
      <c r="K61" s="505"/>
      <c r="L61" s="505"/>
      <c r="M61" s="505"/>
      <c r="N61" s="505"/>
      <c r="O61" s="505"/>
      <c r="P61" s="505"/>
      <c r="Q61" s="504" t="str">
        <f t="shared" si="7"/>
        <v/>
      </c>
      <c r="AG61" s="244" t="str">
        <f t="shared" si="8"/>
        <v/>
      </c>
      <c r="AH61" s="245" t="str">
        <f t="shared" si="4"/>
        <v/>
      </c>
      <c r="AI61" s="234">
        <f t="shared" si="1"/>
        <v>2029</v>
      </c>
      <c r="AJ61" s="355" t="str">
        <f>AH68</f>
        <v/>
      </c>
      <c r="AN61" s="363">
        <v>25934</v>
      </c>
    </row>
    <row r="62" spans="4:40" ht="17.399999999999999" x14ac:dyDescent="0.3">
      <c r="D62" s="460"/>
      <c r="E62" s="505"/>
      <c r="F62" s="505"/>
      <c r="G62" s="505"/>
      <c r="H62" s="505"/>
      <c r="I62" s="505"/>
      <c r="J62" s="505"/>
      <c r="K62" s="505"/>
      <c r="L62" s="505"/>
      <c r="M62" s="505"/>
      <c r="N62" s="505"/>
      <c r="O62" s="505"/>
      <c r="P62" s="505"/>
      <c r="Q62" s="504" t="str">
        <f t="shared" si="7"/>
        <v/>
      </c>
      <c r="AG62" s="244" t="str">
        <f t="shared" si="8"/>
        <v/>
      </c>
      <c r="AH62" s="245" t="str">
        <f t="shared" si="4"/>
        <v/>
      </c>
      <c r="AI62" s="234">
        <f t="shared" si="1"/>
        <v>2030</v>
      </c>
      <c r="AJ62" s="355" t="str">
        <f t="shared" si="9"/>
        <v/>
      </c>
      <c r="AN62" s="363">
        <v>25965</v>
      </c>
    </row>
    <row r="63" spans="4:40" ht="17.399999999999999" x14ac:dyDescent="0.3">
      <c r="D63" s="460"/>
      <c r="E63" s="505"/>
      <c r="F63" s="505"/>
      <c r="G63" s="505"/>
      <c r="H63" s="505"/>
      <c r="I63" s="505"/>
      <c r="J63" s="505"/>
      <c r="K63" s="505"/>
      <c r="L63" s="505"/>
      <c r="M63" s="505"/>
      <c r="N63" s="505"/>
      <c r="O63" s="505"/>
      <c r="P63" s="505"/>
      <c r="Q63" s="504" t="str">
        <f t="shared" si="7"/>
        <v/>
      </c>
      <c r="AG63" s="244" t="str">
        <f t="shared" si="8"/>
        <v/>
      </c>
      <c r="AH63" s="245" t="str">
        <f t="shared" si="4"/>
        <v/>
      </c>
      <c r="AI63" s="234">
        <f t="shared" si="1"/>
        <v>2031</v>
      </c>
      <c r="AJ63" s="355" t="str">
        <f t="shared" si="9"/>
        <v/>
      </c>
      <c r="AN63" s="363">
        <v>25993</v>
      </c>
    </row>
    <row r="64" spans="4:40" ht="17.399999999999999" x14ac:dyDescent="0.3">
      <c r="D64" s="460"/>
      <c r="E64" s="505"/>
      <c r="F64" s="505"/>
      <c r="G64" s="505"/>
      <c r="H64" s="505"/>
      <c r="I64" s="505"/>
      <c r="J64" s="505"/>
      <c r="K64" s="505"/>
      <c r="L64" s="505"/>
      <c r="M64" s="505"/>
      <c r="N64" s="505"/>
      <c r="O64" s="505"/>
      <c r="P64" s="505"/>
      <c r="Q64" s="504" t="str">
        <f t="shared" si="7"/>
        <v/>
      </c>
      <c r="AG64" s="244" t="str">
        <f t="shared" si="8"/>
        <v/>
      </c>
      <c r="AH64" s="245" t="str">
        <f t="shared" si="4"/>
        <v/>
      </c>
      <c r="AI64" s="234">
        <f t="shared" si="1"/>
        <v>2032</v>
      </c>
      <c r="AJ64" s="355" t="str">
        <f t="shared" si="9"/>
        <v/>
      </c>
      <c r="AN64" s="363">
        <v>26024</v>
      </c>
    </row>
    <row r="65" spans="1:54" ht="17.399999999999999" x14ac:dyDescent="0.3">
      <c r="D65" s="460"/>
      <c r="E65" s="505"/>
      <c r="F65" s="505"/>
      <c r="G65" s="505"/>
      <c r="H65" s="505"/>
      <c r="I65" s="505"/>
      <c r="J65" s="505"/>
      <c r="K65" s="505"/>
      <c r="L65" s="505"/>
      <c r="M65" s="505"/>
      <c r="N65" s="505"/>
      <c r="O65" s="505"/>
      <c r="P65" s="505"/>
      <c r="Q65" s="504" t="str">
        <f t="shared" si="7"/>
        <v/>
      </c>
      <c r="AG65" s="244" t="str">
        <f t="shared" si="8"/>
        <v/>
      </c>
      <c r="AH65" s="245" t="str">
        <f t="shared" si="4"/>
        <v/>
      </c>
      <c r="AI65" s="234">
        <f t="shared" si="1"/>
        <v>2033</v>
      </c>
      <c r="AJ65" s="355" t="str">
        <f t="shared" ref="AJ65:AJ67" si="10">IFERROR(VLOOKUP(AI65,Matriz1,2,FALSE),"")</f>
        <v/>
      </c>
      <c r="AN65" s="363">
        <v>26054</v>
      </c>
    </row>
    <row r="66" spans="1:54" ht="17.399999999999999" x14ac:dyDescent="0.3">
      <c r="D66" s="460"/>
      <c r="E66" s="505"/>
      <c r="F66" s="505"/>
      <c r="G66" s="505"/>
      <c r="H66" s="505"/>
      <c r="I66" s="505"/>
      <c r="J66" s="505"/>
      <c r="K66" s="505"/>
      <c r="L66" s="505"/>
      <c r="M66" s="505"/>
      <c r="N66" s="505"/>
      <c r="O66" s="505"/>
      <c r="P66" s="505"/>
      <c r="Q66" s="504" t="str">
        <f t="shared" si="7"/>
        <v/>
      </c>
      <c r="AG66" s="244" t="str">
        <f t="shared" si="8"/>
        <v/>
      </c>
      <c r="AH66" s="245" t="str">
        <f t="shared" si="4"/>
        <v/>
      </c>
      <c r="AI66" s="234">
        <f t="shared" si="1"/>
        <v>2034</v>
      </c>
      <c r="AJ66" s="355" t="str">
        <f t="shared" si="10"/>
        <v/>
      </c>
      <c r="AN66" s="363">
        <v>26085</v>
      </c>
    </row>
    <row r="67" spans="1:54" ht="17.399999999999999" x14ac:dyDescent="0.3">
      <c r="D67" s="460"/>
      <c r="E67" s="505"/>
      <c r="F67" s="505"/>
      <c r="G67" s="505"/>
      <c r="H67" s="505"/>
      <c r="I67" s="505"/>
      <c r="J67" s="505"/>
      <c r="K67" s="505"/>
      <c r="L67" s="505"/>
      <c r="M67" s="505"/>
      <c r="N67" s="505"/>
      <c r="O67" s="505"/>
      <c r="P67" s="505"/>
      <c r="Q67" s="504" t="str">
        <f t="shared" si="7"/>
        <v/>
      </c>
      <c r="AG67" s="244" t="str">
        <f t="shared" si="8"/>
        <v/>
      </c>
      <c r="AH67" s="245" t="str">
        <f t="shared" si="4"/>
        <v/>
      </c>
      <c r="AI67" s="234">
        <f t="shared" ref="AI67:AI76" si="11">AI66+1</f>
        <v>2035</v>
      </c>
      <c r="AJ67" s="355" t="str">
        <f t="shared" si="10"/>
        <v/>
      </c>
      <c r="AN67" s="363">
        <v>26115</v>
      </c>
    </row>
    <row r="68" spans="1:54" ht="17.399999999999999" x14ac:dyDescent="0.3">
      <c r="D68" s="460"/>
      <c r="E68" s="505"/>
      <c r="F68" s="505"/>
      <c r="G68" s="505"/>
      <c r="H68" s="505"/>
      <c r="I68" s="505"/>
      <c r="J68" s="505"/>
      <c r="K68" s="505"/>
      <c r="L68" s="505"/>
      <c r="M68" s="505"/>
      <c r="N68" s="505"/>
      <c r="O68" s="505"/>
      <c r="P68" s="505"/>
      <c r="Q68" s="504" t="str">
        <f t="shared" si="7"/>
        <v/>
      </c>
      <c r="AG68" s="244" t="str">
        <f t="shared" si="8"/>
        <v/>
      </c>
      <c r="AH68" s="245" t="str">
        <f t="shared" ref="AH68" si="12">IF(Q68="","",Q68)</f>
        <v/>
      </c>
      <c r="AI68" s="234">
        <f t="shared" si="11"/>
        <v>2036</v>
      </c>
      <c r="AJ68" s="355"/>
      <c r="AN68" s="363"/>
    </row>
    <row r="69" spans="1:54" ht="17.399999999999999" x14ac:dyDescent="0.3">
      <c r="D69" s="460"/>
      <c r="E69" s="505"/>
      <c r="F69" s="505"/>
      <c r="G69" s="505"/>
      <c r="H69" s="505"/>
      <c r="I69" s="505"/>
      <c r="J69" s="505"/>
      <c r="K69" s="505"/>
      <c r="L69" s="505"/>
      <c r="M69" s="505"/>
      <c r="N69" s="505"/>
      <c r="O69" s="505"/>
      <c r="P69" s="505"/>
      <c r="Q69" s="504" t="str">
        <f t="shared" si="7"/>
        <v/>
      </c>
      <c r="AG69" s="191"/>
      <c r="AH69" s="81"/>
      <c r="AI69" s="234">
        <f t="shared" si="11"/>
        <v>2037</v>
      </c>
      <c r="AJ69" s="355"/>
      <c r="AN69" s="363"/>
    </row>
    <row r="70" spans="1:54" ht="18" thickBot="1" x14ac:dyDescent="0.35">
      <c r="D70" s="460"/>
      <c r="E70" s="502"/>
      <c r="F70" s="502"/>
      <c r="G70" s="502"/>
      <c r="H70" s="502"/>
      <c r="I70" s="502"/>
      <c r="J70" s="502"/>
      <c r="K70" s="502"/>
      <c r="L70" s="502"/>
      <c r="M70" s="502"/>
      <c r="N70" s="502"/>
      <c r="O70" s="502"/>
      <c r="P70" s="502"/>
      <c r="Q70" s="504"/>
      <c r="AG70" s="191"/>
      <c r="AH70" s="81"/>
      <c r="AI70" s="234">
        <f t="shared" si="11"/>
        <v>2038</v>
      </c>
      <c r="AJ70" s="355"/>
      <c r="AN70" s="363"/>
    </row>
    <row r="71" spans="1:54" ht="17.399999999999999" x14ac:dyDescent="0.3">
      <c r="D71" s="461" t="s">
        <v>500</v>
      </c>
      <c r="E71" s="507">
        <f>AVERAGE(E8:E70)</f>
        <v>14.228301886792449</v>
      </c>
      <c r="F71" s="507">
        <f t="shared" ref="F71:Q71" si="13">AVERAGE(F8:F70)</f>
        <v>14.656603773584907</v>
      </c>
      <c r="G71" s="507">
        <f t="shared" si="13"/>
        <v>14.409433962264156</v>
      </c>
      <c r="H71" s="507">
        <f t="shared" si="13"/>
        <v>10.282692307692306</v>
      </c>
      <c r="I71" s="507">
        <f t="shared" si="13"/>
        <v>7.4769230769230779</v>
      </c>
      <c r="J71" s="507">
        <f t="shared" si="13"/>
        <v>5.0627450980392128</v>
      </c>
      <c r="K71" s="507">
        <f t="shared" si="13"/>
        <v>5.1519230769230777</v>
      </c>
      <c r="L71" s="507">
        <f t="shared" si="13"/>
        <v>6.7941176470588225</v>
      </c>
      <c r="M71" s="507">
        <f t="shared" si="13"/>
        <v>8.8431372549019613</v>
      </c>
      <c r="N71" s="507">
        <f t="shared" si="13"/>
        <v>10.911764705882353</v>
      </c>
      <c r="O71" s="507">
        <f t="shared" si="13"/>
        <v>11.561538461538465</v>
      </c>
      <c r="P71" s="507">
        <f t="shared" si="13"/>
        <v>12.392000000000003</v>
      </c>
      <c r="Q71" s="508">
        <f t="shared" si="13"/>
        <v>19.749056603773585</v>
      </c>
      <c r="AI71" s="234">
        <f t="shared" si="11"/>
        <v>2039</v>
      </c>
      <c r="AJ71" s="355" t="str">
        <f t="shared" ref="AJ71:AJ75" si="14">IFERROR(VLOOKUP(AI71,Matriz1,2,FALSE),"")</f>
        <v/>
      </c>
      <c r="AN71" s="363">
        <v>26146</v>
      </c>
      <c r="AU71" s="250" t="s">
        <v>501</v>
      </c>
      <c r="BA71" s="251" t="s">
        <v>502</v>
      </c>
      <c r="BB71" s="252" t="s">
        <v>503</v>
      </c>
    </row>
    <row r="72" spans="1:54" ht="17.399999999999999" x14ac:dyDescent="0.3">
      <c r="D72" s="462" t="s">
        <v>504</v>
      </c>
      <c r="E72" s="509">
        <f>STDEV(E8:E70)</f>
        <v>6.6310858073195567</v>
      </c>
      <c r="F72" s="509">
        <f t="shared" ref="F72:Q72" si="15">STDEV(F8:F70)</f>
        <v>6.1442127064655834</v>
      </c>
      <c r="G72" s="509">
        <f t="shared" si="15"/>
        <v>5.744303671763844</v>
      </c>
      <c r="H72" s="509">
        <f t="shared" si="15"/>
        <v>4.7094282219797083</v>
      </c>
      <c r="I72" s="509">
        <f t="shared" si="15"/>
        <v>4.6230715273406675</v>
      </c>
      <c r="J72" s="509">
        <f t="shared" si="15"/>
        <v>5.0021179827874436</v>
      </c>
      <c r="K72" s="509">
        <f t="shared" si="15"/>
        <v>3.738222833747491</v>
      </c>
      <c r="L72" s="509">
        <f t="shared" si="15"/>
        <v>5.4545544919711233</v>
      </c>
      <c r="M72" s="509">
        <f t="shared" si="15"/>
        <v>3.9958105511628457</v>
      </c>
      <c r="N72" s="509">
        <f t="shared" si="15"/>
        <v>4.969895252772381</v>
      </c>
      <c r="O72" s="509">
        <f t="shared" si="15"/>
        <v>4.9718877878490195</v>
      </c>
      <c r="P72" s="509">
        <f t="shared" si="15"/>
        <v>5.6398668387811766</v>
      </c>
      <c r="Q72" s="504">
        <f t="shared" si="15"/>
        <v>7.3153585179903873</v>
      </c>
      <c r="AI72" s="234">
        <f t="shared" si="11"/>
        <v>2040</v>
      </c>
      <c r="AJ72" s="355" t="str">
        <f t="shared" si="14"/>
        <v/>
      </c>
      <c r="AN72" s="363">
        <v>26177</v>
      </c>
      <c r="AU72" s="250" t="s">
        <v>505</v>
      </c>
    </row>
    <row r="73" spans="1:54" ht="17.399999999999999" x14ac:dyDescent="0.3">
      <c r="D73" s="462" t="s">
        <v>506</v>
      </c>
      <c r="E73" s="509">
        <f>MAX(E8:E70)</f>
        <v>35.599999999999994</v>
      </c>
      <c r="F73" s="509">
        <f t="shared" ref="F73:Q73" si="16">MAX(F8:F70)</f>
        <v>35</v>
      </c>
      <c r="G73" s="509">
        <f t="shared" si="16"/>
        <v>31.6</v>
      </c>
      <c r="H73" s="509">
        <f t="shared" si="16"/>
        <v>28.5</v>
      </c>
      <c r="I73" s="509">
        <f t="shared" si="16"/>
        <v>29.9</v>
      </c>
      <c r="J73" s="509">
        <f t="shared" si="16"/>
        <v>27.2</v>
      </c>
      <c r="K73" s="509">
        <f t="shared" si="16"/>
        <v>19</v>
      </c>
      <c r="L73" s="509">
        <f t="shared" si="16"/>
        <v>27</v>
      </c>
      <c r="M73" s="509">
        <f t="shared" si="16"/>
        <v>19.600000000000001</v>
      </c>
      <c r="N73" s="509">
        <f t="shared" si="16"/>
        <v>21.9</v>
      </c>
      <c r="O73" s="509">
        <f t="shared" si="16"/>
        <v>26.200000000000003</v>
      </c>
      <c r="P73" s="509">
        <f t="shared" si="16"/>
        <v>33.400000000000006</v>
      </c>
      <c r="Q73" s="504">
        <f t="shared" si="16"/>
        <v>35.599999999999994</v>
      </c>
      <c r="S73" s="24" t="s">
        <v>507</v>
      </c>
      <c r="AI73" s="234">
        <f t="shared" si="11"/>
        <v>2041</v>
      </c>
      <c r="AJ73" s="355" t="str">
        <f t="shared" si="14"/>
        <v/>
      </c>
      <c r="AN73" s="363">
        <v>26207</v>
      </c>
      <c r="AU73" s="250" t="s">
        <v>508</v>
      </c>
    </row>
    <row r="74" spans="1:54" ht="18" thickBot="1" x14ac:dyDescent="0.35">
      <c r="D74" s="463" t="s">
        <v>509</v>
      </c>
      <c r="E74" s="510">
        <f>MIN(E8:E70)</f>
        <v>6.3999999999999995</v>
      </c>
      <c r="F74" s="510">
        <f t="shared" ref="F74:Q74" si="17">MIN(F8:F70)</f>
        <v>5.0999999999999996</v>
      </c>
      <c r="G74" s="510">
        <f t="shared" si="17"/>
        <v>5.6</v>
      </c>
      <c r="H74" s="510">
        <f t="shared" si="17"/>
        <v>3.6</v>
      </c>
      <c r="I74" s="510">
        <f t="shared" si="17"/>
        <v>1.1000000000000001</v>
      </c>
      <c r="J74" s="510">
        <f t="shared" si="17"/>
        <v>0</v>
      </c>
      <c r="K74" s="510">
        <f t="shared" si="17"/>
        <v>0</v>
      </c>
      <c r="L74" s="510">
        <f t="shared" si="17"/>
        <v>0</v>
      </c>
      <c r="M74" s="510">
        <f t="shared" si="17"/>
        <v>1.6</v>
      </c>
      <c r="N74" s="510">
        <f t="shared" si="17"/>
        <v>0</v>
      </c>
      <c r="O74" s="510">
        <f t="shared" si="17"/>
        <v>4.5</v>
      </c>
      <c r="P74" s="510">
        <f t="shared" si="17"/>
        <v>2.4000000000000004</v>
      </c>
      <c r="Q74" s="511">
        <f t="shared" si="17"/>
        <v>9.9</v>
      </c>
      <c r="AI74" s="234">
        <f t="shared" si="11"/>
        <v>2042</v>
      </c>
      <c r="AJ74" s="355" t="str">
        <f t="shared" si="14"/>
        <v/>
      </c>
      <c r="AN74" s="363">
        <v>26238</v>
      </c>
      <c r="AU74" s="250" t="s">
        <v>510</v>
      </c>
    </row>
    <row r="75" spans="1:54" x14ac:dyDescent="0.3">
      <c r="K75" s="253"/>
      <c r="L75" s="254"/>
      <c r="S75" s="539" t="s">
        <v>501</v>
      </c>
      <c r="T75" s="539"/>
      <c r="U75" s="539"/>
      <c r="V75" s="539"/>
      <c r="W75" s="539"/>
      <c r="X75" s="539"/>
      <c r="AI75" s="234">
        <f t="shared" si="11"/>
        <v>2043</v>
      </c>
      <c r="AJ75" s="355" t="str">
        <f t="shared" si="14"/>
        <v/>
      </c>
      <c r="AN75" s="363">
        <v>26268</v>
      </c>
    </row>
    <row r="76" spans="1:54" x14ac:dyDescent="0.3">
      <c r="A76" s="106"/>
      <c r="B76" s="106"/>
      <c r="C76" s="106"/>
      <c r="AF76" s="106"/>
      <c r="AG76" s="106"/>
      <c r="AH76" s="106"/>
      <c r="AI76" s="234">
        <f t="shared" si="11"/>
        <v>2044</v>
      </c>
      <c r="AJ76" s="356" t="str">
        <f t="shared" ref="AJ76" si="18">IFERROR(VLOOKUP(AI76,Matriz1,2,FALSE),"")</f>
        <v/>
      </c>
      <c r="AN76" s="363">
        <v>26299</v>
      </c>
    </row>
    <row r="77" spans="1:54" x14ac:dyDescent="0.3">
      <c r="AJ77"/>
      <c r="AN77" s="363">
        <v>26330</v>
      </c>
    </row>
    <row r="78" spans="1:54" x14ac:dyDescent="0.3">
      <c r="AJ78"/>
      <c r="AN78" s="363">
        <v>26359</v>
      </c>
    </row>
    <row r="79" spans="1:54" x14ac:dyDescent="0.3">
      <c r="AJ79"/>
      <c r="AN79" s="363">
        <v>26390</v>
      </c>
    </row>
    <row r="80" spans="1:54" x14ac:dyDescent="0.3">
      <c r="AJ80"/>
      <c r="AN80" s="363">
        <v>26420</v>
      </c>
    </row>
    <row r="81" spans="4:40" x14ac:dyDescent="0.3">
      <c r="AJ81"/>
      <c r="AN81" s="363">
        <v>26451</v>
      </c>
    </row>
    <row r="82" spans="4:40" x14ac:dyDescent="0.3">
      <c r="AJ82"/>
      <c r="AN82" s="363">
        <v>26481</v>
      </c>
    </row>
    <row r="83" spans="4:40" x14ac:dyDescent="0.3">
      <c r="AJ83"/>
      <c r="AN83" s="363">
        <v>26512</v>
      </c>
    </row>
    <row r="84" spans="4:40" x14ac:dyDescent="0.3">
      <c r="AJ84"/>
      <c r="AN84" s="363">
        <v>26543</v>
      </c>
    </row>
    <row r="85" spans="4:40" x14ac:dyDescent="0.3">
      <c r="AJ85"/>
      <c r="AN85" s="363">
        <v>26573</v>
      </c>
    </row>
    <row r="86" spans="4:40" x14ac:dyDescent="0.3">
      <c r="D86">
        <v>2024</v>
      </c>
      <c r="E86">
        <v>0</v>
      </c>
      <c r="F86">
        <v>0.1</v>
      </c>
      <c r="G86">
        <v>0.3</v>
      </c>
      <c r="H86">
        <v>0.1</v>
      </c>
      <c r="I86">
        <v>0</v>
      </c>
      <c r="J86">
        <v>0</v>
      </c>
      <c r="K86">
        <v>0</v>
      </c>
      <c r="L86">
        <v>0</v>
      </c>
      <c r="M86">
        <v>1</v>
      </c>
      <c r="N86">
        <v>0</v>
      </c>
      <c r="O86">
        <v>0.1</v>
      </c>
      <c r="P86">
        <v>1.4</v>
      </c>
      <c r="AJ86"/>
      <c r="AN86" s="363">
        <v>26604</v>
      </c>
    </row>
    <row r="87" spans="4:40" x14ac:dyDescent="0.3">
      <c r="AJ87"/>
      <c r="AN87" s="363">
        <v>26634</v>
      </c>
    </row>
    <row r="88" spans="4:40" x14ac:dyDescent="0.3">
      <c r="AJ88"/>
      <c r="AN88" s="363">
        <v>26665</v>
      </c>
    </row>
    <row r="89" spans="4:40" x14ac:dyDescent="0.3">
      <c r="AJ89"/>
      <c r="AN89" s="363">
        <v>26696</v>
      </c>
    </row>
    <row r="90" spans="4:40" x14ac:dyDescent="0.3">
      <c r="AJ90"/>
      <c r="AN90" s="363">
        <v>26724</v>
      </c>
    </row>
    <row r="91" spans="4:40" x14ac:dyDescent="0.3">
      <c r="AJ91"/>
      <c r="AN91" s="363">
        <v>26755</v>
      </c>
    </row>
    <row r="92" spans="4:40" x14ac:dyDescent="0.3">
      <c r="AJ92"/>
      <c r="AN92" s="363">
        <v>26785</v>
      </c>
    </row>
    <row r="93" spans="4:40" x14ac:dyDescent="0.3">
      <c r="AJ93"/>
      <c r="AN93" s="363">
        <v>26816</v>
      </c>
    </row>
    <row r="94" spans="4:40" x14ac:dyDescent="0.3">
      <c r="AJ94"/>
      <c r="AN94" s="363">
        <v>26846</v>
      </c>
    </row>
    <row r="95" spans="4:40" x14ac:dyDescent="0.3">
      <c r="AJ95"/>
      <c r="AN95" s="363">
        <v>26877</v>
      </c>
    </row>
    <row r="96" spans="4:40" x14ac:dyDescent="0.3">
      <c r="AJ96"/>
      <c r="AN96" s="363">
        <v>26908</v>
      </c>
    </row>
    <row r="97" spans="36:40" x14ac:dyDescent="0.3">
      <c r="AJ97"/>
      <c r="AN97" s="363">
        <v>26938</v>
      </c>
    </row>
    <row r="98" spans="36:40" x14ac:dyDescent="0.3">
      <c r="AJ98"/>
      <c r="AN98" s="363">
        <v>26969</v>
      </c>
    </row>
    <row r="99" spans="36:40" x14ac:dyDescent="0.3">
      <c r="AJ99"/>
      <c r="AN99" s="363">
        <v>26999</v>
      </c>
    </row>
    <row r="100" spans="36:40" x14ac:dyDescent="0.3">
      <c r="AJ100"/>
      <c r="AN100" s="363">
        <v>27030</v>
      </c>
    </row>
    <row r="101" spans="36:40" x14ac:dyDescent="0.3">
      <c r="AJ101"/>
      <c r="AN101" s="363">
        <v>27061</v>
      </c>
    </row>
    <row r="102" spans="36:40" x14ac:dyDescent="0.3">
      <c r="AJ102"/>
      <c r="AN102" s="363">
        <v>27089</v>
      </c>
    </row>
    <row r="103" spans="36:40" x14ac:dyDescent="0.3">
      <c r="AJ103"/>
      <c r="AN103" s="363">
        <v>27120</v>
      </c>
    </row>
    <row r="104" spans="36:40" x14ac:dyDescent="0.3">
      <c r="AJ104"/>
      <c r="AN104" s="363">
        <v>27150</v>
      </c>
    </row>
    <row r="105" spans="36:40" x14ac:dyDescent="0.3">
      <c r="AJ105"/>
      <c r="AN105" s="363">
        <v>27181</v>
      </c>
    </row>
    <row r="106" spans="36:40" x14ac:dyDescent="0.3">
      <c r="AJ106"/>
      <c r="AN106" s="363">
        <v>27211</v>
      </c>
    </row>
    <row r="107" spans="36:40" x14ac:dyDescent="0.3">
      <c r="AJ107"/>
      <c r="AN107" s="363">
        <v>27242</v>
      </c>
    </row>
    <row r="108" spans="36:40" x14ac:dyDescent="0.3">
      <c r="AJ108"/>
      <c r="AN108" s="363">
        <v>27273</v>
      </c>
    </row>
    <row r="109" spans="36:40" x14ac:dyDescent="0.3">
      <c r="AJ109"/>
      <c r="AN109" s="363">
        <v>27303</v>
      </c>
    </row>
    <row r="110" spans="36:40" x14ac:dyDescent="0.3">
      <c r="AJ110"/>
      <c r="AN110" s="363">
        <v>27334</v>
      </c>
    </row>
    <row r="111" spans="36:40" x14ac:dyDescent="0.3">
      <c r="AJ111"/>
      <c r="AN111" s="363">
        <v>27364</v>
      </c>
    </row>
    <row r="112" spans="36:40" x14ac:dyDescent="0.3">
      <c r="AJ112"/>
      <c r="AN112" s="363">
        <v>27395</v>
      </c>
    </row>
    <row r="113" spans="36:40" x14ac:dyDescent="0.3">
      <c r="AJ113"/>
      <c r="AN113" s="363">
        <v>27426</v>
      </c>
    </row>
    <row r="114" spans="36:40" x14ac:dyDescent="0.3">
      <c r="AJ114"/>
      <c r="AN114" s="363">
        <v>27454</v>
      </c>
    </row>
    <row r="115" spans="36:40" x14ac:dyDescent="0.3">
      <c r="AJ115"/>
      <c r="AN115" s="363">
        <v>27485</v>
      </c>
    </row>
    <row r="116" spans="36:40" x14ac:dyDescent="0.3">
      <c r="AJ116"/>
      <c r="AN116" s="363">
        <v>27515</v>
      </c>
    </row>
    <row r="117" spans="36:40" x14ac:dyDescent="0.3">
      <c r="AJ117"/>
      <c r="AN117" s="363">
        <v>27546</v>
      </c>
    </row>
    <row r="118" spans="36:40" x14ac:dyDescent="0.3">
      <c r="AJ118"/>
      <c r="AN118" s="363">
        <v>27576</v>
      </c>
    </row>
    <row r="119" spans="36:40" x14ac:dyDescent="0.3">
      <c r="AJ119"/>
      <c r="AN119" s="363">
        <v>27607</v>
      </c>
    </row>
    <row r="120" spans="36:40" x14ac:dyDescent="0.3">
      <c r="AJ120"/>
      <c r="AN120" s="363">
        <v>27638</v>
      </c>
    </row>
    <row r="121" spans="36:40" x14ac:dyDescent="0.3">
      <c r="AJ121"/>
      <c r="AN121" s="363">
        <v>27668</v>
      </c>
    </row>
    <row r="122" spans="36:40" x14ac:dyDescent="0.3">
      <c r="AJ122"/>
      <c r="AN122" s="363">
        <v>27699</v>
      </c>
    </row>
    <row r="123" spans="36:40" x14ac:dyDescent="0.3">
      <c r="AJ123"/>
      <c r="AN123" s="363">
        <v>27729</v>
      </c>
    </row>
    <row r="124" spans="36:40" x14ac:dyDescent="0.3">
      <c r="AJ124"/>
      <c r="AN124" s="363">
        <v>27760</v>
      </c>
    </row>
    <row r="125" spans="36:40" x14ac:dyDescent="0.3">
      <c r="AJ125"/>
      <c r="AN125" s="363">
        <v>27791</v>
      </c>
    </row>
    <row r="126" spans="36:40" x14ac:dyDescent="0.3">
      <c r="AJ126"/>
      <c r="AN126" s="363">
        <v>27820</v>
      </c>
    </row>
    <row r="127" spans="36:40" x14ac:dyDescent="0.3">
      <c r="AJ127"/>
      <c r="AN127" s="363">
        <v>27851</v>
      </c>
    </row>
    <row r="128" spans="36:40" x14ac:dyDescent="0.3">
      <c r="AJ128"/>
      <c r="AN128" s="363">
        <v>27881</v>
      </c>
    </row>
    <row r="129" spans="36:40" x14ac:dyDescent="0.3">
      <c r="AJ129"/>
      <c r="AN129" s="363">
        <v>27912</v>
      </c>
    </row>
    <row r="130" spans="36:40" x14ac:dyDescent="0.3">
      <c r="AJ130"/>
      <c r="AN130" s="363">
        <v>27942</v>
      </c>
    </row>
    <row r="131" spans="36:40" x14ac:dyDescent="0.3">
      <c r="AJ131"/>
      <c r="AN131" s="363">
        <v>27973</v>
      </c>
    </row>
    <row r="132" spans="36:40" x14ac:dyDescent="0.3">
      <c r="AJ132"/>
      <c r="AN132" s="363">
        <v>28004</v>
      </c>
    </row>
    <row r="133" spans="36:40" x14ac:dyDescent="0.3">
      <c r="AJ133"/>
      <c r="AN133" s="363">
        <v>28034</v>
      </c>
    </row>
    <row r="134" spans="36:40" x14ac:dyDescent="0.3">
      <c r="AJ134"/>
      <c r="AN134" s="363">
        <v>28065</v>
      </c>
    </row>
    <row r="135" spans="36:40" x14ac:dyDescent="0.3">
      <c r="AJ135"/>
      <c r="AN135" s="363">
        <v>28095</v>
      </c>
    </row>
    <row r="136" spans="36:40" x14ac:dyDescent="0.3">
      <c r="AJ136"/>
      <c r="AN136" s="363">
        <v>28126</v>
      </c>
    </row>
    <row r="137" spans="36:40" x14ac:dyDescent="0.3">
      <c r="AJ137"/>
      <c r="AN137" s="363">
        <v>28157</v>
      </c>
    </row>
    <row r="138" spans="36:40" x14ac:dyDescent="0.3">
      <c r="AJ138"/>
      <c r="AN138" s="363">
        <v>28185</v>
      </c>
    </row>
    <row r="139" spans="36:40" x14ac:dyDescent="0.3">
      <c r="AJ139"/>
      <c r="AN139" s="363">
        <v>28216</v>
      </c>
    </row>
    <row r="140" spans="36:40" x14ac:dyDescent="0.3">
      <c r="AJ140"/>
      <c r="AN140" s="363">
        <v>28246</v>
      </c>
    </row>
    <row r="141" spans="36:40" x14ac:dyDescent="0.3">
      <c r="AJ141"/>
      <c r="AN141" s="363">
        <v>28277</v>
      </c>
    </row>
    <row r="142" spans="36:40" x14ac:dyDescent="0.3">
      <c r="AJ142"/>
      <c r="AN142" s="363">
        <v>28307</v>
      </c>
    </row>
    <row r="143" spans="36:40" x14ac:dyDescent="0.3">
      <c r="AJ143"/>
      <c r="AN143" s="363">
        <v>28338</v>
      </c>
    </row>
    <row r="144" spans="36:40" x14ac:dyDescent="0.3">
      <c r="AJ144"/>
      <c r="AN144" s="363">
        <v>28369</v>
      </c>
    </row>
    <row r="145" spans="36:40" x14ac:dyDescent="0.3">
      <c r="AJ145"/>
      <c r="AN145" s="363">
        <v>28399</v>
      </c>
    </row>
    <row r="146" spans="36:40" x14ac:dyDescent="0.3">
      <c r="AJ146"/>
      <c r="AN146" s="363">
        <v>28430</v>
      </c>
    </row>
    <row r="147" spans="36:40" x14ac:dyDescent="0.3">
      <c r="AJ147"/>
      <c r="AN147" s="363">
        <v>28460</v>
      </c>
    </row>
    <row r="148" spans="36:40" x14ac:dyDescent="0.3">
      <c r="AJ148"/>
      <c r="AN148" s="363">
        <v>28491</v>
      </c>
    </row>
    <row r="149" spans="36:40" x14ac:dyDescent="0.3">
      <c r="AJ149"/>
      <c r="AN149" s="363">
        <v>28522</v>
      </c>
    </row>
    <row r="150" spans="36:40" x14ac:dyDescent="0.3">
      <c r="AJ150"/>
      <c r="AN150" s="363">
        <v>28550</v>
      </c>
    </row>
    <row r="151" spans="36:40" x14ac:dyDescent="0.3">
      <c r="AJ151"/>
      <c r="AN151" s="363">
        <v>28581</v>
      </c>
    </row>
    <row r="152" spans="36:40" x14ac:dyDescent="0.3">
      <c r="AJ152"/>
      <c r="AN152" s="363">
        <v>28611</v>
      </c>
    </row>
    <row r="153" spans="36:40" x14ac:dyDescent="0.3">
      <c r="AJ153"/>
      <c r="AN153" s="363">
        <v>28642</v>
      </c>
    </row>
    <row r="154" spans="36:40" x14ac:dyDescent="0.3">
      <c r="AJ154"/>
      <c r="AN154" s="363">
        <v>28672</v>
      </c>
    </row>
    <row r="155" spans="36:40" x14ac:dyDescent="0.3">
      <c r="AJ155"/>
      <c r="AN155" s="363">
        <v>28703</v>
      </c>
    </row>
    <row r="156" spans="36:40" x14ac:dyDescent="0.3">
      <c r="AJ156"/>
      <c r="AN156" s="363">
        <v>28734</v>
      </c>
    </row>
    <row r="157" spans="36:40" x14ac:dyDescent="0.3">
      <c r="AJ157"/>
      <c r="AN157" s="363">
        <v>28764</v>
      </c>
    </row>
    <row r="158" spans="36:40" x14ac:dyDescent="0.3">
      <c r="AJ158"/>
      <c r="AN158" s="363">
        <v>28795</v>
      </c>
    </row>
    <row r="159" spans="36:40" x14ac:dyDescent="0.3">
      <c r="AJ159"/>
      <c r="AN159" s="363">
        <v>28825</v>
      </c>
    </row>
    <row r="160" spans="36:40" x14ac:dyDescent="0.3">
      <c r="AJ160"/>
      <c r="AN160" s="363">
        <v>28856</v>
      </c>
    </row>
    <row r="161" spans="36:40" x14ac:dyDescent="0.3">
      <c r="AJ161"/>
      <c r="AN161" s="363">
        <v>28887</v>
      </c>
    </row>
    <row r="162" spans="36:40" x14ac:dyDescent="0.3">
      <c r="AJ162"/>
      <c r="AN162" s="363">
        <v>28915</v>
      </c>
    </row>
    <row r="163" spans="36:40" x14ac:dyDescent="0.3">
      <c r="AJ163"/>
      <c r="AN163" s="363">
        <v>28946</v>
      </c>
    </row>
    <row r="164" spans="36:40" x14ac:dyDescent="0.3">
      <c r="AJ164"/>
      <c r="AN164" s="363">
        <v>28976</v>
      </c>
    </row>
    <row r="165" spans="36:40" x14ac:dyDescent="0.3">
      <c r="AJ165"/>
      <c r="AN165" s="363">
        <v>29007</v>
      </c>
    </row>
    <row r="166" spans="36:40" x14ac:dyDescent="0.3">
      <c r="AJ166"/>
      <c r="AN166" s="363">
        <v>29037</v>
      </c>
    </row>
    <row r="167" spans="36:40" x14ac:dyDescent="0.3">
      <c r="AJ167"/>
      <c r="AN167" s="363">
        <v>29068</v>
      </c>
    </row>
    <row r="168" spans="36:40" x14ac:dyDescent="0.3">
      <c r="AJ168"/>
      <c r="AN168" s="363">
        <v>29099</v>
      </c>
    </row>
    <row r="169" spans="36:40" x14ac:dyDescent="0.3">
      <c r="AJ169"/>
      <c r="AN169" s="363">
        <v>29129</v>
      </c>
    </row>
    <row r="170" spans="36:40" x14ac:dyDescent="0.3">
      <c r="AJ170"/>
      <c r="AN170" s="363">
        <v>29160</v>
      </c>
    </row>
    <row r="171" spans="36:40" x14ac:dyDescent="0.3">
      <c r="AJ171"/>
      <c r="AN171" s="363">
        <v>29190</v>
      </c>
    </row>
    <row r="172" spans="36:40" x14ac:dyDescent="0.3">
      <c r="AJ172"/>
      <c r="AN172" s="363">
        <v>29221</v>
      </c>
    </row>
    <row r="173" spans="36:40" x14ac:dyDescent="0.3">
      <c r="AJ173"/>
      <c r="AN173" s="363">
        <v>29252</v>
      </c>
    </row>
    <row r="174" spans="36:40" x14ac:dyDescent="0.3">
      <c r="AJ174"/>
      <c r="AN174" s="363">
        <v>29281</v>
      </c>
    </row>
    <row r="175" spans="36:40" x14ac:dyDescent="0.3">
      <c r="AJ175"/>
      <c r="AN175" s="363">
        <v>29312</v>
      </c>
    </row>
    <row r="176" spans="36:40" x14ac:dyDescent="0.3">
      <c r="AJ176"/>
      <c r="AN176" s="363">
        <v>29342</v>
      </c>
    </row>
    <row r="177" spans="36:40" x14ac:dyDescent="0.3">
      <c r="AJ177"/>
      <c r="AN177" s="363">
        <v>29373</v>
      </c>
    </row>
    <row r="178" spans="36:40" x14ac:dyDescent="0.3">
      <c r="AJ178"/>
      <c r="AN178" s="363">
        <v>29403</v>
      </c>
    </row>
    <row r="179" spans="36:40" x14ac:dyDescent="0.3">
      <c r="AJ179"/>
      <c r="AN179" s="363">
        <v>29434</v>
      </c>
    </row>
    <row r="180" spans="36:40" x14ac:dyDescent="0.3">
      <c r="AJ180"/>
      <c r="AN180" s="363">
        <v>29465</v>
      </c>
    </row>
    <row r="181" spans="36:40" x14ac:dyDescent="0.3">
      <c r="AJ181"/>
      <c r="AN181" s="363">
        <v>29495</v>
      </c>
    </row>
    <row r="182" spans="36:40" x14ac:dyDescent="0.3">
      <c r="AJ182"/>
      <c r="AN182" s="363">
        <v>29526</v>
      </c>
    </row>
    <row r="183" spans="36:40" x14ac:dyDescent="0.3">
      <c r="AJ183"/>
      <c r="AN183" s="363">
        <v>29556</v>
      </c>
    </row>
    <row r="184" spans="36:40" x14ac:dyDescent="0.3">
      <c r="AJ184"/>
      <c r="AN184" s="363">
        <v>29587</v>
      </c>
    </row>
    <row r="185" spans="36:40" x14ac:dyDescent="0.3">
      <c r="AJ185"/>
      <c r="AN185" s="363">
        <v>29618</v>
      </c>
    </row>
    <row r="186" spans="36:40" x14ac:dyDescent="0.3">
      <c r="AJ186"/>
      <c r="AN186" s="363">
        <v>29646</v>
      </c>
    </row>
    <row r="187" spans="36:40" x14ac:dyDescent="0.3">
      <c r="AJ187"/>
      <c r="AN187" s="363">
        <v>29677</v>
      </c>
    </row>
    <row r="188" spans="36:40" x14ac:dyDescent="0.3">
      <c r="AJ188"/>
      <c r="AN188" s="363">
        <v>29707</v>
      </c>
    </row>
    <row r="189" spans="36:40" x14ac:dyDescent="0.3">
      <c r="AJ189"/>
      <c r="AN189" s="363">
        <v>29738</v>
      </c>
    </row>
    <row r="190" spans="36:40" x14ac:dyDescent="0.3">
      <c r="AJ190"/>
      <c r="AN190" s="363">
        <v>29768</v>
      </c>
    </row>
    <row r="191" spans="36:40" x14ac:dyDescent="0.3">
      <c r="AJ191"/>
      <c r="AN191" s="363">
        <v>29799</v>
      </c>
    </row>
    <row r="192" spans="36:40" x14ac:dyDescent="0.3">
      <c r="AJ192"/>
      <c r="AN192" s="363">
        <v>29830</v>
      </c>
    </row>
    <row r="193" spans="36:40" x14ac:dyDescent="0.3">
      <c r="AJ193"/>
      <c r="AN193" s="363">
        <v>29860</v>
      </c>
    </row>
    <row r="194" spans="36:40" x14ac:dyDescent="0.3">
      <c r="AJ194"/>
      <c r="AN194" s="363">
        <v>29891</v>
      </c>
    </row>
    <row r="195" spans="36:40" x14ac:dyDescent="0.3">
      <c r="AJ195"/>
      <c r="AN195" s="363">
        <v>29921</v>
      </c>
    </row>
    <row r="196" spans="36:40" x14ac:dyDescent="0.3">
      <c r="AJ196"/>
      <c r="AN196" s="363">
        <v>29952</v>
      </c>
    </row>
    <row r="197" spans="36:40" x14ac:dyDescent="0.3">
      <c r="AJ197"/>
      <c r="AN197" s="363">
        <v>29983</v>
      </c>
    </row>
    <row r="198" spans="36:40" x14ac:dyDescent="0.3">
      <c r="AJ198"/>
      <c r="AN198" s="363">
        <v>30011</v>
      </c>
    </row>
    <row r="199" spans="36:40" x14ac:dyDescent="0.3">
      <c r="AJ199"/>
      <c r="AN199" s="363">
        <v>30042</v>
      </c>
    </row>
    <row r="200" spans="36:40" x14ac:dyDescent="0.3">
      <c r="AJ200"/>
      <c r="AN200" s="363">
        <v>30072</v>
      </c>
    </row>
    <row r="201" spans="36:40" x14ac:dyDescent="0.3">
      <c r="AJ201"/>
      <c r="AN201" s="363">
        <v>30103</v>
      </c>
    </row>
    <row r="202" spans="36:40" x14ac:dyDescent="0.3">
      <c r="AJ202"/>
      <c r="AN202" s="363">
        <v>30133</v>
      </c>
    </row>
    <row r="203" spans="36:40" x14ac:dyDescent="0.3">
      <c r="AJ203"/>
      <c r="AN203" s="363">
        <v>30164</v>
      </c>
    </row>
    <row r="204" spans="36:40" x14ac:dyDescent="0.3">
      <c r="AJ204"/>
      <c r="AN204" s="363">
        <v>30195</v>
      </c>
    </row>
    <row r="205" spans="36:40" x14ac:dyDescent="0.3">
      <c r="AJ205"/>
      <c r="AN205" s="363">
        <v>30225</v>
      </c>
    </row>
    <row r="206" spans="36:40" x14ac:dyDescent="0.3">
      <c r="AJ206"/>
      <c r="AN206" s="363">
        <v>30256</v>
      </c>
    </row>
    <row r="207" spans="36:40" x14ac:dyDescent="0.3">
      <c r="AJ207"/>
      <c r="AN207" s="363">
        <v>30286</v>
      </c>
    </row>
    <row r="208" spans="36:40" x14ac:dyDescent="0.3">
      <c r="AJ208"/>
      <c r="AN208" s="363">
        <v>30317</v>
      </c>
    </row>
    <row r="209" spans="36:40" x14ac:dyDescent="0.3">
      <c r="AJ209"/>
      <c r="AN209" s="363">
        <v>30348</v>
      </c>
    </row>
    <row r="210" spans="36:40" x14ac:dyDescent="0.3">
      <c r="AJ210"/>
      <c r="AN210" s="363">
        <v>30376</v>
      </c>
    </row>
    <row r="211" spans="36:40" x14ac:dyDescent="0.3">
      <c r="AJ211"/>
      <c r="AN211" s="363">
        <v>30407</v>
      </c>
    </row>
    <row r="212" spans="36:40" x14ac:dyDescent="0.3">
      <c r="AJ212"/>
      <c r="AN212" s="363">
        <v>30437</v>
      </c>
    </row>
    <row r="213" spans="36:40" x14ac:dyDescent="0.3">
      <c r="AJ213"/>
      <c r="AN213" s="363">
        <v>30468</v>
      </c>
    </row>
    <row r="214" spans="36:40" x14ac:dyDescent="0.3">
      <c r="AJ214"/>
      <c r="AN214" s="363">
        <v>30498</v>
      </c>
    </row>
    <row r="215" spans="36:40" x14ac:dyDescent="0.3">
      <c r="AJ215"/>
      <c r="AN215" s="363">
        <v>30529</v>
      </c>
    </row>
    <row r="216" spans="36:40" x14ac:dyDescent="0.3">
      <c r="AJ216"/>
      <c r="AN216" s="363">
        <v>30560</v>
      </c>
    </row>
    <row r="217" spans="36:40" x14ac:dyDescent="0.3">
      <c r="AJ217"/>
      <c r="AN217" s="363">
        <v>30590</v>
      </c>
    </row>
    <row r="218" spans="36:40" x14ac:dyDescent="0.3">
      <c r="AJ218"/>
      <c r="AN218" s="363">
        <v>30621</v>
      </c>
    </row>
    <row r="219" spans="36:40" x14ac:dyDescent="0.3">
      <c r="AJ219"/>
      <c r="AN219" s="363">
        <v>30651</v>
      </c>
    </row>
    <row r="220" spans="36:40" x14ac:dyDescent="0.3">
      <c r="AJ220"/>
      <c r="AN220" s="363">
        <v>30682</v>
      </c>
    </row>
    <row r="221" spans="36:40" x14ac:dyDescent="0.3">
      <c r="AJ221"/>
      <c r="AN221" s="363">
        <v>30713</v>
      </c>
    </row>
    <row r="222" spans="36:40" x14ac:dyDescent="0.3">
      <c r="AJ222"/>
      <c r="AN222" s="363">
        <v>30742</v>
      </c>
    </row>
    <row r="223" spans="36:40" x14ac:dyDescent="0.3">
      <c r="AJ223"/>
      <c r="AN223" s="363">
        <v>30773</v>
      </c>
    </row>
    <row r="224" spans="36:40" x14ac:dyDescent="0.3">
      <c r="AJ224"/>
      <c r="AN224" s="363">
        <v>30803</v>
      </c>
    </row>
    <row r="225" spans="36:40" x14ac:dyDescent="0.3">
      <c r="AJ225"/>
      <c r="AN225" s="363">
        <v>30834</v>
      </c>
    </row>
    <row r="226" spans="36:40" x14ac:dyDescent="0.3">
      <c r="AJ226"/>
      <c r="AN226" s="363">
        <v>30864</v>
      </c>
    </row>
    <row r="227" spans="36:40" x14ac:dyDescent="0.3">
      <c r="AJ227"/>
      <c r="AN227" s="363">
        <v>30895</v>
      </c>
    </row>
    <row r="228" spans="36:40" x14ac:dyDescent="0.3">
      <c r="AJ228"/>
      <c r="AN228" s="363">
        <v>30926</v>
      </c>
    </row>
    <row r="229" spans="36:40" x14ac:dyDescent="0.3">
      <c r="AJ229"/>
      <c r="AN229" s="363">
        <v>30956</v>
      </c>
    </row>
    <row r="230" spans="36:40" x14ac:dyDescent="0.3">
      <c r="AJ230"/>
      <c r="AN230" s="363">
        <v>30987</v>
      </c>
    </row>
    <row r="231" spans="36:40" x14ac:dyDescent="0.3">
      <c r="AJ231"/>
      <c r="AN231" s="363">
        <v>31017</v>
      </c>
    </row>
    <row r="232" spans="36:40" x14ac:dyDescent="0.3">
      <c r="AJ232"/>
      <c r="AN232" s="363">
        <v>31048</v>
      </c>
    </row>
    <row r="233" spans="36:40" x14ac:dyDescent="0.3">
      <c r="AJ233"/>
      <c r="AN233" s="363">
        <v>31079</v>
      </c>
    </row>
    <row r="234" spans="36:40" x14ac:dyDescent="0.3">
      <c r="AJ234"/>
      <c r="AN234" s="363">
        <v>31107</v>
      </c>
    </row>
    <row r="235" spans="36:40" x14ac:dyDescent="0.3">
      <c r="AJ235"/>
      <c r="AN235" s="363">
        <v>31138</v>
      </c>
    </row>
    <row r="236" spans="36:40" x14ac:dyDescent="0.3">
      <c r="AJ236"/>
      <c r="AN236" s="363">
        <v>31168</v>
      </c>
    </row>
    <row r="237" spans="36:40" x14ac:dyDescent="0.3">
      <c r="AJ237"/>
      <c r="AN237" s="363">
        <v>31199</v>
      </c>
    </row>
    <row r="238" spans="36:40" x14ac:dyDescent="0.3">
      <c r="AJ238"/>
      <c r="AN238" s="363">
        <v>31229</v>
      </c>
    </row>
    <row r="239" spans="36:40" x14ac:dyDescent="0.3">
      <c r="AJ239"/>
      <c r="AN239" s="363">
        <v>31260</v>
      </c>
    </row>
    <row r="240" spans="36:40" x14ac:dyDescent="0.3">
      <c r="AJ240"/>
      <c r="AN240" s="363">
        <v>31291</v>
      </c>
    </row>
    <row r="241" spans="36:41" x14ac:dyDescent="0.3">
      <c r="AJ241"/>
      <c r="AN241" s="363">
        <v>31321</v>
      </c>
    </row>
    <row r="242" spans="36:41" x14ac:dyDescent="0.3">
      <c r="AJ242"/>
      <c r="AN242" s="363">
        <v>31352</v>
      </c>
    </row>
    <row r="243" spans="36:41" x14ac:dyDescent="0.3">
      <c r="AJ243"/>
      <c r="AN243" s="363">
        <v>31382</v>
      </c>
    </row>
    <row r="244" spans="36:41" x14ac:dyDescent="0.3">
      <c r="AJ244"/>
      <c r="AN244" s="363">
        <v>31413</v>
      </c>
    </row>
    <row r="245" spans="36:41" x14ac:dyDescent="0.3">
      <c r="AJ245"/>
      <c r="AN245" s="363">
        <v>31444</v>
      </c>
    </row>
    <row r="246" spans="36:41" x14ac:dyDescent="0.3">
      <c r="AJ246"/>
      <c r="AN246" s="363">
        <v>31472</v>
      </c>
    </row>
    <row r="247" spans="36:41" x14ac:dyDescent="0.3">
      <c r="AJ247"/>
      <c r="AN247" s="363">
        <v>31503</v>
      </c>
    </row>
    <row r="248" spans="36:41" x14ac:dyDescent="0.3">
      <c r="AJ248"/>
      <c r="AN248" s="363">
        <v>31533</v>
      </c>
    </row>
    <row r="249" spans="36:41" x14ac:dyDescent="0.3">
      <c r="AJ249"/>
      <c r="AN249" s="363">
        <v>31564</v>
      </c>
    </row>
    <row r="250" spans="36:41" x14ac:dyDescent="0.3">
      <c r="AJ250"/>
      <c r="AN250" s="363">
        <v>31594</v>
      </c>
    </row>
    <row r="251" spans="36:41" x14ac:dyDescent="0.3">
      <c r="AJ251"/>
      <c r="AN251" s="363">
        <v>31625</v>
      </c>
    </row>
    <row r="252" spans="36:41" x14ac:dyDescent="0.3">
      <c r="AJ252"/>
      <c r="AN252" s="363">
        <v>31656</v>
      </c>
    </row>
    <row r="253" spans="36:41" x14ac:dyDescent="0.3">
      <c r="AJ253"/>
      <c r="AN253" s="363">
        <v>31686</v>
      </c>
    </row>
    <row r="254" spans="36:41" x14ac:dyDescent="0.3">
      <c r="AJ254"/>
      <c r="AN254" s="363">
        <v>31717</v>
      </c>
    </row>
    <row r="255" spans="36:41" x14ac:dyDescent="0.3">
      <c r="AJ255"/>
      <c r="AN255" s="363">
        <v>31747</v>
      </c>
    </row>
    <row r="256" spans="36:41" x14ac:dyDescent="0.3">
      <c r="AJ256"/>
      <c r="AN256" s="363">
        <v>31778</v>
      </c>
      <c r="AO256" s="367">
        <f>AN256</f>
        <v>31778</v>
      </c>
    </row>
    <row r="257" spans="36:40" x14ac:dyDescent="0.3">
      <c r="AJ257"/>
      <c r="AN257" s="363">
        <v>31809</v>
      </c>
    </row>
    <row r="258" spans="36:40" x14ac:dyDescent="0.3">
      <c r="AJ258"/>
      <c r="AN258" s="363">
        <v>31837</v>
      </c>
    </row>
    <row r="259" spans="36:40" x14ac:dyDescent="0.3">
      <c r="AJ259"/>
      <c r="AN259" s="363">
        <v>31868</v>
      </c>
    </row>
    <row r="260" spans="36:40" x14ac:dyDescent="0.3">
      <c r="AJ260"/>
      <c r="AN260" s="363">
        <v>31898</v>
      </c>
    </row>
    <row r="261" spans="36:40" x14ac:dyDescent="0.3">
      <c r="AJ261"/>
      <c r="AN261" s="363">
        <v>31929</v>
      </c>
    </row>
    <row r="262" spans="36:40" x14ac:dyDescent="0.3">
      <c r="AJ262"/>
      <c r="AN262" s="363">
        <v>31959</v>
      </c>
    </row>
    <row r="263" spans="36:40" x14ac:dyDescent="0.3">
      <c r="AJ263"/>
      <c r="AN263" s="363">
        <v>31990</v>
      </c>
    </row>
    <row r="264" spans="36:40" x14ac:dyDescent="0.3">
      <c r="AJ264"/>
      <c r="AN264" s="363">
        <v>32021</v>
      </c>
    </row>
    <row r="265" spans="36:40" x14ac:dyDescent="0.3">
      <c r="AJ265"/>
      <c r="AN265" s="363">
        <v>32051</v>
      </c>
    </row>
    <row r="266" spans="36:40" x14ac:dyDescent="0.3">
      <c r="AJ266"/>
      <c r="AN266" s="363">
        <v>32082</v>
      </c>
    </row>
    <row r="267" spans="36:40" x14ac:dyDescent="0.3">
      <c r="AJ267"/>
      <c r="AN267" s="363">
        <v>32112</v>
      </c>
    </row>
    <row r="268" spans="36:40" x14ac:dyDescent="0.3">
      <c r="AJ268"/>
      <c r="AN268" s="363">
        <v>32143</v>
      </c>
    </row>
    <row r="269" spans="36:40" x14ac:dyDescent="0.3">
      <c r="AJ269"/>
      <c r="AN269" s="363">
        <v>32174</v>
      </c>
    </row>
    <row r="270" spans="36:40" x14ac:dyDescent="0.3">
      <c r="AJ270"/>
      <c r="AN270" s="363">
        <v>32203</v>
      </c>
    </row>
    <row r="271" spans="36:40" x14ac:dyDescent="0.3">
      <c r="AJ271"/>
      <c r="AN271" s="363">
        <v>32234</v>
      </c>
    </row>
    <row r="272" spans="36:40" x14ac:dyDescent="0.3">
      <c r="AJ272"/>
      <c r="AN272" s="363">
        <v>32264</v>
      </c>
    </row>
    <row r="273" spans="36:40" x14ac:dyDescent="0.3">
      <c r="AJ273"/>
      <c r="AN273" s="363">
        <v>32295</v>
      </c>
    </row>
    <row r="274" spans="36:40" x14ac:dyDescent="0.3">
      <c r="AJ274"/>
      <c r="AN274" s="363">
        <v>32325</v>
      </c>
    </row>
    <row r="275" spans="36:40" x14ac:dyDescent="0.3">
      <c r="AJ275"/>
      <c r="AN275" s="363">
        <v>32356</v>
      </c>
    </row>
    <row r="276" spans="36:40" x14ac:dyDescent="0.3">
      <c r="AJ276"/>
      <c r="AN276" s="363">
        <v>32387</v>
      </c>
    </row>
    <row r="277" spans="36:40" x14ac:dyDescent="0.3">
      <c r="AJ277"/>
      <c r="AN277" s="363">
        <v>32417</v>
      </c>
    </row>
    <row r="278" spans="36:40" x14ac:dyDescent="0.3">
      <c r="AJ278"/>
      <c r="AN278" s="363">
        <v>32448</v>
      </c>
    </row>
    <row r="279" spans="36:40" x14ac:dyDescent="0.3">
      <c r="AJ279"/>
      <c r="AN279" s="363">
        <v>32478</v>
      </c>
    </row>
    <row r="280" spans="36:40" x14ac:dyDescent="0.3">
      <c r="AJ280"/>
      <c r="AN280" s="363">
        <v>32509</v>
      </c>
    </row>
    <row r="281" spans="36:40" x14ac:dyDescent="0.3">
      <c r="AJ281"/>
      <c r="AN281" s="363">
        <v>32540</v>
      </c>
    </row>
    <row r="282" spans="36:40" x14ac:dyDescent="0.3">
      <c r="AJ282"/>
      <c r="AN282" s="363">
        <v>32568</v>
      </c>
    </row>
    <row r="283" spans="36:40" x14ac:dyDescent="0.3">
      <c r="AJ283"/>
      <c r="AN283" s="363">
        <v>32599</v>
      </c>
    </row>
    <row r="284" spans="36:40" x14ac:dyDescent="0.3">
      <c r="AJ284"/>
      <c r="AN284" s="363">
        <v>32629</v>
      </c>
    </row>
    <row r="285" spans="36:40" x14ac:dyDescent="0.3">
      <c r="AJ285"/>
      <c r="AN285" s="363">
        <v>32660</v>
      </c>
    </row>
    <row r="286" spans="36:40" x14ac:dyDescent="0.3">
      <c r="AJ286"/>
      <c r="AN286" s="363">
        <v>32690</v>
      </c>
    </row>
    <row r="287" spans="36:40" x14ac:dyDescent="0.3">
      <c r="AJ287"/>
      <c r="AN287" s="363">
        <v>32721</v>
      </c>
    </row>
    <row r="288" spans="36:40" x14ac:dyDescent="0.3">
      <c r="AJ288"/>
      <c r="AN288" s="363">
        <v>32752</v>
      </c>
    </row>
    <row r="289" spans="36:40" x14ac:dyDescent="0.3">
      <c r="AJ289"/>
      <c r="AN289" s="363">
        <v>32782</v>
      </c>
    </row>
    <row r="290" spans="36:40" x14ac:dyDescent="0.3">
      <c r="AJ290"/>
      <c r="AN290" s="363">
        <v>32813</v>
      </c>
    </row>
    <row r="291" spans="36:40" x14ac:dyDescent="0.3">
      <c r="AJ291"/>
      <c r="AN291" s="363">
        <v>32843</v>
      </c>
    </row>
    <row r="292" spans="36:40" x14ac:dyDescent="0.3">
      <c r="AJ292"/>
      <c r="AN292" s="363">
        <v>32874</v>
      </c>
    </row>
    <row r="293" spans="36:40" x14ac:dyDescent="0.3">
      <c r="AJ293"/>
      <c r="AN293" s="363">
        <v>32905</v>
      </c>
    </row>
    <row r="294" spans="36:40" x14ac:dyDescent="0.3">
      <c r="AJ294"/>
      <c r="AN294" s="363">
        <v>32933</v>
      </c>
    </row>
    <row r="295" spans="36:40" x14ac:dyDescent="0.3">
      <c r="AJ295"/>
      <c r="AN295" s="363">
        <v>32964</v>
      </c>
    </row>
    <row r="296" spans="36:40" x14ac:dyDescent="0.3">
      <c r="AJ296"/>
      <c r="AN296" s="363">
        <v>32994</v>
      </c>
    </row>
    <row r="297" spans="36:40" x14ac:dyDescent="0.3">
      <c r="AJ297"/>
      <c r="AN297" s="363">
        <v>33025</v>
      </c>
    </row>
    <row r="298" spans="36:40" x14ac:dyDescent="0.3">
      <c r="AJ298"/>
      <c r="AN298" s="363">
        <v>33055</v>
      </c>
    </row>
    <row r="299" spans="36:40" x14ac:dyDescent="0.3">
      <c r="AJ299"/>
      <c r="AN299" s="363">
        <v>33086</v>
      </c>
    </row>
    <row r="300" spans="36:40" x14ac:dyDescent="0.3">
      <c r="AJ300"/>
      <c r="AN300" s="363">
        <v>33117</v>
      </c>
    </row>
    <row r="301" spans="36:40" x14ac:dyDescent="0.3">
      <c r="AJ301"/>
      <c r="AN301" s="363">
        <v>33147</v>
      </c>
    </row>
    <row r="302" spans="36:40" x14ac:dyDescent="0.3">
      <c r="AJ302"/>
      <c r="AN302" s="363">
        <v>33178</v>
      </c>
    </row>
    <row r="303" spans="36:40" x14ac:dyDescent="0.3">
      <c r="AJ303"/>
      <c r="AN303" s="363">
        <v>33208</v>
      </c>
    </row>
    <row r="304" spans="36:40" x14ac:dyDescent="0.3">
      <c r="AJ304"/>
      <c r="AN304" s="363">
        <v>33239</v>
      </c>
    </row>
    <row r="305" spans="36:40" x14ac:dyDescent="0.3">
      <c r="AJ305"/>
      <c r="AN305" s="363">
        <v>33270</v>
      </c>
    </row>
    <row r="306" spans="36:40" x14ac:dyDescent="0.3">
      <c r="AJ306"/>
      <c r="AN306" s="363">
        <v>33298</v>
      </c>
    </row>
    <row r="307" spans="36:40" x14ac:dyDescent="0.3">
      <c r="AJ307"/>
      <c r="AN307" s="363">
        <v>33329</v>
      </c>
    </row>
    <row r="308" spans="36:40" x14ac:dyDescent="0.3">
      <c r="AJ308"/>
      <c r="AN308" s="363">
        <v>33359</v>
      </c>
    </row>
    <row r="309" spans="36:40" x14ac:dyDescent="0.3">
      <c r="AJ309"/>
      <c r="AN309" s="363">
        <v>33390</v>
      </c>
    </row>
    <row r="310" spans="36:40" x14ac:dyDescent="0.3">
      <c r="AJ310"/>
      <c r="AN310" s="363">
        <v>33420</v>
      </c>
    </row>
    <row r="311" spans="36:40" x14ac:dyDescent="0.3">
      <c r="AJ311"/>
      <c r="AN311" s="363">
        <v>33451</v>
      </c>
    </row>
    <row r="312" spans="36:40" x14ac:dyDescent="0.3">
      <c r="AJ312"/>
      <c r="AN312" s="363">
        <v>33482</v>
      </c>
    </row>
    <row r="313" spans="36:40" x14ac:dyDescent="0.3">
      <c r="AJ313"/>
      <c r="AN313" s="363">
        <v>33512</v>
      </c>
    </row>
    <row r="314" spans="36:40" x14ac:dyDescent="0.3">
      <c r="AJ314"/>
      <c r="AN314" s="363">
        <v>33543</v>
      </c>
    </row>
    <row r="315" spans="36:40" x14ac:dyDescent="0.3">
      <c r="AJ315"/>
      <c r="AN315" s="363">
        <v>33573</v>
      </c>
    </row>
    <row r="316" spans="36:40" x14ac:dyDescent="0.3">
      <c r="AJ316"/>
      <c r="AN316" s="363">
        <v>33604</v>
      </c>
    </row>
    <row r="317" spans="36:40" x14ac:dyDescent="0.3">
      <c r="AJ317"/>
      <c r="AN317" s="363">
        <v>33635</v>
      </c>
    </row>
    <row r="318" spans="36:40" x14ac:dyDescent="0.3">
      <c r="AJ318"/>
      <c r="AN318" s="363">
        <v>33664</v>
      </c>
    </row>
    <row r="319" spans="36:40" x14ac:dyDescent="0.3">
      <c r="AJ319"/>
      <c r="AN319" s="363">
        <v>33695</v>
      </c>
    </row>
    <row r="320" spans="36:40" x14ac:dyDescent="0.3">
      <c r="AJ320"/>
      <c r="AN320" s="363">
        <v>33725</v>
      </c>
    </row>
    <row r="321" spans="36:40" x14ac:dyDescent="0.3">
      <c r="AJ321"/>
      <c r="AN321" s="363">
        <v>33756</v>
      </c>
    </row>
    <row r="322" spans="36:40" x14ac:dyDescent="0.3">
      <c r="AJ322"/>
      <c r="AN322" s="363">
        <v>33786</v>
      </c>
    </row>
    <row r="323" spans="36:40" x14ac:dyDescent="0.3">
      <c r="AJ323"/>
      <c r="AN323" s="363">
        <v>33817</v>
      </c>
    </row>
    <row r="324" spans="36:40" x14ac:dyDescent="0.3">
      <c r="AJ324"/>
      <c r="AN324" s="363">
        <v>33848</v>
      </c>
    </row>
    <row r="325" spans="36:40" x14ac:dyDescent="0.3">
      <c r="AJ325"/>
      <c r="AN325" s="363">
        <v>33878</v>
      </c>
    </row>
    <row r="326" spans="36:40" x14ac:dyDescent="0.3">
      <c r="AJ326"/>
      <c r="AN326" s="363">
        <v>33909</v>
      </c>
    </row>
    <row r="327" spans="36:40" x14ac:dyDescent="0.3">
      <c r="AJ327"/>
      <c r="AN327" s="363">
        <v>33939</v>
      </c>
    </row>
    <row r="328" spans="36:40" x14ac:dyDescent="0.3">
      <c r="AJ328"/>
      <c r="AN328" s="363">
        <v>33970</v>
      </c>
    </row>
    <row r="329" spans="36:40" x14ac:dyDescent="0.3">
      <c r="AJ329"/>
      <c r="AN329" s="363">
        <v>34001</v>
      </c>
    </row>
    <row r="330" spans="36:40" x14ac:dyDescent="0.3">
      <c r="AJ330"/>
      <c r="AN330" s="363">
        <v>34029</v>
      </c>
    </row>
    <row r="331" spans="36:40" x14ac:dyDescent="0.3">
      <c r="AJ331"/>
      <c r="AN331" s="363">
        <v>34060</v>
      </c>
    </row>
    <row r="332" spans="36:40" x14ac:dyDescent="0.3">
      <c r="AJ332"/>
      <c r="AN332" s="363">
        <v>34090</v>
      </c>
    </row>
    <row r="333" spans="36:40" x14ac:dyDescent="0.3">
      <c r="AJ333"/>
      <c r="AN333" s="363">
        <v>34121</v>
      </c>
    </row>
    <row r="334" spans="36:40" x14ac:dyDescent="0.3">
      <c r="AJ334"/>
      <c r="AN334" s="363">
        <v>34151</v>
      </c>
    </row>
    <row r="335" spans="36:40" x14ac:dyDescent="0.3">
      <c r="AJ335"/>
      <c r="AN335" s="363">
        <v>34182</v>
      </c>
    </row>
    <row r="336" spans="36:40" x14ac:dyDescent="0.3">
      <c r="AJ336"/>
      <c r="AN336" s="363">
        <v>34213</v>
      </c>
    </row>
    <row r="337" spans="36:40" x14ac:dyDescent="0.3">
      <c r="AJ337"/>
      <c r="AN337" s="363">
        <v>34243</v>
      </c>
    </row>
    <row r="338" spans="36:40" x14ac:dyDescent="0.3">
      <c r="AJ338"/>
      <c r="AN338" s="363">
        <v>34274</v>
      </c>
    </row>
    <row r="339" spans="36:40" x14ac:dyDescent="0.3">
      <c r="AJ339"/>
      <c r="AN339" s="363">
        <v>34304</v>
      </c>
    </row>
    <row r="340" spans="36:40" x14ac:dyDescent="0.3">
      <c r="AJ340"/>
      <c r="AN340" s="363">
        <v>34335</v>
      </c>
    </row>
    <row r="341" spans="36:40" x14ac:dyDescent="0.3">
      <c r="AJ341"/>
      <c r="AN341" s="363">
        <v>34366</v>
      </c>
    </row>
    <row r="342" spans="36:40" x14ac:dyDescent="0.3">
      <c r="AJ342"/>
      <c r="AN342" s="363">
        <v>34394</v>
      </c>
    </row>
    <row r="343" spans="36:40" x14ac:dyDescent="0.3">
      <c r="AJ343"/>
      <c r="AN343" s="363">
        <v>34425</v>
      </c>
    </row>
    <row r="344" spans="36:40" x14ac:dyDescent="0.3">
      <c r="AJ344"/>
      <c r="AN344" s="363">
        <v>34455</v>
      </c>
    </row>
    <row r="345" spans="36:40" x14ac:dyDescent="0.3">
      <c r="AJ345"/>
      <c r="AN345" s="363">
        <v>34486</v>
      </c>
    </row>
    <row r="346" spans="36:40" x14ac:dyDescent="0.3">
      <c r="AJ346"/>
      <c r="AN346" s="363">
        <v>34516</v>
      </c>
    </row>
    <row r="347" spans="36:40" x14ac:dyDescent="0.3">
      <c r="AJ347"/>
      <c r="AN347" s="363">
        <v>34547</v>
      </c>
    </row>
    <row r="348" spans="36:40" x14ac:dyDescent="0.3">
      <c r="AJ348"/>
      <c r="AN348" s="363">
        <v>34578</v>
      </c>
    </row>
    <row r="349" spans="36:40" x14ac:dyDescent="0.3">
      <c r="AJ349"/>
      <c r="AN349" s="363">
        <v>34608</v>
      </c>
    </row>
    <row r="350" spans="36:40" x14ac:dyDescent="0.3">
      <c r="AJ350"/>
      <c r="AN350" s="363">
        <v>34639</v>
      </c>
    </row>
    <row r="351" spans="36:40" x14ac:dyDescent="0.3">
      <c r="AJ351"/>
      <c r="AN351" s="363">
        <v>34669</v>
      </c>
    </row>
    <row r="352" spans="36:40" x14ac:dyDescent="0.3">
      <c r="AJ352"/>
      <c r="AN352" s="363">
        <v>34700</v>
      </c>
    </row>
    <row r="353" spans="36:40" x14ac:dyDescent="0.3">
      <c r="AJ353"/>
      <c r="AN353" s="363">
        <v>34731</v>
      </c>
    </row>
    <row r="354" spans="36:40" x14ac:dyDescent="0.3">
      <c r="AJ354"/>
      <c r="AN354" s="363">
        <v>34759</v>
      </c>
    </row>
    <row r="355" spans="36:40" x14ac:dyDescent="0.3">
      <c r="AJ355"/>
      <c r="AN355" s="363">
        <v>34790</v>
      </c>
    </row>
    <row r="356" spans="36:40" x14ac:dyDescent="0.3">
      <c r="AJ356"/>
      <c r="AN356" s="363">
        <v>34820</v>
      </c>
    </row>
    <row r="357" spans="36:40" x14ac:dyDescent="0.3">
      <c r="AJ357"/>
      <c r="AN357" s="363">
        <v>34851</v>
      </c>
    </row>
    <row r="358" spans="36:40" x14ac:dyDescent="0.3">
      <c r="AJ358"/>
      <c r="AN358" s="363">
        <v>34881</v>
      </c>
    </row>
    <row r="359" spans="36:40" x14ac:dyDescent="0.3">
      <c r="AJ359"/>
      <c r="AN359" s="363">
        <v>34912</v>
      </c>
    </row>
    <row r="360" spans="36:40" x14ac:dyDescent="0.3">
      <c r="AJ360"/>
      <c r="AN360" s="363">
        <v>34943</v>
      </c>
    </row>
    <row r="361" spans="36:40" x14ac:dyDescent="0.3">
      <c r="AJ361"/>
      <c r="AN361" s="363">
        <v>34973</v>
      </c>
    </row>
    <row r="362" spans="36:40" x14ac:dyDescent="0.3">
      <c r="AJ362"/>
      <c r="AN362" s="363">
        <v>35004</v>
      </c>
    </row>
    <row r="363" spans="36:40" x14ac:dyDescent="0.3">
      <c r="AJ363"/>
      <c r="AN363" s="363">
        <v>35034</v>
      </c>
    </row>
    <row r="364" spans="36:40" x14ac:dyDescent="0.3">
      <c r="AJ364"/>
      <c r="AN364" s="363">
        <v>35065</v>
      </c>
    </row>
    <row r="365" spans="36:40" x14ac:dyDescent="0.3">
      <c r="AJ365"/>
      <c r="AN365" s="363">
        <v>35096</v>
      </c>
    </row>
    <row r="366" spans="36:40" x14ac:dyDescent="0.3">
      <c r="AJ366"/>
      <c r="AN366" s="363">
        <v>35125</v>
      </c>
    </row>
    <row r="367" spans="36:40" x14ac:dyDescent="0.3">
      <c r="AJ367"/>
      <c r="AN367" s="363">
        <v>35156</v>
      </c>
    </row>
    <row r="368" spans="36:40" x14ac:dyDescent="0.3">
      <c r="AJ368"/>
      <c r="AN368" s="363">
        <v>35186</v>
      </c>
    </row>
    <row r="369" spans="36:40" x14ac:dyDescent="0.3">
      <c r="AJ369"/>
      <c r="AN369" s="363">
        <v>35217</v>
      </c>
    </row>
    <row r="370" spans="36:40" x14ac:dyDescent="0.3">
      <c r="AJ370"/>
      <c r="AN370" s="363">
        <v>35247</v>
      </c>
    </row>
    <row r="371" spans="36:40" x14ac:dyDescent="0.3">
      <c r="AN371" s="363">
        <v>35278</v>
      </c>
    </row>
    <row r="372" spans="36:40" x14ac:dyDescent="0.3">
      <c r="AN372" s="363">
        <v>35309</v>
      </c>
    </row>
    <row r="373" spans="36:40" x14ac:dyDescent="0.3">
      <c r="AN373" s="363">
        <v>35339</v>
      </c>
    </row>
    <row r="374" spans="36:40" x14ac:dyDescent="0.3">
      <c r="AN374" s="363">
        <v>35370</v>
      </c>
    </row>
    <row r="375" spans="36:40" x14ac:dyDescent="0.3">
      <c r="AN375" s="363">
        <v>35400</v>
      </c>
    </row>
    <row r="376" spans="36:40" x14ac:dyDescent="0.3">
      <c r="AN376" s="363">
        <v>35431</v>
      </c>
    </row>
    <row r="377" spans="36:40" x14ac:dyDescent="0.3">
      <c r="AN377" s="363">
        <v>35462</v>
      </c>
    </row>
    <row r="378" spans="36:40" x14ac:dyDescent="0.3">
      <c r="AN378" s="363">
        <v>35490</v>
      </c>
    </row>
    <row r="379" spans="36:40" x14ac:dyDescent="0.3">
      <c r="AN379" s="363">
        <v>35521</v>
      </c>
    </row>
    <row r="380" spans="36:40" x14ac:dyDescent="0.3">
      <c r="AN380" s="363">
        <v>35551</v>
      </c>
    </row>
    <row r="381" spans="36:40" x14ac:dyDescent="0.3">
      <c r="AN381" s="363">
        <v>35582</v>
      </c>
    </row>
    <row r="382" spans="36:40" x14ac:dyDescent="0.3">
      <c r="AN382" s="363">
        <v>35612</v>
      </c>
    </row>
    <row r="383" spans="36:40" x14ac:dyDescent="0.3">
      <c r="AN383" s="363">
        <v>35643</v>
      </c>
    </row>
    <row r="384" spans="36:40" x14ac:dyDescent="0.3">
      <c r="AN384" s="363">
        <v>35674</v>
      </c>
    </row>
    <row r="385" spans="40:40" x14ac:dyDescent="0.3">
      <c r="AN385" s="363">
        <v>35704</v>
      </c>
    </row>
    <row r="386" spans="40:40" x14ac:dyDescent="0.3">
      <c r="AN386" s="363">
        <v>35735</v>
      </c>
    </row>
    <row r="387" spans="40:40" x14ac:dyDescent="0.3">
      <c r="AN387" s="363">
        <v>35765</v>
      </c>
    </row>
    <row r="388" spans="40:40" x14ac:dyDescent="0.3">
      <c r="AN388" s="363">
        <v>35796</v>
      </c>
    </row>
    <row r="389" spans="40:40" x14ac:dyDescent="0.3">
      <c r="AN389" s="363">
        <v>35827</v>
      </c>
    </row>
    <row r="390" spans="40:40" x14ac:dyDescent="0.3">
      <c r="AN390" s="363">
        <v>35855</v>
      </c>
    </row>
    <row r="391" spans="40:40" x14ac:dyDescent="0.3">
      <c r="AN391" s="363">
        <v>35886</v>
      </c>
    </row>
    <row r="392" spans="40:40" x14ac:dyDescent="0.3">
      <c r="AN392" s="363">
        <v>35916</v>
      </c>
    </row>
    <row r="393" spans="40:40" x14ac:dyDescent="0.3">
      <c r="AN393" s="363">
        <v>35947</v>
      </c>
    </row>
    <row r="394" spans="40:40" x14ac:dyDescent="0.3">
      <c r="AN394" s="363">
        <v>35977</v>
      </c>
    </row>
    <row r="395" spans="40:40" x14ac:dyDescent="0.3">
      <c r="AN395" s="363">
        <v>36008</v>
      </c>
    </row>
    <row r="396" spans="40:40" x14ac:dyDescent="0.3">
      <c r="AN396" s="363">
        <v>36039</v>
      </c>
    </row>
    <row r="397" spans="40:40" x14ac:dyDescent="0.3">
      <c r="AN397" s="363">
        <v>36069</v>
      </c>
    </row>
    <row r="398" spans="40:40" x14ac:dyDescent="0.3">
      <c r="AN398" s="363">
        <v>36100</v>
      </c>
    </row>
    <row r="399" spans="40:40" x14ac:dyDescent="0.3">
      <c r="AN399" s="363">
        <v>36130</v>
      </c>
    </row>
    <row r="400" spans="40:40" x14ac:dyDescent="0.3">
      <c r="AN400" s="363">
        <v>36161</v>
      </c>
    </row>
    <row r="401" spans="40:40" x14ac:dyDescent="0.3">
      <c r="AN401" s="363">
        <v>36192</v>
      </c>
    </row>
    <row r="402" spans="40:40" x14ac:dyDescent="0.3">
      <c r="AN402" s="363">
        <v>36220</v>
      </c>
    </row>
    <row r="403" spans="40:40" x14ac:dyDescent="0.3">
      <c r="AN403" s="363">
        <v>36251</v>
      </c>
    </row>
    <row r="404" spans="40:40" x14ac:dyDescent="0.3">
      <c r="AN404" s="363">
        <v>36281</v>
      </c>
    </row>
    <row r="405" spans="40:40" x14ac:dyDescent="0.3">
      <c r="AN405" s="363">
        <v>36312</v>
      </c>
    </row>
    <row r="406" spans="40:40" x14ac:dyDescent="0.3">
      <c r="AN406" s="363">
        <v>36342</v>
      </c>
    </row>
    <row r="407" spans="40:40" x14ac:dyDescent="0.3">
      <c r="AN407" s="363">
        <v>36373</v>
      </c>
    </row>
    <row r="408" spans="40:40" x14ac:dyDescent="0.3">
      <c r="AN408" s="363">
        <v>36404</v>
      </c>
    </row>
    <row r="409" spans="40:40" x14ac:dyDescent="0.3">
      <c r="AN409" s="363">
        <v>36434</v>
      </c>
    </row>
    <row r="410" spans="40:40" x14ac:dyDescent="0.3">
      <c r="AN410" s="363">
        <v>36465</v>
      </c>
    </row>
    <row r="411" spans="40:40" x14ac:dyDescent="0.3">
      <c r="AN411" s="363">
        <v>36495</v>
      </c>
    </row>
    <row r="412" spans="40:40" x14ac:dyDescent="0.3">
      <c r="AN412" s="363">
        <v>36526</v>
      </c>
    </row>
    <row r="413" spans="40:40" x14ac:dyDescent="0.3">
      <c r="AN413" s="363">
        <v>36557</v>
      </c>
    </row>
    <row r="414" spans="40:40" x14ac:dyDescent="0.3">
      <c r="AN414" s="363">
        <v>36586</v>
      </c>
    </row>
    <row r="415" spans="40:40" x14ac:dyDescent="0.3">
      <c r="AN415" s="363">
        <v>36617</v>
      </c>
    </row>
    <row r="416" spans="40:40" x14ac:dyDescent="0.3">
      <c r="AN416" s="363">
        <v>36647</v>
      </c>
    </row>
    <row r="417" spans="2:40" x14ac:dyDescent="0.3">
      <c r="AN417" s="363">
        <v>36678</v>
      </c>
    </row>
    <row r="418" spans="2:40" x14ac:dyDescent="0.3">
      <c r="D418" s="123"/>
      <c r="E418" s="123"/>
      <c r="F418" s="123"/>
      <c r="G418" s="123"/>
      <c r="H418" s="123"/>
      <c r="I418" s="123"/>
      <c r="J418" s="123"/>
      <c r="K418" s="123"/>
      <c r="L418" s="123"/>
      <c r="M418" s="123"/>
      <c r="AN418" s="363">
        <v>36708</v>
      </c>
    </row>
    <row r="419" spans="2:40" x14ac:dyDescent="0.3">
      <c r="D419" s="123"/>
      <c r="E419" s="123"/>
      <c r="F419" s="123"/>
      <c r="G419" s="123"/>
      <c r="H419" s="123"/>
      <c r="I419" s="123"/>
      <c r="J419" s="123"/>
      <c r="K419" s="123"/>
      <c r="L419" s="123"/>
      <c r="M419" s="123"/>
      <c r="AN419" s="363">
        <v>36739</v>
      </c>
    </row>
    <row r="420" spans="2:40" x14ac:dyDescent="0.3">
      <c r="D420" s="123"/>
      <c r="E420" s="123"/>
      <c r="F420" s="123"/>
      <c r="G420" s="123"/>
      <c r="H420" s="123"/>
      <c r="I420" s="123"/>
      <c r="J420" s="123"/>
      <c r="K420" s="123"/>
      <c r="L420" s="123"/>
      <c r="M420" s="123"/>
      <c r="AN420" s="363">
        <v>36770</v>
      </c>
    </row>
    <row r="421" spans="2:40" x14ac:dyDescent="0.3">
      <c r="B421" s="235"/>
      <c r="C421" s="235"/>
      <c r="D421" s="123"/>
      <c r="E421" s="123"/>
      <c r="F421" s="123"/>
      <c r="G421" s="123"/>
      <c r="H421" s="123"/>
      <c r="I421" s="123"/>
      <c r="J421" s="123"/>
      <c r="K421" s="123"/>
      <c r="L421" s="123"/>
      <c r="M421" s="123"/>
      <c r="AN421" s="363">
        <v>36800</v>
      </c>
    </row>
    <row r="422" spans="2:40" x14ac:dyDescent="0.3">
      <c r="D422" s="123"/>
      <c r="E422" s="123"/>
      <c r="F422" s="123"/>
      <c r="G422" s="123"/>
      <c r="H422" s="123"/>
      <c r="I422" s="123"/>
      <c r="J422" s="123"/>
      <c r="K422" s="123"/>
      <c r="L422" s="123"/>
      <c r="M422" s="123"/>
      <c r="AN422" s="363">
        <v>36831</v>
      </c>
    </row>
    <row r="423" spans="2:40" x14ac:dyDescent="0.3">
      <c r="D423" s="123"/>
      <c r="E423" s="123"/>
      <c r="F423" s="123"/>
      <c r="G423" s="123"/>
      <c r="H423" s="123"/>
      <c r="I423" s="123"/>
      <c r="J423" s="123"/>
      <c r="K423" s="123"/>
      <c r="L423" s="123"/>
      <c r="M423" s="123"/>
      <c r="AN423" s="363">
        <v>36861</v>
      </c>
    </row>
    <row r="424" spans="2:40" x14ac:dyDescent="0.3">
      <c r="D424" s="123"/>
      <c r="E424" s="123"/>
      <c r="F424" s="123"/>
      <c r="G424" s="123"/>
      <c r="H424" s="123"/>
      <c r="I424" s="123"/>
      <c r="J424" s="123"/>
      <c r="K424" s="123"/>
      <c r="L424" s="123"/>
      <c r="M424" s="123"/>
      <c r="AN424" s="363">
        <v>36892</v>
      </c>
    </row>
    <row r="425" spans="2:40" x14ac:dyDescent="0.3">
      <c r="D425" s="123"/>
      <c r="E425" s="123"/>
      <c r="F425" s="123"/>
      <c r="G425" s="123"/>
      <c r="H425" s="123"/>
      <c r="I425" s="123"/>
      <c r="J425" s="123"/>
      <c r="K425" s="123"/>
      <c r="L425" s="123"/>
      <c r="M425" s="123"/>
      <c r="AN425" s="363">
        <v>36923</v>
      </c>
    </row>
    <row r="426" spans="2:40" x14ac:dyDescent="0.3">
      <c r="D426" s="123"/>
      <c r="E426" s="123"/>
      <c r="F426" s="123"/>
      <c r="G426" s="123"/>
      <c r="H426" s="123"/>
      <c r="I426" s="123"/>
      <c r="J426" s="123"/>
      <c r="K426" s="123"/>
      <c r="L426" s="123"/>
      <c r="M426" s="123"/>
      <c r="AN426" s="363">
        <v>36951</v>
      </c>
    </row>
    <row r="427" spans="2:40" x14ac:dyDescent="0.3">
      <c r="D427" s="123"/>
      <c r="E427" s="123"/>
      <c r="F427" s="123"/>
      <c r="G427" s="123"/>
      <c r="H427" s="123"/>
      <c r="I427" s="123"/>
      <c r="J427" s="123"/>
      <c r="K427" s="123"/>
      <c r="L427" s="123"/>
      <c r="M427" s="123"/>
      <c r="AN427" s="363">
        <v>36982</v>
      </c>
    </row>
    <row r="428" spans="2:40" x14ac:dyDescent="0.3">
      <c r="AN428" s="363">
        <v>37012</v>
      </c>
    </row>
    <row r="429" spans="2:40" x14ac:dyDescent="0.3">
      <c r="AN429" s="363">
        <v>37043</v>
      </c>
    </row>
    <row r="430" spans="2:40" x14ac:dyDescent="0.3">
      <c r="AN430" s="363">
        <v>37073</v>
      </c>
    </row>
    <row r="431" spans="2:40" x14ac:dyDescent="0.3">
      <c r="AN431" s="363">
        <v>37104</v>
      </c>
    </row>
    <row r="432" spans="2:40" x14ac:dyDescent="0.3">
      <c r="AN432" s="363">
        <v>37135</v>
      </c>
    </row>
    <row r="433" spans="40:40" x14ac:dyDescent="0.3">
      <c r="AN433" s="363">
        <v>37165</v>
      </c>
    </row>
    <row r="434" spans="40:40" x14ac:dyDescent="0.3">
      <c r="AN434" s="363">
        <v>37196</v>
      </c>
    </row>
    <row r="435" spans="40:40" x14ac:dyDescent="0.3">
      <c r="AN435" s="363">
        <v>37226</v>
      </c>
    </row>
    <row r="436" spans="40:40" x14ac:dyDescent="0.3">
      <c r="AN436" s="363">
        <v>37257</v>
      </c>
    </row>
    <row r="437" spans="40:40" x14ac:dyDescent="0.3">
      <c r="AN437" s="363">
        <v>37288</v>
      </c>
    </row>
    <row r="438" spans="40:40" x14ac:dyDescent="0.3">
      <c r="AN438" s="363">
        <v>37316</v>
      </c>
    </row>
    <row r="439" spans="40:40" x14ac:dyDescent="0.3">
      <c r="AN439" s="363">
        <v>37347</v>
      </c>
    </row>
    <row r="440" spans="40:40" x14ac:dyDescent="0.3">
      <c r="AN440" s="363">
        <v>37377</v>
      </c>
    </row>
    <row r="441" spans="40:40" x14ac:dyDescent="0.3">
      <c r="AN441" s="363">
        <v>37408</v>
      </c>
    </row>
    <row r="442" spans="40:40" x14ac:dyDescent="0.3">
      <c r="AN442" s="363">
        <v>37438</v>
      </c>
    </row>
    <row r="443" spans="40:40" x14ac:dyDescent="0.3">
      <c r="AN443" s="363">
        <v>37469</v>
      </c>
    </row>
    <row r="444" spans="40:40" x14ac:dyDescent="0.3">
      <c r="AN444" s="363">
        <v>37500</v>
      </c>
    </row>
    <row r="445" spans="40:40" x14ac:dyDescent="0.3">
      <c r="AN445" s="363">
        <v>37530</v>
      </c>
    </row>
    <row r="446" spans="40:40" x14ac:dyDescent="0.3">
      <c r="AN446" s="363">
        <v>37561</v>
      </c>
    </row>
    <row r="447" spans="40:40" x14ac:dyDescent="0.3">
      <c r="AN447" s="363">
        <v>37591</v>
      </c>
    </row>
    <row r="448" spans="40:40" x14ac:dyDescent="0.3">
      <c r="AN448" s="363">
        <v>37622</v>
      </c>
    </row>
    <row r="449" spans="40:41" x14ac:dyDescent="0.3">
      <c r="AN449" s="363">
        <v>37653</v>
      </c>
    </row>
    <row r="450" spans="40:41" x14ac:dyDescent="0.3">
      <c r="AN450" s="363">
        <v>37681</v>
      </c>
    </row>
    <row r="451" spans="40:41" x14ac:dyDescent="0.3">
      <c r="AN451" s="363">
        <v>37712</v>
      </c>
    </row>
    <row r="452" spans="40:41" x14ac:dyDescent="0.3">
      <c r="AN452" s="363">
        <v>37742</v>
      </c>
    </row>
    <row r="453" spans="40:41" x14ac:dyDescent="0.3">
      <c r="AN453" s="363">
        <v>37773</v>
      </c>
    </row>
    <row r="454" spans="40:41" x14ac:dyDescent="0.3">
      <c r="AN454" s="363">
        <v>37803</v>
      </c>
    </row>
    <row r="455" spans="40:41" x14ac:dyDescent="0.3">
      <c r="AN455" s="363">
        <v>37834</v>
      </c>
    </row>
    <row r="456" spans="40:41" x14ac:dyDescent="0.3">
      <c r="AN456" s="363">
        <v>37865</v>
      </c>
    </row>
    <row r="457" spans="40:41" x14ac:dyDescent="0.3">
      <c r="AN457" s="363">
        <v>37895</v>
      </c>
    </row>
    <row r="458" spans="40:41" x14ac:dyDescent="0.3">
      <c r="AN458" s="363">
        <v>37926</v>
      </c>
    </row>
    <row r="459" spans="40:41" x14ac:dyDescent="0.3">
      <c r="AN459" s="363">
        <v>37956</v>
      </c>
    </row>
    <row r="460" spans="40:41" x14ac:dyDescent="0.3">
      <c r="AN460" s="363">
        <v>37987</v>
      </c>
      <c r="AO460">
        <v>37987</v>
      </c>
    </row>
    <row r="461" spans="40:41" x14ac:dyDescent="0.3">
      <c r="AN461" s="363">
        <v>38018</v>
      </c>
    </row>
    <row r="462" spans="40:41" x14ac:dyDescent="0.3">
      <c r="AN462" s="363">
        <v>38047</v>
      </c>
    </row>
    <row r="463" spans="40:41" x14ac:dyDescent="0.3">
      <c r="AN463" s="363">
        <v>38078</v>
      </c>
    </row>
    <row r="464" spans="40:41" x14ac:dyDescent="0.3">
      <c r="AN464" s="363">
        <v>38108</v>
      </c>
    </row>
    <row r="465" spans="40:40" x14ac:dyDescent="0.3">
      <c r="AN465" s="363">
        <v>38139</v>
      </c>
    </row>
    <row r="466" spans="40:40" x14ac:dyDescent="0.3">
      <c r="AN466" s="363">
        <v>38169</v>
      </c>
    </row>
    <row r="467" spans="40:40" x14ac:dyDescent="0.3">
      <c r="AN467" s="363">
        <v>38200</v>
      </c>
    </row>
    <row r="468" spans="40:40" x14ac:dyDescent="0.3">
      <c r="AN468" s="363">
        <v>38231</v>
      </c>
    </row>
    <row r="469" spans="40:40" x14ac:dyDescent="0.3">
      <c r="AN469" s="363">
        <v>38261</v>
      </c>
    </row>
    <row r="470" spans="40:40" x14ac:dyDescent="0.3">
      <c r="AN470" s="363">
        <v>38292</v>
      </c>
    </row>
    <row r="471" spans="40:40" x14ac:dyDescent="0.3">
      <c r="AN471" s="363">
        <v>38322</v>
      </c>
    </row>
    <row r="472" spans="40:40" x14ac:dyDescent="0.3">
      <c r="AN472" s="363">
        <v>38353</v>
      </c>
    </row>
    <row r="473" spans="40:40" x14ac:dyDescent="0.3">
      <c r="AN473" s="363">
        <v>38384</v>
      </c>
    </row>
    <row r="474" spans="40:40" x14ac:dyDescent="0.3">
      <c r="AN474" s="363">
        <v>38412</v>
      </c>
    </row>
    <row r="475" spans="40:40" x14ac:dyDescent="0.3">
      <c r="AN475" s="363">
        <v>38443</v>
      </c>
    </row>
    <row r="476" spans="40:40" x14ac:dyDescent="0.3">
      <c r="AN476" s="363">
        <v>38473</v>
      </c>
    </row>
    <row r="477" spans="40:40" x14ac:dyDescent="0.3">
      <c r="AN477" s="363">
        <v>38504</v>
      </c>
    </row>
    <row r="478" spans="40:40" x14ac:dyDescent="0.3">
      <c r="AN478" s="363">
        <v>38534</v>
      </c>
    </row>
    <row r="479" spans="40:40" x14ac:dyDescent="0.3">
      <c r="AN479" s="363">
        <v>38565</v>
      </c>
    </row>
    <row r="480" spans="40:40" x14ac:dyDescent="0.3">
      <c r="AN480" s="363">
        <v>38596</v>
      </c>
    </row>
    <row r="481" spans="40:40" x14ac:dyDescent="0.3">
      <c r="AN481" s="363">
        <v>38626</v>
      </c>
    </row>
    <row r="482" spans="40:40" x14ac:dyDescent="0.3">
      <c r="AN482" s="363">
        <v>38657</v>
      </c>
    </row>
    <row r="483" spans="40:40" x14ac:dyDescent="0.3">
      <c r="AN483" s="363">
        <v>38687</v>
      </c>
    </row>
    <row r="484" spans="40:40" x14ac:dyDescent="0.3">
      <c r="AN484" s="363">
        <v>38718</v>
      </c>
    </row>
    <row r="485" spans="40:40" x14ac:dyDescent="0.3">
      <c r="AN485" s="363">
        <v>38749</v>
      </c>
    </row>
    <row r="486" spans="40:40" x14ac:dyDescent="0.3">
      <c r="AN486" s="363">
        <v>38777</v>
      </c>
    </row>
    <row r="487" spans="40:40" x14ac:dyDescent="0.3">
      <c r="AN487" s="363">
        <v>38808</v>
      </c>
    </row>
    <row r="488" spans="40:40" x14ac:dyDescent="0.3">
      <c r="AN488" s="363">
        <v>38838</v>
      </c>
    </row>
    <row r="489" spans="40:40" x14ac:dyDescent="0.3">
      <c r="AN489" s="363">
        <v>38869</v>
      </c>
    </row>
    <row r="490" spans="40:40" x14ac:dyDescent="0.3">
      <c r="AN490" s="363">
        <v>38899</v>
      </c>
    </row>
    <row r="491" spans="40:40" x14ac:dyDescent="0.3">
      <c r="AN491" s="363">
        <v>38930</v>
      </c>
    </row>
    <row r="492" spans="40:40" x14ac:dyDescent="0.3">
      <c r="AN492" s="363">
        <v>38961</v>
      </c>
    </row>
    <row r="493" spans="40:40" x14ac:dyDescent="0.3">
      <c r="AN493" s="363">
        <v>38991</v>
      </c>
    </row>
    <row r="494" spans="40:40" x14ac:dyDescent="0.3">
      <c r="AN494" s="363">
        <v>39022</v>
      </c>
    </row>
    <row r="495" spans="40:40" x14ac:dyDescent="0.3">
      <c r="AN495" s="363">
        <v>39052</v>
      </c>
    </row>
    <row r="496" spans="40:40" x14ac:dyDescent="0.3">
      <c r="AN496" s="363">
        <v>39083</v>
      </c>
    </row>
    <row r="497" spans="40:40" x14ac:dyDescent="0.3">
      <c r="AN497" s="363">
        <v>39114</v>
      </c>
    </row>
    <row r="498" spans="40:40" x14ac:dyDescent="0.3">
      <c r="AN498" s="363">
        <v>39142</v>
      </c>
    </row>
    <row r="499" spans="40:40" x14ac:dyDescent="0.3">
      <c r="AN499" s="363">
        <v>39173</v>
      </c>
    </row>
    <row r="500" spans="40:40" x14ac:dyDescent="0.3">
      <c r="AN500" s="363">
        <v>39203</v>
      </c>
    </row>
    <row r="501" spans="40:40" x14ac:dyDescent="0.3">
      <c r="AN501" s="363">
        <v>39234</v>
      </c>
    </row>
    <row r="502" spans="40:40" x14ac:dyDescent="0.3">
      <c r="AN502" s="363">
        <v>39264</v>
      </c>
    </row>
    <row r="503" spans="40:40" x14ac:dyDescent="0.3">
      <c r="AN503" s="363">
        <v>39295</v>
      </c>
    </row>
    <row r="504" spans="40:40" x14ac:dyDescent="0.3">
      <c r="AN504" s="363">
        <v>39326</v>
      </c>
    </row>
    <row r="505" spans="40:40" x14ac:dyDescent="0.3">
      <c r="AN505" s="363">
        <v>39356</v>
      </c>
    </row>
    <row r="506" spans="40:40" x14ac:dyDescent="0.3">
      <c r="AN506" s="363">
        <v>39387</v>
      </c>
    </row>
    <row r="507" spans="40:40" x14ac:dyDescent="0.3">
      <c r="AN507" s="363">
        <v>39417</v>
      </c>
    </row>
    <row r="508" spans="40:40" x14ac:dyDescent="0.3">
      <c r="AN508" s="363">
        <v>39448</v>
      </c>
    </row>
    <row r="509" spans="40:40" x14ac:dyDescent="0.3">
      <c r="AN509" s="363">
        <v>39479</v>
      </c>
    </row>
    <row r="510" spans="40:40" x14ac:dyDescent="0.3">
      <c r="AN510" s="363">
        <v>39508</v>
      </c>
    </row>
    <row r="511" spans="40:40" x14ac:dyDescent="0.3">
      <c r="AN511" s="363">
        <v>39539</v>
      </c>
    </row>
    <row r="512" spans="40:40" x14ac:dyDescent="0.3">
      <c r="AN512" s="363">
        <v>39569</v>
      </c>
    </row>
    <row r="513" spans="40:40" x14ac:dyDescent="0.3">
      <c r="AN513" s="363">
        <v>39600</v>
      </c>
    </row>
    <row r="514" spans="40:40" x14ac:dyDescent="0.3">
      <c r="AN514" s="363">
        <v>39630</v>
      </c>
    </row>
    <row r="515" spans="40:40" x14ac:dyDescent="0.3">
      <c r="AN515" s="363">
        <v>39661</v>
      </c>
    </row>
    <row r="516" spans="40:40" x14ac:dyDescent="0.3">
      <c r="AN516" s="363">
        <v>39692</v>
      </c>
    </row>
    <row r="517" spans="40:40" x14ac:dyDescent="0.3">
      <c r="AN517" s="363">
        <v>39722</v>
      </c>
    </row>
    <row r="518" spans="40:40" x14ac:dyDescent="0.3">
      <c r="AN518" s="363">
        <v>39753</v>
      </c>
    </row>
    <row r="519" spans="40:40" x14ac:dyDescent="0.3">
      <c r="AN519" s="363">
        <v>39783</v>
      </c>
    </row>
    <row r="520" spans="40:40" x14ac:dyDescent="0.3">
      <c r="AN520" s="363">
        <v>39814</v>
      </c>
    </row>
    <row r="521" spans="40:40" x14ac:dyDescent="0.3">
      <c r="AN521" s="363">
        <v>39845</v>
      </c>
    </row>
    <row r="522" spans="40:40" x14ac:dyDescent="0.3">
      <c r="AN522" s="363">
        <v>39873</v>
      </c>
    </row>
    <row r="523" spans="40:40" x14ac:dyDescent="0.3">
      <c r="AN523" s="363">
        <v>39904</v>
      </c>
    </row>
    <row r="524" spans="40:40" x14ac:dyDescent="0.3">
      <c r="AN524" s="363">
        <v>39934</v>
      </c>
    </row>
    <row r="525" spans="40:40" x14ac:dyDescent="0.3">
      <c r="AN525" s="363">
        <v>39965</v>
      </c>
    </row>
    <row r="526" spans="40:40" x14ac:dyDescent="0.3">
      <c r="AN526" s="363">
        <v>39995</v>
      </c>
    </row>
    <row r="527" spans="40:40" x14ac:dyDescent="0.3">
      <c r="AN527" s="363">
        <v>40026</v>
      </c>
    </row>
    <row r="528" spans="40:40" x14ac:dyDescent="0.3">
      <c r="AN528" s="363">
        <v>40057</v>
      </c>
    </row>
    <row r="529" spans="40:40" x14ac:dyDescent="0.3">
      <c r="AN529" s="363">
        <v>40087</v>
      </c>
    </row>
    <row r="530" spans="40:40" x14ac:dyDescent="0.3">
      <c r="AN530" s="363">
        <v>40118</v>
      </c>
    </row>
    <row r="531" spans="40:40" x14ac:dyDescent="0.3">
      <c r="AN531" s="363">
        <v>40148</v>
      </c>
    </row>
    <row r="532" spans="40:40" x14ac:dyDescent="0.3">
      <c r="AN532" s="363">
        <v>40179</v>
      </c>
    </row>
    <row r="533" spans="40:40" x14ac:dyDescent="0.3">
      <c r="AN533" s="363">
        <v>40210</v>
      </c>
    </row>
    <row r="534" spans="40:40" x14ac:dyDescent="0.3">
      <c r="AN534" s="363">
        <v>40238</v>
      </c>
    </row>
    <row r="535" spans="40:40" x14ac:dyDescent="0.3">
      <c r="AN535" s="363">
        <v>40269</v>
      </c>
    </row>
    <row r="536" spans="40:40" x14ac:dyDescent="0.3">
      <c r="AN536" s="363">
        <v>40299</v>
      </c>
    </row>
    <row r="537" spans="40:40" x14ac:dyDescent="0.3">
      <c r="AN537" s="363">
        <v>40330</v>
      </c>
    </row>
    <row r="538" spans="40:40" x14ac:dyDescent="0.3">
      <c r="AN538" s="363">
        <v>40360</v>
      </c>
    </row>
    <row r="539" spans="40:40" x14ac:dyDescent="0.3">
      <c r="AN539" s="363">
        <v>40391</v>
      </c>
    </row>
    <row r="540" spans="40:40" x14ac:dyDescent="0.3">
      <c r="AN540" s="363">
        <v>40422</v>
      </c>
    </row>
    <row r="541" spans="40:40" x14ac:dyDescent="0.3">
      <c r="AN541" s="363">
        <v>40452</v>
      </c>
    </row>
    <row r="542" spans="40:40" x14ac:dyDescent="0.3">
      <c r="AN542" s="363">
        <v>40483</v>
      </c>
    </row>
    <row r="543" spans="40:40" x14ac:dyDescent="0.3">
      <c r="AN543" s="363">
        <v>40513</v>
      </c>
    </row>
    <row r="544" spans="40:40" x14ac:dyDescent="0.3">
      <c r="AN544" s="363">
        <v>40544</v>
      </c>
    </row>
    <row r="545" spans="40:40" x14ac:dyDescent="0.3">
      <c r="AN545" s="363">
        <v>40575</v>
      </c>
    </row>
    <row r="546" spans="40:40" x14ac:dyDescent="0.3">
      <c r="AN546" s="363">
        <v>40603</v>
      </c>
    </row>
    <row r="547" spans="40:40" x14ac:dyDescent="0.3">
      <c r="AN547" s="363">
        <v>40634</v>
      </c>
    </row>
    <row r="548" spans="40:40" x14ac:dyDescent="0.3">
      <c r="AN548" s="363">
        <v>40664</v>
      </c>
    </row>
    <row r="549" spans="40:40" x14ac:dyDescent="0.3">
      <c r="AN549" s="363">
        <v>40695</v>
      </c>
    </row>
    <row r="550" spans="40:40" x14ac:dyDescent="0.3">
      <c r="AN550" s="363">
        <v>40725</v>
      </c>
    </row>
    <row r="551" spans="40:40" x14ac:dyDescent="0.3">
      <c r="AN551" s="363">
        <v>40756</v>
      </c>
    </row>
    <row r="552" spans="40:40" x14ac:dyDescent="0.3">
      <c r="AN552" s="363">
        <v>40787</v>
      </c>
    </row>
    <row r="553" spans="40:40" x14ac:dyDescent="0.3">
      <c r="AN553" s="363">
        <v>40817</v>
      </c>
    </row>
    <row r="554" spans="40:40" x14ac:dyDescent="0.3">
      <c r="AN554" s="363">
        <v>40848</v>
      </c>
    </row>
    <row r="555" spans="40:40" x14ac:dyDescent="0.3">
      <c r="AN555" s="363">
        <v>40878</v>
      </c>
    </row>
    <row r="556" spans="40:40" x14ac:dyDescent="0.3">
      <c r="AN556" s="363">
        <v>40909</v>
      </c>
    </row>
    <row r="557" spans="40:40" x14ac:dyDescent="0.3">
      <c r="AN557" s="363">
        <v>40940</v>
      </c>
    </row>
    <row r="558" spans="40:40" x14ac:dyDescent="0.3">
      <c r="AN558" s="363">
        <v>40969</v>
      </c>
    </row>
    <row r="559" spans="40:40" x14ac:dyDescent="0.3">
      <c r="AN559" s="363">
        <v>41000</v>
      </c>
    </row>
    <row r="560" spans="40:40" x14ac:dyDescent="0.3">
      <c r="AN560" s="363">
        <v>41030</v>
      </c>
    </row>
    <row r="561" spans="40:40" x14ac:dyDescent="0.3">
      <c r="AN561" s="363">
        <v>41061</v>
      </c>
    </row>
    <row r="562" spans="40:40" x14ac:dyDescent="0.3">
      <c r="AN562" s="363">
        <v>41091</v>
      </c>
    </row>
    <row r="563" spans="40:40" x14ac:dyDescent="0.3">
      <c r="AN563" s="363">
        <v>41122</v>
      </c>
    </row>
    <row r="564" spans="40:40" x14ac:dyDescent="0.3">
      <c r="AN564" s="363">
        <v>41153</v>
      </c>
    </row>
    <row r="565" spans="40:40" x14ac:dyDescent="0.3">
      <c r="AN565" s="363">
        <v>41183</v>
      </c>
    </row>
    <row r="566" spans="40:40" x14ac:dyDescent="0.3">
      <c r="AN566" s="363">
        <v>41214</v>
      </c>
    </row>
    <row r="567" spans="40:40" x14ac:dyDescent="0.3">
      <c r="AN567" s="363">
        <v>41244</v>
      </c>
    </row>
    <row r="568" spans="40:40" x14ac:dyDescent="0.3">
      <c r="AN568" s="363">
        <v>41275</v>
      </c>
    </row>
    <row r="569" spans="40:40" x14ac:dyDescent="0.3">
      <c r="AN569" s="363">
        <v>41306</v>
      </c>
    </row>
    <row r="570" spans="40:40" x14ac:dyDescent="0.3">
      <c r="AN570" s="363">
        <v>41334</v>
      </c>
    </row>
    <row r="571" spans="40:40" x14ac:dyDescent="0.3">
      <c r="AN571" s="363">
        <v>41365</v>
      </c>
    </row>
    <row r="572" spans="40:40" x14ac:dyDescent="0.3">
      <c r="AN572" s="363">
        <v>41395</v>
      </c>
    </row>
    <row r="573" spans="40:40" x14ac:dyDescent="0.3">
      <c r="AN573" s="363">
        <v>41426</v>
      </c>
    </row>
    <row r="574" spans="40:40" x14ac:dyDescent="0.3">
      <c r="AN574" s="363">
        <v>41456</v>
      </c>
    </row>
    <row r="575" spans="40:40" x14ac:dyDescent="0.3">
      <c r="AN575" s="363">
        <v>41487</v>
      </c>
    </row>
    <row r="576" spans="40:40" x14ac:dyDescent="0.3">
      <c r="AN576" s="363">
        <v>41518</v>
      </c>
    </row>
    <row r="577" spans="40:40" x14ac:dyDescent="0.3">
      <c r="AN577" s="363">
        <v>41548</v>
      </c>
    </row>
    <row r="578" spans="40:40" x14ac:dyDescent="0.3">
      <c r="AN578" s="363">
        <v>41579</v>
      </c>
    </row>
    <row r="579" spans="40:40" x14ac:dyDescent="0.3">
      <c r="AN579" s="363">
        <v>41609</v>
      </c>
    </row>
    <row r="580" spans="40:40" x14ac:dyDescent="0.3">
      <c r="AN580" s="363">
        <v>41640</v>
      </c>
    </row>
    <row r="581" spans="40:40" x14ac:dyDescent="0.3">
      <c r="AN581" s="363">
        <v>41671</v>
      </c>
    </row>
    <row r="582" spans="40:40" x14ac:dyDescent="0.3">
      <c r="AN582" s="363">
        <v>41699</v>
      </c>
    </row>
    <row r="583" spans="40:40" x14ac:dyDescent="0.3">
      <c r="AN583" s="363">
        <v>41730</v>
      </c>
    </row>
    <row r="584" spans="40:40" x14ac:dyDescent="0.3">
      <c r="AN584" s="363">
        <v>41760</v>
      </c>
    </row>
    <row r="585" spans="40:40" x14ac:dyDescent="0.3">
      <c r="AN585" s="363">
        <v>41791</v>
      </c>
    </row>
    <row r="586" spans="40:40" x14ac:dyDescent="0.3">
      <c r="AN586" s="363">
        <v>41821</v>
      </c>
    </row>
    <row r="587" spans="40:40" x14ac:dyDescent="0.3">
      <c r="AN587" s="363">
        <v>41852</v>
      </c>
    </row>
    <row r="588" spans="40:40" x14ac:dyDescent="0.3">
      <c r="AN588" s="363">
        <v>41883</v>
      </c>
    </row>
    <row r="589" spans="40:40" x14ac:dyDescent="0.3">
      <c r="AN589" s="363">
        <v>41913</v>
      </c>
    </row>
    <row r="590" spans="40:40" x14ac:dyDescent="0.3">
      <c r="AN590" s="363">
        <v>41944</v>
      </c>
    </row>
    <row r="591" spans="40:40" x14ac:dyDescent="0.3">
      <c r="AN591" s="363">
        <v>41974</v>
      </c>
    </row>
    <row r="592" spans="40:40" x14ac:dyDescent="0.3">
      <c r="AN592" s="363">
        <v>42005</v>
      </c>
    </row>
    <row r="593" spans="40:40" x14ac:dyDescent="0.3">
      <c r="AN593" s="363">
        <v>42036</v>
      </c>
    </row>
    <row r="594" spans="40:40" x14ac:dyDescent="0.3">
      <c r="AN594" s="363">
        <v>42064</v>
      </c>
    </row>
    <row r="595" spans="40:40" x14ac:dyDescent="0.3">
      <c r="AN595" s="363">
        <v>42095</v>
      </c>
    </row>
    <row r="596" spans="40:40" x14ac:dyDescent="0.3">
      <c r="AN596" s="363">
        <v>42125</v>
      </c>
    </row>
    <row r="597" spans="40:40" x14ac:dyDescent="0.3">
      <c r="AN597" s="363">
        <v>42156</v>
      </c>
    </row>
    <row r="598" spans="40:40" x14ac:dyDescent="0.3">
      <c r="AN598" s="363">
        <v>42186</v>
      </c>
    </row>
    <row r="599" spans="40:40" x14ac:dyDescent="0.3">
      <c r="AN599" s="363">
        <v>42217</v>
      </c>
    </row>
    <row r="600" spans="40:40" x14ac:dyDescent="0.3">
      <c r="AN600" s="363">
        <v>42248</v>
      </c>
    </row>
    <row r="601" spans="40:40" x14ac:dyDescent="0.3">
      <c r="AN601" s="363">
        <v>42278</v>
      </c>
    </row>
    <row r="602" spans="40:40" x14ac:dyDescent="0.3">
      <c r="AN602" s="363">
        <v>42309</v>
      </c>
    </row>
    <row r="603" spans="40:40" x14ac:dyDescent="0.3">
      <c r="AN603" s="363">
        <v>42339</v>
      </c>
    </row>
    <row r="604" spans="40:40" x14ac:dyDescent="0.3">
      <c r="AN604" s="363">
        <v>42370</v>
      </c>
    </row>
    <row r="605" spans="40:40" x14ac:dyDescent="0.3">
      <c r="AN605" s="363">
        <v>42401</v>
      </c>
    </row>
    <row r="606" spans="40:40" x14ac:dyDescent="0.3">
      <c r="AN606" s="363">
        <v>42430</v>
      </c>
    </row>
    <row r="607" spans="40:40" x14ac:dyDescent="0.3">
      <c r="AN607" s="363">
        <v>42461</v>
      </c>
    </row>
    <row r="608" spans="40:40" x14ac:dyDescent="0.3">
      <c r="AN608" s="363">
        <v>42491</v>
      </c>
    </row>
    <row r="609" spans="40:40" x14ac:dyDescent="0.3">
      <c r="AN609" s="363">
        <v>42522</v>
      </c>
    </row>
    <row r="610" spans="40:40" x14ac:dyDescent="0.3">
      <c r="AN610" s="363">
        <v>42552</v>
      </c>
    </row>
    <row r="611" spans="40:40" x14ac:dyDescent="0.3">
      <c r="AN611" s="363">
        <v>42583</v>
      </c>
    </row>
    <row r="612" spans="40:40" x14ac:dyDescent="0.3">
      <c r="AN612" s="363">
        <v>42614</v>
      </c>
    </row>
    <row r="613" spans="40:40" x14ac:dyDescent="0.3">
      <c r="AN613" s="363">
        <v>42644</v>
      </c>
    </row>
    <row r="614" spans="40:40" x14ac:dyDescent="0.3">
      <c r="AN614" s="363">
        <v>42675</v>
      </c>
    </row>
    <row r="615" spans="40:40" x14ac:dyDescent="0.3">
      <c r="AN615" s="363">
        <v>42705</v>
      </c>
    </row>
    <row r="616" spans="40:40" x14ac:dyDescent="0.3">
      <c r="AN616" s="363">
        <v>42736</v>
      </c>
    </row>
    <row r="617" spans="40:40" x14ac:dyDescent="0.3">
      <c r="AN617" s="363">
        <v>42767</v>
      </c>
    </row>
    <row r="618" spans="40:40" x14ac:dyDescent="0.3">
      <c r="AN618" s="363">
        <v>42795</v>
      </c>
    </row>
    <row r="619" spans="40:40" x14ac:dyDescent="0.3">
      <c r="AN619" s="363">
        <v>42826</v>
      </c>
    </row>
    <row r="620" spans="40:40" x14ac:dyDescent="0.3">
      <c r="AN620" s="363">
        <v>42856</v>
      </c>
    </row>
    <row r="621" spans="40:40" x14ac:dyDescent="0.3">
      <c r="AN621" s="363">
        <v>42887</v>
      </c>
    </row>
    <row r="622" spans="40:40" x14ac:dyDescent="0.3">
      <c r="AN622" s="363">
        <v>42917</v>
      </c>
    </row>
    <row r="623" spans="40:40" x14ac:dyDescent="0.3">
      <c r="AN623" s="363">
        <v>42948</v>
      </c>
    </row>
    <row r="624" spans="40:40" x14ac:dyDescent="0.3">
      <c r="AN624" s="363">
        <v>42979</v>
      </c>
    </row>
    <row r="625" spans="40:41" x14ac:dyDescent="0.3">
      <c r="AN625" s="363">
        <v>43009</v>
      </c>
    </row>
    <row r="626" spans="40:41" x14ac:dyDescent="0.3">
      <c r="AN626" s="363">
        <v>43040</v>
      </c>
    </row>
    <row r="627" spans="40:41" x14ac:dyDescent="0.3">
      <c r="AN627" s="363">
        <v>43070</v>
      </c>
      <c r="AO627" s="3"/>
    </row>
    <row r="628" spans="40:41" x14ac:dyDescent="0.3">
      <c r="AN628" s="363">
        <v>43101</v>
      </c>
    </row>
    <row r="629" spans="40:41" x14ac:dyDescent="0.3">
      <c r="AN629" s="363">
        <v>43132</v>
      </c>
    </row>
    <row r="630" spans="40:41" x14ac:dyDescent="0.3">
      <c r="AN630" s="363">
        <v>43160</v>
      </c>
    </row>
    <row r="631" spans="40:41" x14ac:dyDescent="0.3">
      <c r="AN631" s="363">
        <v>43191</v>
      </c>
    </row>
    <row r="632" spans="40:41" x14ac:dyDescent="0.3">
      <c r="AN632" s="363">
        <v>43221</v>
      </c>
    </row>
    <row r="633" spans="40:41" x14ac:dyDescent="0.3">
      <c r="AN633" s="363">
        <v>43252</v>
      </c>
    </row>
    <row r="634" spans="40:41" x14ac:dyDescent="0.3">
      <c r="AN634" s="363">
        <v>43282</v>
      </c>
    </row>
    <row r="635" spans="40:41" x14ac:dyDescent="0.3">
      <c r="AN635" s="363">
        <v>43313</v>
      </c>
    </row>
    <row r="636" spans="40:41" x14ac:dyDescent="0.3">
      <c r="AN636" s="363">
        <v>43344</v>
      </c>
    </row>
    <row r="637" spans="40:41" x14ac:dyDescent="0.3">
      <c r="AN637" s="363">
        <v>43374</v>
      </c>
    </row>
    <row r="638" spans="40:41" x14ac:dyDescent="0.3">
      <c r="AN638" s="363">
        <v>43405</v>
      </c>
    </row>
    <row r="639" spans="40:41" x14ac:dyDescent="0.3">
      <c r="AN639" s="363">
        <v>43435</v>
      </c>
    </row>
    <row r="640" spans="40:41" x14ac:dyDescent="0.3">
      <c r="AN640" s="363">
        <v>43466</v>
      </c>
    </row>
    <row r="641" spans="40:40" x14ac:dyDescent="0.3">
      <c r="AN641" s="363">
        <v>43497</v>
      </c>
    </row>
    <row r="642" spans="40:40" x14ac:dyDescent="0.3">
      <c r="AN642" s="363">
        <v>43525</v>
      </c>
    </row>
    <row r="643" spans="40:40" x14ac:dyDescent="0.3">
      <c r="AN643" s="363">
        <v>43556</v>
      </c>
    </row>
    <row r="644" spans="40:40" x14ac:dyDescent="0.3">
      <c r="AN644" s="363">
        <v>43586</v>
      </c>
    </row>
    <row r="645" spans="40:40" x14ac:dyDescent="0.3">
      <c r="AN645" s="363">
        <v>43617</v>
      </c>
    </row>
    <row r="646" spans="40:40" x14ac:dyDescent="0.3">
      <c r="AN646" s="363">
        <v>43647</v>
      </c>
    </row>
    <row r="647" spans="40:40" x14ac:dyDescent="0.3">
      <c r="AN647" s="363">
        <v>43678</v>
      </c>
    </row>
    <row r="648" spans="40:40" x14ac:dyDescent="0.3">
      <c r="AN648" s="363">
        <v>43709</v>
      </c>
    </row>
    <row r="649" spans="40:40" x14ac:dyDescent="0.3">
      <c r="AN649" s="363">
        <v>43739</v>
      </c>
    </row>
    <row r="650" spans="40:40" x14ac:dyDescent="0.3">
      <c r="AN650" s="363">
        <v>43770</v>
      </c>
    </row>
    <row r="651" spans="40:40" x14ac:dyDescent="0.3">
      <c r="AN651" s="363">
        <v>43800</v>
      </c>
    </row>
    <row r="652" spans="40:40" x14ac:dyDescent="0.3">
      <c r="AN652" s="363">
        <v>43831</v>
      </c>
    </row>
    <row r="653" spans="40:40" x14ac:dyDescent="0.3">
      <c r="AN653" s="363">
        <v>43862</v>
      </c>
    </row>
    <row r="654" spans="40:40" x14ac:dyDescent="0.3">
      <c r="AN654" s="363">
        <v>43891</v>
      </c>
    </row>
    <row r="655" spans="40:40" x14ac:dyDescent="0.3">
      <c r="AN655" s="363">
        <v>43922</v>
      </c>
    </row>
    <row r="656" spans="40:40" x14ac:dyDescent="0.3">
      <c r="AN656" s="363">
        <v>43952</v>
      </c>
    </row>
    <row r="657" spans="40:40" x14ac:dyDescent="0.3">
      <c r="AN657" s="363">
        <v>43983</v>
      </c>
    </row>
    <row r="658" spans="40:40" x14ac:dyDescent="0.3">
      <c r="AN658" s="363">
        <v>44013</v>
      </c>
    </row>
    <row r="659" spans="40:40" x14ac:dyDescent="0.3">
      <c r="AN659" s="363">
        <v>44044</v>
      </c>
    </row>
    <row r="660" spans="40:40" x14ac:dyDescent="0.3">
      <c r="AN660" s="363">
        <v>44075</v>
      </c>
    </row>
    <row r="661" spans="40:40" x14ac:dyDescent="0.3">
      <c r="AN661" s="363">
        <v>44105</v>
      </c>
    </row>
    <row r="662" spans="40:40" x14ac:dyDescent="0.3">
      <c r="AN662" s="363">
        <v>44136</v>
      </c>
    </row>
    <row r="663" spans="40:40" x14ac:dyDescent="0.3">
      <c r="AN663" s="363">
        <v>44166</v>
      </c>
    </row>
    <row r="664" spans="40:40" x14ac:dyDescent="0.3">
      <c r="AN664" s="363">
        <v>44197</v>
      </c>
    </row>
    <row r="665" spans="40:40" x14ac:dyDescent="0.3">
      <c r="AN665" s="363">
        <v>44228</v>
      </c>
    </row>
    <row r="666" spans="40:40" x14ac:dyDescent="0.3">
      <c r="AN666" s="363">
        <v>44256</v>
      </c>
    </row>
    <row r="667" spans="40:40" x14ac:dyDescent="0.3">
      <c r="AN667" s="363">
        <v>44287</v>
      </c>
    </row>
    <row r="668" spans="40:40" x14ac:dyDescent="0.3">
      <c r="AN668" s="363">
        <v>44317</v>
      </c>
    </row>
    <row r="669" spans="40:40" x14ac:dyDescent="0.3">
      <c r="AN669" s="363">
        <v>44348</v>
      </c>
    </row>
    <row r="670" spans="40:40" x14ac:dyDescent="0.3">
      <c r="AN670" s="363">
        <v>44378</v>
      </c>
    </row>
    <row r="671" spans="40:40" x14ac:dyDescent="0.3">
      <c r="AN671" s="363">
        <v>44409</v>
      </c>
    </row>
    <row r="672" spans="40:40" x14ac:dyDescent="0.3">
      <c r="AN672" s="363">
        <v>44440</v>
      </c>
    </row>
    <row r="673" spans="40:40" x14ac:dyDescent="0.3">
      <c r="AN673" s="363">
        <v>44470</v>
      </c>
    </row>
    <row r="674" spans="40:40" x14ac:dyDescent="0.3">
      <c r="AN674" s="363">
        <v>44501</v>
      </c>
    </row>
    <row r="675" spans="40:40" x14ac:dyDescent="0.3">
      <c r="AN675" s="363">
        <v>44531</v>
      </c>
    </row>
    <row r="676" spans="40:40" x14ac:dyDescent="0.3">
      <c r="AN676" s="363">
        <v>44562</v>
      </c>
    </row>
    <row r="677" spans="40:40" x14ac:dyDescent="0.3">
      <c r="AN677" s="363">
        <v>44593</v>
      </c>
    </row>
    <row r="678" spans="40:40" x14ac:dyDescent="0.3">
      <c r="AN678" s="363">
        <v>44621</v>
      </c>
    </row>
    <row r="679" spans="40:40" x14ac:dyDescent="0.3">
      <c r="AN679" s="363">
        <v>44652</v>
      </c>
    </row>
    <row r="680" spans="40:40" x14ac:dyDescent="0.3">
      <c r="AN680" s="363">
        <v>44682</v>
      </c>
    </row>
    <row r="681" spans="40:40" x14ac:dyDescent="0.3">
      <c r="AN681" s="363">
        <v>44713</v>
      </c>
    </row>
    <row r="682" spans="40:40" x14ac:dyDescent="0.3">
      <c r="AN682" s="363">
        <v>44743</v>
      </c>
    </row>
    <row r="683" spans="40:40" x14ac:dyDescent="0.3">
      <c r="AN683" s="363">
        <v>44774</v>
      </c>
    </row>
    <row r="684" spans="40:40" x14ac:dyDescent="0.3">
      <c r="AN684" s="363">
        <v>44805</v>
      </c>
    </row>
    <row r="685" spans="40:40" x14ac:dyDescent="0.3">
      <c r="AN685" s="363">
        <v>44835</v>
      </c>
    </row>
    <row r="686" spans="40:40" x14ac:dyDescent="0.3">
      <c r="AN686" s="363">
        <v>44866</v>
      </c>
    </row>
    <row r="687" spans="40:40" x14ac:dyDescent="0.3">
      <c r="AN687" s="363">
        <v>44896</v>
      </c>
    </row>
    <row r="688" spans="40:40" x14ac:dyDescent="0.3">
      <c r="AN688" s="363">
        <v>44927</v>
      </c>
    </row>
    <row r="689" spans="40:40" x14ac:dyDescent="0.3">
      <c r="AN689" s="363">
        <v>44958</v>
      </c>
    </row>
    <row r="690" spans="40:40" x14ac:dyDescent="0.3">
      <c r="AN690" s="363">
        <v>44986</v>
      </c>
    </row>
    <row r="691" spans="40:40" x14ac:dyDescent="0.3">
      <c r="AN691" s="363">
        <v>45017</v>
      </c>
    </row>
    <row r="692" spans="40:40" x14ac:dyDescent="0.3">
      <c r="AN692" s="363">
        <v>45047</v>
      </c>
    </row>
    <row r="693" spans="40:40" x14ac:dyDescent="0.3">
      <c r="AN693" s="363">
        <v>45078</v>
      </c>
    </row>
    <row r="694" spans="40:40" x14ac:dyDescent="0.3">
      <c r="AN694" s="363">
        <v>45108</v>
      </c>
    </row>
    <row r="695" spans="40:40" x14ac:dyDescent="0.3">
      <c r="AN695" s="363">
        <v>45139</v>
      </c>
    </row>
    <row r="696" spans="40:40" x14ac:dyDescent="0.3">
      <c r="AN696" s="363">
        <v>45170</v>
      </c>
    </row>
    <row r="697" spans="40:40" x14ac:dyDescent="0.3">
      <c r="AN697" s="363">
        <v>45200</v>
      </c>
    </row>
    <row r="698" spans="40:40" x14ac:dyDescent="0.3">
      <c r="AN698" s="363">
        <v>45231</v>
      </c>
    </row>
    <row r="699" spans="40:40" x14ac:dyDescent="0.3">
      <c r="AN699" s="363">
        <v>45261</v>
      </c>
    </row>
    <row r="700" spans="40:40" x14ac:dyDescent="0.3">
      <c r="AN700" s="363">
        <v>45292</v>
      </c>
    </row>
    <row r="701" spans="40:40" x14ac:dyDescent="0.3">
      <c r="AN701" s="363">
        <v>45323</v>
      </c>
    </row>
    <row r="702" spans="40:40" x14ac:dyDescent="0.3">
      <c r="AN702" s="363">
        <v>45352</v>
      </c>
    </row>
    <row r="703" spans="40:40" x14ac:dyDescent="0.3">
      <c r="AN703" s="363">
        <v>45383</v>
      </c>
    </row>
    <row r="704" spans="40:40" x14ac:dyDescent="0.3">
      <c r="AN704" s="363">
        <v>45413</v>
      </c>
    </row>
    <row r="705" spans="40:41" x14ac:dyDescent="0.3">
      <c r="AN705" s="363">
        <v>45444</v>
      </c>
    </row>
    <row r="706" spans="40:41" x14ac:dyDescent="0.3">
      <c r="AN706" s="363">
        <v>45474</v>
      </c>
    </row>
    <row r="707" spans="40:41" x14ac:dyDescent="0.3">
      <c r="AN707" s="363">
        <v>45505</v>
      </c>
    </row>
    <row r="708" spans="40:41" x14ac:dyDescent="0.3">
      <c r="AN708" s="363">
        <v>45536</v>
      </c>
    </row>
    <row r="709" spans="40:41" x14ac:dyDescent="0.3">
      <c r="AN709" s="363">
        <v>45566</v>
      </c>
    </row>
    <row r="710" spans="40:41" x14ac:dyDescent="0.3">
      <c r="AN710" s="363">
        <v>45597</v>
      </c>
    </row>
    <row r="711" spans="40:41" x14ac:dyDescent="0.3">
      <c r="AN711" s="363">
        <v>45627</v>
      </c>
      <c r="AO711" s="367">
        <f>AN711</f>
        <v>45627</v>
      </c>
    </row>
    <row r="712" spans="40:41" x14ac:dyDescent="0.3">
      <c r="AN712" s="363">
        <v>45658</v>
      </c>
    </row>
    <row r="713" spans="40:41" x14ac:dyDescent="0.3">
      <c r="AN713" s="363">
        <v>45689</v>
      </c>
    </row>
    <row r="714" spans="40:41" x14ac:dyDescent="0.3">
      <c r="AN714" s="363">
        <v>45717</v>
      </c>
      <c r="AO714">
        <v>45717</v>
      </c>
    </row>
    <row r="715" spans="40:41" x14ac:dyDescent="0.3">
      <c r="AN715" s="363">
        <v>45748</v>
      </c>
      <c r="AO715">
        <v>45748</v>
      </c>
    </row>
    <row r="716" spans="40:41" x14ac:dyDescent="0.3">
      <c r="AN716" s="363">
        <v>45778</v>
      </c>
    </row>
    <row r="717" spans="40:41" x14ac:dyDescent="0.3">
      <c r="AN717" s="363">
        <v>45809</v>
      </c>
    </row>
    <row r="718" spans="40:41" x14ac:dyDescent="0.3">
      <c r="AN718" s="363">
        <v>45839</v>
      </c>
    </row>
    <row r="719" spans="40:41" x14ac:dyDescent="0.3">
      <c r="AN719" s="363">
        <v>45870</v>
      </c>
    </row>
    <row r="720" spans="40:41" x14ac:dyDescent="0.3">
      <c r="AN720" s="363">
        <v>45901</v>
      </c>
    </row>
    <row r="721" spans="40:40" x14ac:dyDescent="0.3">
      <c r="AN721" s="363">
        <v>45931</v>
      </c>
    </row>
    <row r="722" spans="40:40" x14ac:dyDescent="0.3">
      <c r="AN722" s="363">
        <v>45962</v>
      </c>
    </row>
    <row r="723" spans="40:40" x14ac:dyDescent="0.3">
      <c r="AN723" s="363">
        <v>45992</v>
      </c>
    </row>
  </sheetData>
  <mergeCells count="12">
    <mergeCell ref="D1:Q1"/>
    <mergeCell ref="R1:AE1"/>
    <mergeCell ref="J3:K3"/>
    <mergeCell ref="X3:Y3"/>
    <mergeCell ref="J4:K4"/>
    <mergeCell ref="X4:Y4"/>
    <mergeCell ref="E3:G4"/>
    <mergeCell ref="J5:K5"/>
    <mergeCell ref="X5:Y5"/>
    <mergeCell ref="J6:K6"/>
    <mergeCell ref="X6:Y6"/>
    <mergeCell ref="S75:X75"/>
  </mergeCells>
  <dataValidations disablePrompts="1" count="1">
    <dataValidation type="list" allowBlank="1" showInputMessage="1" showErrorMessage="1" sqref="S75 S367 S148 S221 S294" xr:uid="{00000000-0002-0000-0000-000000000000}">
      <formula1>$AU$71:$AU$74</formula1>
    </dataValidation>
  </dataValidations>
  <printOptions horizontalCentered="1"/>
  <pageMargins left="0.78740157480314965" right="0.39370078740157483" top="0.86614173228346458" bottom="0.86614173228346458" header="0.31496062992125984" footer="0.31496062992125984"/>
  <pageSetup paperSize="9" scale="54" pageOrder="overThenDown" orientation="portrait" r:id="rId1"/>
  <headerFooter scaleWithDoc="0">
    <oddHeader xml:space="preserve">&amp;R&amp;"Arial Narrow,Negrita"&amp;9Ing. Aquiles Berrocal Rodríguez
&amp;"Arial Narrow,Normal"Ing. Civil – CIP: 196696
Especialista Hidrología, Hidráulica y Drenaje </oddHeader>
    <oddFooter>&amp;L&amp;"Arial Narrow,Normal"&amp;9Rev.:B - Agosto 2018
Proyecto: Actualización Hidrológica para el Estudio de Pre-Factibilidad de
la Presa de Relaves Pukaqaqa, U.M. Pukaqaqa, Milpo - Huancavelica&amp;R&amp;"Arial Narrow,Negrita"&amp;9ANEXO A: HIDROLOGIA</oddFooter>
  </headerFooter>
  <rowBreaks count="4" manualBreakCount="4">
    <brk id="76" min="3" max="30" man="1"/>
    <brk id="149" min="3" max="30" man="1"/>
    <brk id="222" min="3" max="30" man="1"/>
    <brk id="295" min="3" max="30" man="1"/>
  </rowBreaks>
  <colBreaks count="2" manualBreakCount="2">
    <brk id="17" max="72" man="1"/>
    <brk id="31" max="71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4" name="Button 3">
              <controlPr defaultSize="0" print="0" autoFill="0" autoPict="0" macro="[0]!PrepararImpresion0">
                <anchor moveWithCells="1" sizeWithCells="1">
                  <from>
                    <xdr:col>0</xdr:col>
                    <xdr:colOff>251460</xdr:colOff>
                    <xdr:row>1</xdr:row>
                    <xdr:rowOff>30480</xdr:rowOff>
                  </from>
                  <to>
                    <xdr:col>2</xdr:col>
                    <xdr:colOff>365760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5" name="Button 4">
              <controlPr defaultSize="0" print="0" autoFill="0" autoPict="0" macro="[0]!RestaurarColores0">
                <anchor moveWithCells="1" sizeWithCells="1">
                  <from>
                    <xdr:col>0</xdr:col>
                    <xdr:colOff>251460</xdr:colOff>
                    <xdr:row>4</xdr:row>
                    <xdr:rowOff>99060</xdr:rowOff>
                  </from>
                  <to>
                    <xdr:col>2</xdr:col>
                    <xdr:colOff>365760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6" name="Group Box 6">
              <controlPr defaultSize="0" autoFill="0" autoPict="0">
                <anchor moveWithCells="1">
                  <from>
                    <xdr:col>0</xdr:col>
                    <xdr:colOff>68580</xdr:colOff>
                    <xdr:row>8</xdr:row>
                    <xdr:rowOff>144780</xdr:rowOff>
                  </from>
                  <to>
                    <xdr:col>2</xdr:col>
                    <xdr:colOff>533400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7" name="Option Button 7">
              <controlPr defaultSize="0" autoFill="0" autoLine="0" autoPict="0" macro="[0]!Una_estacion">
                <anchor moveWithCells="1">
                  <from>
                    <xdr:col>0</xdr:col>
                    <xdr:colOff>152400</xdr:colOff>
                    <xdr:row>9</xdr:row>
                    <xdr:rowOff>106680</xdr:rowOff>
                  </from>
                  <to>
                    <xdr:col>2</xdr:col>
                    <xdr:colOff>403860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8" name="Option Button 8">
              <controlPr defaultSize="0" autoFill="0" autoLine="0" autoPict="0" macro="[0]!Dos_estaciones">
                <anchor moveWithCells="1">
                  <from>
                    <xdr:col>0</xdr:col>
                    <xdr:colOff>152400</xdr:colOff>
                    <xdr:row>10</xdr:row>
                    <xdr:rowOff>175260</xdr:rowOff>
                  </from>
                  <to>
                    <xdr:col>2</xdr:col>
                    <xdr:colOff>373380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9" name="Option Button 9">
              <controlPr defaultSize="0" autoFill="0" autoLine="0" autoPict="0" macro="[0]!Tres_Estaciones">
                <anchor moveWithCells="1">
                  <from>
                    <xdr:col>0</xdr:col>
                    <xdr:colOff>152400</xdr:colOff>
                    <xdr:row>12</xdr:row>
                    <xdr:rowOff>68580</xdr:rowOff>
                  </from>
                  <to>
                    <xdr:col>2</xdr:col>
                    <xdr:colOff>373380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0" name="Option Button 11">
              <controlPr defaultSize="0" autoFill="0" autoLine="0" autoPict="0" macro="[0]!Cuatro_Estaciones">
                <anchor moveWithCells="1">
                  <from>
                    <xdr:col>0</xdr:col>
                    <xdr:colOff>152400</xdr:colOff>
                    <xdr:row>13</xdr:row>
                    <xdr:rowOff>144780</xdr:rowOff>
                  </from>
                  <to>
                    <xdr:col>2</xdr:col>
                    <xdr:colOff>381000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1" name="Option Button 12">
              <controlPr defaultSize="0" autoFill="0" autoLine="0" autoPict="0" macro="[0]!Cinco_Estaciones">
                <anchor moveWithCells="1">
                  <from>
                    <xdr:col>0</xdr:col>
                    <xdr:colOff>152400</xdr:colOff>
                    <xdr:row>15</xdr:row>
                    <xdr:rowOff>22860</xdr:rowOff>
                  </from>
                  <to>
                    <xdr:col>2</xdr:col>
                    <xdr:colOff>381000</xdr:colOff>
                    <xdr:row>16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7">
    <tabColor rgb="FF7030A0"/>
  </sheetPr>
  <dimension ref="A1:AH95"/>
  <sheetViews>
    <sheetView showGridLines="0" view="pageBreakPreview" topLeftCell="A4" zoomScale="85" zoomScaleNormal="70" zoomScaleSheetLayoutView="85" zoomScalePageLayoutView="40" workbookViewId="0">
      <selection activeCell="S22" sqref="S22:S74"/>
    </sheetView>
  </sheetViews>
  <sheetFormatPr baseColWidth="10" defaultColWidth="11.44140625" defaultRowHeight="14.4" x14ac:dyDescent="0.3"/>
  <cols>
    <col min="1" max="1" width="5.6640625" customWidth="1"/>
    <col min="2" max="2" width="4.6640625" customWidth="1"/>
    <col min="3" max="12" width="12.6640625" customWidth="1"/>
    <col min="13" max="13" width="3.6640625" customWidth="1"/>
    <col min="14" max="14" width="11.6640625" customWidth="1"/>
    <col min="15" max="15" width="16.6640625" customWidth="1"/>
    <col min="16" max="16" width="10.5546875" customWidth="1"/>
    <col min="17" max="17" width="15.6640625" customWidth="1"/>
    <col min="18" max="19" width="14.6640625" customWidth="1"/>
    <col min="20" max="20" width="14.33203125" customWidth="1"/>
    <col min="21" max="21" width="13.44140625" customWidth="1"/>
    <col min="22" max="22" width="14.6640625" customWidth="1"/>
    <col min="23" max="23" width="15.6640625" customWidth="1"/>
    <col min="24" max="27" width="13.6640625" customWidth="1"/>
    <col min="28" max="28" width="13.44140625" customWidth="1"/>
  </cols>
  <sheetData>
    <row r="1" spans="1:25" ht="15" customHeight="1" x14ac:dyDescent="0.3">
      <c r="B1" s="533" t="s">
        <v>804</v>
      </c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 t="s">
        <v>511</v>
      </c>
      <c r="N1" s="533"/>
      <c r="O1" s="533"/>
      <c r="P1" s="533"/>
      <c r="Q1" s="533"/>
      <c r="R1" s="533"/>
      <c r="S1" s="533"/>
      <c r="T1" s="533"/>
      <c r="U1" s="533"/>
      <c r="V1" s="533"/>
      <c r="X1" s="385" t="s">
        <v>404</v>
      </c>
      <c r="Y1" s="385" t="s">
        <v>825</v>
      </c>
    </row>
    <row r="2" spans="1:25" ht="15" customHeight="1" x14ac:dyDescent="0.3">
      <c r="X2" s="369">
        <v>10</v>
      </c>
      <c r="Y2" s="275">
        <v>2.036</v>
      </c>
    </row>
    <row r="3" spans="1:25" ht="15" customHeight="1" x14ac:dyDescent="0.3">
      <c r="C3" s="70" t="s">
        <v>476</v>
      </c>
      <c r="D3" s="242" t="str">
        <f>ACV!J3</f>
        <v>YANTAC</v>
      </c>
      <c r="N3" s="257" t="s">
        <v>803</v>
      </c>
      <c r="X3" s="369">
        <v>11</v>
      </c>
      <c r="Y3" s="275">
        <v>2.0880000000000001</v>
      </c>
    </row>
    <row r="4" spans="1:25" ht="15" customHeight="1" thickBot="1" x14ac:dyDescent="0.35">
      <c r="N4" s="257" t="s">
        <v>512</v>
      </c>
      <c r="X4" s="369">
        <v>12</v>
      </c>
      <c r="Y4" s="275">
        <v>2.1339999999999999</v>
      </c>
    </row>
    <row r="5" spans="1:25" ht="15" customHeight="1" x14ac:dyDescent="0.3">
      <c r="C5" s="542" t="s">
        <v>486</v>
      </c>
      <c r="D5" s="544" t="s">
        <v>805</v>
      </c>
      <c r="E5" s="546" t="s">
        <v>806</v>
      </c>
      <c r="F5" s="220" t="s">
        <v>807</v>
      </c>
      <c r="N5" s="257" t="s">
        <v>513</v>
      </c>
      <c r="X5" s="369">
        <v>13</v>
      </c>
      <c r="Y5" s="275">
        <v>2.1749999999999998</v>
      </c>
    </row>
    <row r="6" spans="1:25" ht="15" customHeight="1" x14ac:dyDescent="0.3">
      <c r="C6" s="543"/>
      <c r="D6" s="545"/>
      <c r="E6" s="547"/>
      <c r="G6" s="99" t="s">
        <v>808</v>
      </c>
      <c r="H6" s="375">
        <f>VLOOKUP(E70,X2:Y52,2)</f>
        <v>2.79</v>
      </c>
      <c r="I6" s="169"/>
      <c r="J6" s="376" t="s">
        <v>809</v>
      </c>
      <c r="M6" s="241"/>
      <c r="X6" s="369">
        <v>14</v>
      </c>
      <c r="Y6" s="275">
        <v>2.2130000000000001</v>
      </c>
    </row>
    <row r="7" spans="1:25" ht="16.5" customHeight="1" x14ac:dyDescent="0.3">
      <c r="A7" s="129">
        <f>C7</f>
        <v>1969</v>
      </c>
      <c r="C7" s="464">
        <f>IF(ACV!D8="","",ACV!D8)</f>
        <v>1969</v>
      </c>
      <c r="D7" s="512">
        <f>IF(ACV!Q8="","",ACV!Q8)</f>
        <v>21.9</v>
      </c>
      <c r="E7" s="465">
        <f>IF(D7="","",LOG10(D7))</f>
        <v>1.3404441148401183</v>
      </c>
      <c r="G7" s="444" t="s">
        <v>810</v>
      </c>
      <c r="H7" s="378">
        <f>E68+H6*E69</f>
        <v>1.7220238777767733</v>
      </c>
      <c r="I7" s="169"/>
      <c r="N7" s="541" t="s">
        <v>514</v>
      </c>
      <c r="O7" s="541"/>
      <c r="P7" s="541"/>
      <c r="Q7" s="470">
        <v>1</v>
      </c>
      <c r="R7" s="470">
        <v>2</v>
      </c>
      <c r="S7" s="471" t="s">
        <v>515</v>
      </c>
      <c r="T7" s="472" t="s">
        <v>516</v>
      </c>
      <c r="U7" s="473" t="s">
        <v>517</v>
      </c>
      <c r="V7" s="473" t="s">
        <v>518</v>
      </c>
      <c r="X7" s="369">
        <v>15</v>
      </c>
      <c r="Y7" s="275">
        <v>2.2469999999999999</v>
      </c>
    </row>
    <row r="8" spans="1:25" ht="15" customHeight="1" x14ac:dyDescent="0.3">
      <c r="A8" s="129">
        <f>MAX(C7:C67)</f>
        <v>2023</v>
      </c>
      <c r="C8" s="464">
        <f>IF(ACV!D9="","",ACV!D9)</f>
        <v>1970</v>
      </c>
      <c r="D8" s="512">
        <f>IF(ACV!Q9="","",ACV!Q9)</f>
        <v>23.200000000000003</v>
      </c>
      <c r="E8" s="465">
        <f t="shared" ref="E8:E67" si="0">IF(D8="","",LOG10(D8))</f>
        <v>1.3654879848908996</v>
      </c>
      <c r="G8" s="99" t="s">
        <v>811</v>
      </c>
      <c r="H8" s="378">
        <f>E68-H6*E69</f>
        <v>0.80966707758366119</v>
      </c>
      <c r="N8" s="541" t="s">
        <v>519</v>
      </c>
      <c r="O8" s="541"/>
      <c r="P8" s="541"/>
      <c r="Q8" s="474">
        <v>1.1299999999999999</v>
      </c>
      <c r="R8" s="474">
        <v>1.04</v>
      </c>
      <c r="S8" s="474">
        <v>1.03</v>
      </c>
      <c r="T8" s="474">
        <v>1.02</v>
      </c>
      <c r="U8" s="474">
        <v>1.01</v>
      </c>
      <c r="V8" s="474">
        <v>1</v>
      </c>
      <c r="X8" s="369">
        <v>16</v>
      </c>
      <c r="Y8" s="275">
        <v>2.2789999999999999</v>
      </c>
    </row>
    <row r="9" spans="1:25" ht="15" customHeight="1" x14ac:dyDescent="0.3">
      <c r="A9" s="379">
        <f>H32</f>
        <v>52.725884964060548</v>
      </c>
      <c r="C9" s="464">
        <f>IF(ACV!D10="","",ACV!D10)</f>
        <v>1971</v>
      </c>
      <c r="D9" s="512">
        <f>IF(ACV!Q10="","",ACV!Q10)</f>
        <v>25</v>
      </c>
      <c r="E9" s="465">
        <f t="shared" si="0"/>
        <v>1.3979400086720377</v>
      </c>
      <c r="X9" s="369">
        <v>17</v>
      </c>
      <c r="Y9" s="275">
        <v>2.3090000000000002</v>
      </c>
    </row>
    <row r="10" spans="1:25" ht="15" customHeight="1" x14ac:dyDescent="0.3">
      <c r="A10" s="379">
        <f>H32</f>
        <v>52.725884964060548</v>
      </c>
      <c r="C10" s="464">
        <f>IF(ACV!D11="","",ACV!D11)</f>
        <v>1972</v>
      </c>
      <c r="D10" s="512">
        <f>IF(ACV!Q11="","",ACV!Q11)</f>
        <v>19.7</v>
      </c>
      <c r="E10" s="465">
        <f t="shared" si="0"/>
        <v>1.2944662261615929</v>
      </c>
      <c r="I10" s="104" t="s">
        <v>812</v>
      </c>
      <c r="N10" s="257" t="s">
        <v>520</v>
      </c>
      <c r="X10" s="369">
        <v>18</v>
      </c>
      <c r="Y10" s="275">
        <v>2.335</v>
      </c>
    </row>
    <row r="11" spans="1:25" ht="15" customHeight="1" x14ac:dyDescent="0.3">
      <c r="A11" s="379">
        <f>H35</f>
        <v>6.4515947166017718</v>
      </c>
      <c r="C11" s="464">
        <f>IF(ACV!D12="","",ACV!D12)</f>
        <v>1973</v>
      </c>
      <c r="D11" s="512">
        <f>IF(ACV!Q12="","",ACV!Q12)</f>
        <v>27.5</v>
      </c>
      <c r="E11" s="465">
        <f t="shared" si="0"/>
        <v>1.4393326938302626</v>
      </c>
      <c r="N11" s="257" t="s">
        <v>521</v>
      </c>
      <c r="X11" s="369">
        <v>19</v>
      </c>
      <c r="Y11" s="275">
        <v>2.3610000000000002</v>
      </c>
    </row>
    <row r="12" spans="1:25" ht="15" customHeight="1" x14ac:dyDescent="0.3">
      <c r="A12" s="379">
        <f>H35</f>
        <v>6.4515947166017718</v>
      </c>
      <c r="C12" s="464">
        <f>IF(ACV!D13="","",ACV!D13)</f>
        <v>1974</v>
      </c>
      <c r="D12" s="512">
        <f>IF(ACV!Q13="","",ACV!Q13)</f>
        <v>35</v>
      </c>
      <c r="E12" s="465">
        <f t="shared" si="0"/>
        <v>1.5440680443502757</v>
      </c>
      <c r="X12" s="369">
        <v>20</v>
      </c>
      <c r="Y12" s="275">
        <v>2.3849999999999998</v>
      </c>
    </row>
    <row r="13" spans="1:25" ht="15" customHeight="1" x14ac:dyDescent="0.3">
      <c r="C13" s="464">
        <f>IF(ACV!D14="","",ACV!D14)</f>
        <v>1975</v>
      </c>
      <c r="D13" s="512">
        <f>IF(ACV!Q14="","",ACV!Q14)</f>
        <v>33.400000000000006</v>
      </c>
      <c r="E13" s="465">
        <f t="shared" si="0"/>
        <v>1.5237464668115646</v>
      </c>
      <c r="X13" s="369">
        <v>21</v>
      </c>
      <c r="Y13" s="275">
        <v>2.4079999999999999</v>
      </c>
    </row>
    <row r="14" spans="1:25" ht="15" customHeight="1" x14ac:dyDescent="0.3">
      <c r="C14" s="464">
        <f>IF(ACV!D15="","",ACV!D15)</f>
        <v>1976</v>
      </c>
      <c r="D14" s="512">
        <f>IF(ACV!Q15="","",ACV!Q15)</f>
        <v>28.5</v>
      </c>
      <c r="E14" s="465">
        <f t="shared" si="0"/>
        <v>1.4548448600085102</v>
      </c>
      <c r="X14" s="369">
        <v>22</v>
      </c>
      <c r="Y14" s="275">
        <v>2.4289999999999998</v>
      </c>
    </row>
    <row r="15" spans="1:25" ht="15" customHeight="1" x14ac:dyDescent="0.3">
      <c r="C15" s="464">
        <f>IF(ACV!D16="","",ACV!D16)</f>
        <v>1977</v>
      </c>
      <c r="D15" s="512">
        <f>IF(ACV!Q16="","",ACV!Q16)</f>
        <v>15.1</v>
      </c>
      <c r="E15" s="465">
        <f t="shared" si="0"/>
        <v>1.1789769472931695</v>
      </c>
      <c r="X15" s="369">
        <v>23</v>
      </c>
      <c r="Y15" s="275">
        <v>2.448</v>
      </c>
    </row>
    <row r="16" spans="1:25" ht="15" customHeight="1" x14ac:dyDescent="0.3">
      <c r="C16" s="464">
        <f>IF(ACV!D17="","",ACV!D17)</f>
        <v>1978</v>
      </c>
      <c r="D16" s="512">
        <f>IF(ACV!Q17="","",ACV!Q17)</f>
        <v>27</v>
      </c>
      <c r="E16" s="465">
        <f t="shared" si="0"/>
        <v>1.4313637641589874</v>
      </c>
      <c r="X16" s="369">
        <v>24</v>
      </c>
      <c r="Y16" s="275">
        <v>2.4670000000000001</v>
      </c>
    </row>
    <row r="17" spans="3:34" ht="15" customHeight="1" x14ac:dyDescent="0.3">
      <c r="C17" s="464">
        <f>IF(ACV!D18="","",ACV!D18)</f>
        <v>1979</v>
      </c>
      <c r="D17" s="512">
        <f>IF(ACV!Q18="","",ACV!Q18)</f>
        <v>23.1</v>
      </c>
      <c r="E17" s="465">
        <f t="shared" si="0"/>
        <v>1.3636119798921444</v>
      </c>
      <c r="X17" s="369">
        <v>25</v>
      </c>
      <c r="Y17" s="275">
        <v>2.4860000000000002</v>
      </c>
    </row>
    <row r="18" spans="3:34" ht="15" customHeight="1" x14ac:dyDescent="0.3">
      <c r="C18" s="464">
        <f>IF(ACV!D19="","",ACV!D19)</f>
        <v>1980</v>
      </c>
      <c r="D18" s="512">
        <f>IF(ACV!Q19="","",ACV!Q19)</f>
        <v>25.2</v>
      </c>
      <c r="E18" s="465">
        <f t="shared" si="0"/>
        <v>1.4014005407815442</v>
      </c>
      <c r="N18" s="233"/>
      <c r="X18" s="369">
        <v>26</v>
      </c>
      <c r="Y18" s="275">
        <v>2.5019999999999998</v>
      </c>
    </row>
    <row r="19" spans="3:34" ht="15" customHeight="1" thickBot="1" x14ac:dyDescent="0.35">
      <c r="C19" s="464">
        <f>IF(ACV!D20="","",ACV!D20)</f>
        <v>1981</v>
      </c>
      <c r="D19" s="512">
        <f>IF(ACV!Q20="","",ACV!Q20)</f>
        <v>31.4</v>
      </c>
      <c r="E19" s="465">
        <f t="shared" si="0"/>
        <v>1.4969296480732148</v>
      </c>
      <c r="X19" s="369">
        <v>27</v>
      </c>
      <c r="Y19" s="275">
        <v>2.5190000000000001</v>
      </c>
    </row>
    <row r="20" spans="3:34" ht="15" customHeight="1" x14ac:dyDescent="0.3">
      <c r="C20" s="464">
        <f>IF(ACV!D21="","",ACV!D21)</f>
        <v>1982</v>
      </c>
      <c r="D20" s="512">
        <f>IF(ACV!Q21="","",ACV!Q21)</f>
        <v>12.3</v>
      </c>
      <c r="E20" s="465">
        <f t="shared" si="0"/>
        <v>1.0899051114393981</v>
      </c>
      <c r="N20" s="70" t="s">
        <v>476</v>
      </c>
      <c r="O20" s="242" t="str">
        <f>ACV!J3</f>
        <v>YANTAC</v>
      </c>
      <c r="Q20" s="542" t="s">
        <v>486</v>
      </c>
      <c r="R20" s="544" t="s">
        <v>522</v>
      </c>
      <c r="S20" s="546" t="s">
        <v>523</v>
      </c>
      <c r="X20" s="369">
        <v>28</v>
      </c>
      <c r="Y20" s="275">
        <v>2.5339999999999998</v>
      </c>
    </row>
    <row r="21" spans="3:34" ht="15" customHeight="1" x14ac:dyDescent="0.3">
      <c r="C21" s="464">
        <f>IF(ACV!D22="","",ACV!D22)</f>
        <v>1983</v>
      </c>
      <c r="D21" s="512">
        <f>IF(ACV!Q22="","",ACV!Q22)</f>
        <v>15.3</v>
      </c>
      <c r="E21" s="465">
        <f t="shared" si="0"/>
        <v>1.1846914308175989</v>
      </c>
      <c r="Q21" s="543"/>
      <c r="R21" s="545"/>
      <c r="S21" s="547"/>
      <c r="X21" s="369">
        <v>29</v>
      </c>
      <c r="Y21" s="275">
        <v>2.5489999999999999</v>
      </c>
    </row>
    <row r="22" spans="3:34" ht="15" customHeight="1" x14ac:dyDescent="0.3">
      <c r="C22" s="464">
        <f>IF(ACV!D23="","",ACV!D23)</f>
        <v>1984</v>
      </c>
      <c r="D22" s="512">
        <f>IF(ACV!Q23="","",ACV!Q23)</f>
        <v>16.7</v>
      </c>
      <c r="E22" s="465">
        <f t="shared" si="0"/>
        <v>1.2227164711475833</v>
      </c>
      <c r="Q22" s="466">
        <f>IF(ACV!D8="","",ACV!D8)</f>
        <v>1969</v>
      </c>
      <c r="R22" s="474">
        <f>IF(D7="","",D7)</f>
        <v>21.9</v>
      </c>
      <c r="S22" s="513">
        <f>IF(R22="","",R22*$Q$8)</f>
        <v>24.746999999999996</v>
      </c>
      <c r="X22" s="369">
        <v>30</v>
      </c>
      <c r="Y22" s="275">
        <v>2.5630000000000002</v>
      </c>
    </row>
    <row r="23" spans="3:34" ht="15" customHeight="1" x14ac:dyDescent="0.3">
      <c r="C23" s="464">
        <f>IF(ACV!D24="","",ACV!D24)</f>
        <v>1985</v>
      </c>
      <c r="D23" s="512">
        <f>IF(ACV!Q24="","",ACV!Q24)</f>
        <v>10</v>
      </c>
      <c r="E23" s="465">
        <f t="shared" si="0"/>
        <v>1</v>
      </c>
      <c r="Q23" s="466">
        <f>IF(ACV!D9="","",ACV!D9)</f>
        <v>1970</v>
      </c>
      <c r="R23" s="474">
        <f t="shared" ref="R23:R82" si="1">IF(D8="","",D8)</f>
        <v>23.200000000000003</v>
      </c>
      <c r="S23" s="513">
        <f t="shared" ref="S23:S84" si="2">IF(R23="","",R23*$Q$8)</f>
        <v>26.216000000000001</v>
      </c>
      <c r="X23" s="369">
        <v>31</v>
      </c>
      <c r="Y23" s="275">
        <v>2.577</v>
      </c>
    </row>
    <row r="24" spans="3:34" ht="15" customHeight="1" x14ac:dyDescent="0.3">
      <c r="C24" s="464">
        <f>IF(ACV!D25="","",ACV!D25)</f>
        <v>1986</v>
      </c>
      <c r="D24" s="512">
        <f>IF(ACV!Q25="","",ACV!Q25)</f>
        <v>12.399999999999999</v>
      </c>
      <c r="E24" s="465">
        <f t="shared" si="0"/>
        <v>1.0934216851622349</v>
      </c>
      <c r="Q24" s="466">
        <f>IF(ACV!D10="","",ACV!D10)</f>
        <v>1971</v>
      </c>
      <c r="R24" s="474">
        <f t="shared" si="1"/>
        <v>25</v>
      </c>
      <c r="S24" s="513">
        <f t="shared" si="2"/>
        <v>28.249999999999996</v>
      </c>
      <c r="X24" s="369">
        <v>32</v>
      </c>
      <c r="Y24" s="275">
        <v>2.5910000000000002</v>
      </c>
    </row>
    <row r="25" spans="3:34" ht="15" customHeight="1" x14ac:dyDescent="0.3">
      <c r="C25" s="464">
        <f>IF(ACV!D26="","",ACV!D26)</f>
        <v>1987</v>
      </c>
      <c r="D25" s="512">
        <f>IF(ACV!Q26="","",ACV!Q26)</f>
        <v>10.7</v>
      </c>
      <c r="E25" s="465">
        <f t="shared" si="0"/>
        <v>1.0293837776852097</v>
      </c>
      <c r="Q25" s="466">
        <f>IF(ACV!D11="","",ACV!D11)</f>
        <v>1972</v>
      </c>
      <c r="R25" s="474">
        <f t="shared" si="1"/>
        <v>19.7</v>
      </c>
      <c r="S25" s="513">
        <f>IF(R25="","",R25*$Q$8)</f>
        <v>22.260999999999996</v>
      </c>
      <c r="X25" s="369">
        <v>33</v>
      </c>
      <c r="Y25" s="275">
        <v>2.6040000000000001</v>
      </c>
      <c r="AH25" s="233"/>
    </row>
    <row r="26" spans="3:34" ht="15" customHeight="1" x14ac:dyDescent="0.3">
      <c r="C26" s="464">
        <f>IF(ACV!D27="","",ACV!D27)</f>
        <v>1988</v>
      </c>
      <c r="D26" s="512">
        <f>IF(ACV!Q27="","",ACV!Q27)</f>
        <v>13.5</v>
      </c>
      <c r="E26" s="465">
        <f t="shared" si="0"/>
        <v>1.1303337684950061</v>
      </c>
      <c r="Q26" s="466">
        <f>IF(ACV!D12="","",ACV!D12)</f>
        <v>1973</v>
      </c>
      <c r="R26" s="474">
        <f t="shared" si="1"/>
        <v>27.5</v>
      </c>
      <c r="S26" s="513">
        <f t="shared" si="2"/>
        <v>31.074999999999996</v>
      </c>
      <c r="X26" s="369">
        <v>34</v>
      </c>
      <c r="Y26" s="275">
        <v>2.6160000000000001</v>
      </c>
    </row>
    <row r="27" spans="3:34" ht="15" customHeight="1" x14ac:dyDescent="0.3">
      <c r="C27" s="464">
        <f>IF(ACV!D28="","",ACV!D28)</f>
        <v>1989</v>
      </c>
      <c r="D27" s="512">
        <f>IF(ACV!Q28="","",ACV!Q28)</f>
        <v>9.9</v>
      </c>
      <c r="E27" s="465">
        <f t="shared" si="0"/>
        <v>0.9956351945975499</v>
      </c>
      <c r="Q27" s="466">
        <f>IF(ACV!D13="","",ACV!D13)</f>
        <v>1974</v>
      </c>
      <c r="R27" s="474">
        <f t="shared" si="1"/>
        <v>35</v>
      </c>
      <c r="S27" s="513">
        <f t="shared" si="2"/>
        <v>39.549999999999997</v>
      </c>
      <c r="X27" s="369">
        <v>35</v>
      </c>
      <c r="Y27" s="275">
        <v>2.6280000000000001</v>
      </c>
    </row>
    <row r="28" spans="3:34" ht="15" customHeight="1" x14ac:dyDescent="0.3">
      <c r="C28" s="464">
        <f>IF(ACV!D29="","",ACV!D29)</f>
        <v>1990</v>
      </c>
      <c r="D28" s="512">
        <f>IF(ACV!Q29="","",ACV!Q29)</f>
        <v>27.2</v>
      </c>
      <c r="E28" s="465">
        <f t="shared" si="0"/>
        <v>1.4345689040341987</v>
      </c>
      <c r="J28" s="339" t="s">
        <v>813</v>
      </c>
      <c r="Q28" s="466">
        <f>IF(ACV!D14="","",ACV!D14)</f>
        <v>1975</v>
      </c>
      <c r="R28" s="474">
        <f t="shared" si="1"/>
        <v>33.400000000000006</v>
      </c>
      <c r="S28" s="513">
        <f t="shared" si="2"/>
        <v>37.742000000000004</v>
      </c>
      <c r="X28" s="369">
        <v>36</v>
      </c>
      <c r="Y28" s="275">
        <v>2.6389999999999998</v>
      </c>
    </row>
    <row r="29" spans="3:34" ht="15" customHeight="1" x14ac:dyDescent="0.3">
      <c r="C29" s="464">
        <f>IF(ACV!D30="","",ACV!D30)</f>
        <v>1991</v>
      </c>
      <c r="D29" s="512">
        <f>IF(ACV!Q30="","",ACV!Q30)</f>
        <v>10.8</v>
      </c>
      <c r="E29" s="465">
        <f t="shared" si="0"/>
        <v>1.0334237554869496</v>
      </c>
      <c r="Q29" s="466">
        <f>IF(ACV!D15="","",ACV!D15)</f>
        <v>1976</v>
      </c>
      <c r="R29" s="474">
        <f t="shared" si="1"/>
        <v>28.5</v>
      </c>
      <c r="S29" s="513">
        <f t="shared" si="2"/>
        <v>32.204999999999998</v>
      </c>
      <c r="X29" s="369">
        <v>37</v>
      </c>
      <c r="Y29" s="275">
        <v>2.65</v>
      </c>
    </row>
    <row r="30" spans="3:34" ht="15" customHeight="1" x14ac:dyDescent="0.3">
      <c r="C30" s="464">
        <f>IF(ACV!D31="","",ACV!D31)</f>
        <v>1992</v>
      </c>
      <c r="D30" s="512">
        <f>IF(ACV!Q31="","",ACV!Q31)</f>
        <v>10.100000000000001</v>
      </c>
      <c r="E30" s="465">
        <f t="shared" si="0"/>
        <v>1.0043213737826426</v>
      </c>
      <c r="Q30" s="466">
        <f>IF(ACV!D16="","",ACV!D16)</f>
        <v>1977</v>
      </c>
      <c r="R30" s="474">
        <f t="shared" si="1"/>
        <v>15.1</v>
      </c>
      <c r="S30" s="513">
        <f t="shared" si="2"/>
        <v>17.062999999999999</v>
      </c>
      <c r="X30" s="369">
        <v>38</v>
      </c>
      <c r="Y30" s="275">
        <v>2.661</v>
      </c>
    </row>
    <row r="31" spans="3:34" ht="15" customHeight="1" x14ac:dyDescent="0.3">
      <c r="C31" s="464">
        <f>IF(ACV!D32="","",ACV!D32)</f>
        <v>1993</v>
      </c>
      <c r="D31" s="512">
        <f>IF(ACV!Q32="","",ACV!Q32)</f>
        <v>15.2</v>
      </c>
      <c r="E31" s="465">
        <f t="shared" si="0"/>
        <v>1.1818435879447726</v>
      </c>
      <c r="F31" s="220" t="s">
        <v>346</v>
      </c>
      <c r="Q31" s="466">
        <f>IF(ACV!D17="","",ACV!D17)</f>
        <v>1978</v>
      </c>
      <c r="R31" s="474">
        <f t="shared" si="1"/>
        <v>27</v>
      </c>
      <c r="S31" s="513">
        <f t="shared" si="2"/>
        <v>30.509999999999998</v>
      </c>
      <c r="X31" s="369">
        <v>39</v>
      </c>
      <c r="Y31" s="275">
        <v>2.6709999999999998</v>
      </c>
    </row>
    <row r="32" spans="3:34" ht="15" customHeight="1" x14ac:dyDescent="0.3">
      <c r="C32" s="464">
        <f>IF(ACV!D33="","",ACV!D33)</f>
        <v>1994</v>
      </c>
      <c r="D32" s="512">
        <f>IF(ACV!Q33="","",ACV!Q33)</f>
        <v>18</v>
      </c>
      <c r="E32" s="465">
        <f t="shared" si="0"/>
        <v>1.255272505103306</v>
      </c>
      <c r="G32" s="99" t="s">
        <v>814</v>
      </c>
      <c r="H32" s="380">
        <f>POWER(10,H7)</f>
        <v>52.725884964060548</v>
      </c>
      <c r="I32" s="381" t="s">
        <v>3</v>
      </c>
      <c r="J32" s="376" t="s">
        <v>815</v>
      </c>
      <c r="Q32" s="466">
        <f>IF(ACV!D18="","",ACV!D18)</f>
        <v>1979</v>
      </c>
      <c r="R32" s="474">
        <f t="shared" si="1"/>
        <v>23.1</v>
      </c>
      <c r="S32" s="513">
        <f t="shared" si="2"/>
        <v>26.102999999999998</v>
      </c>
      <c r="X32" s="369">
        <v>40</v>
      </c>
      <c r="Y32" s="275">
        <v>2.6819999999999999</v>
      </c>
    </row>
    <row r="33" spans="3:25" ht="15" customHeight="1" x14ac:dyDescent="0.3">
      <c r="C33" s="464">
        <f>IF(ACV!D34="","",ACV!D34)</f>
        <v>1995</v>
      </c>
      <c r="D33" s="512">
        <f>IF(ACV!Q34="","",ACV!Q34)</f>
        <v>19.7</v>
      </c>
      <c r="E33" s="465">
        <f t="shared" si="0"/>
        <v>1.2944662261615929</v>
      </c>
      <c r="Q33" s="466">
        <f>IF(ACV!D19="","",ACV!D19)</f>
        <v>1980</v>
      </c>
      <c r="R33" s="474">
        <f t="shared" si="1"/>
        <v>25.2</v>
      </c>
      <c r="S33" s="513">
        <f t="shared" si="2"/>
        <v>28.475999999999996</v>
      </c>
      <c r="X33" s="369">
        <v>41</v>
      </c>
      <c r="Y33" s="275">
        <v>2.6920000000000002</v>
      </c>
    </row>
    <row r="34" spans="3:25" ht="15" customHeight="1" x14ac:dyDescent="0.3">
      <c r="C34" s="464">
        <f>IF(ACV!D35="","",ACV!D35)</f>
        <v>1996</v>
      </c>
      <c r="D34" s="512">
        <f>IF(ACV!Q35="","",ACV!Q35)</f>
        <v>17.7</v>
      </c>
      <c r="E34" s="465">
        <f t="shared" si="0"/>
        <v>1.2479732663618066</v>
      </c>
      <c r="Q34" s="466">
        <f>IF(ACV!D20="","",ACV!D20)</f>
        <v>1981</v>
      </c>
      <c r="R34" s="474">
        <f t="shared" si="1"/>
        <v>31.4</v>
      </c>
      <c r="S34" s="513">
        <f t="shared" si="2"/>
        <v>35.481999999999992</v>
      </c>
      <c r="X34" s="369">
        <v>42</v>
      </c>
      <c r="Y34" s="275">
        <v>2.7</v>
      </c>
    </row>
    <row r="35" spans="3:25" ht="15" customHeight="1" x14ac:dyDescent="0.3">
      <c r="C35" s="464">
        <f>IF(ACV!D36="","",ACV!D36)</f>
        <v>1997</v>
      </c>
      <c r="D35" s="512">
        <f>IF(ACV!Q36="","",ACV!Q36)</f>
        <v>26.200000000000003</v>
      </c>
      <c r="E35" s="465">
        <f t="shared" si="0"/>
        <v>1.4183012913197455</v>
      </c>
      <c r="G35" s="99" t="s">
        <v>816</v>
      </c>
      <c r="H35" s="388">
        <f>POWER(10,H8)</f>
        <v>6.4515947166017718</v>
      </c>
      <c r="I35" s="381" t="s">
        <v>3</v>
      </c>
      <c r="J35" s="376" t="s">
        <v>817</v>
      </c>
      <c r="Q35" s="466">
        <f>IF(ACV!D21="","",ACV!D21)</f>
        <v>1982</v>
      </c>
      <c r="R35" s="474">
        <f t="shared" si="1"/>
        <v>12.3</v>
      </c>
      <c r="S35" s="513">
        <f t="shared" si="2"/>
        <v>13.898999999999999</v>
      </c>
      <c r="X35" s="369">
        <v>43</v>
      </c>
      <c r="Y35" s="275">
        <v>2.71</v>
      </c>
    </row>
    <row r="36" spans="3:25" ht="15" customHeight="1" x14ac:dyDescent="0.3">
      <c r="C36" s="464">
        <f>IF(ACV!D37="","",ACV!D37)</f>
        <v>1998</v>
      </c>
      <c r="D36" s="512">
        <f>IF(ACV!Q37="","",ACV!Q37)</f>
        <v>28.599999999999998</v>
      </c>
      <c r="E36" s="465">
        <f t="shared" si="0"/>
        <v>1.4563660331290429</v>
      </c>
      <c r="Q36" s="466">
        <f>IF(ACV!D22="","",ACV!D22)</f>
        <v>1983</v>
      </c>
      <c r="R36" s="474">
        <f t="shared" si="1"/>
        <v>15.3</v>
      </c>
      <c r="S36" s="513">
        <f t="shared" si="2"/>
        <v>17.288999999999998</v>
      </c>
      <c r="X36" s="369">
        <v>44</v>
      </c>
      <c r="Y36" s="275">
        <v>2.7189999999999999</v>
      </c>
    </row>
    <row r="37" spans="3:25" ht="15" customHeight="1" x14ac:dyDescent="0.3">
      <c r="C37" s="464">
        <f>IF(ACV!D38="","",ACV!D38)</f>
        <v>1999</v>
      </c>
      <c r="D37" s="512">
        <f>IF(ACV!Q38="","",ACV!Q38)</f>
        <v>24.9</v>
      </c>
      <c r="E37" s="465">
        <f t="shared" si="0"/>
        <v>1.3961993470957363</v>
      </c>
      <c r="Q37" s="466">
        <f>IF(ACV!D23="","",ACV!D23)</f>
        <v>1984</v>
      </c>
      <c r="R37" s="474">
        <f t="shared" si="1"/>
        <v>16.7</v>
      </c>
      <c r="S37" s="513">
        <f t="shared" si="2"/>
        <v>18.870999999999999</v>
      </c>
      <c r="X37" s="369">
        <v>45</v>
      </c>
      <c r="Y37" s="275">
        <v>2.7269999999999999</v>
      </c>
    </row>
    <row r="38" spans="3:25" ht="15" customHeight="1" x14ac:dyDescent="0.3">
      <c r="C38" s="464">
        <f>IF(ACV!D39="","",ACV!D39)</f>
        <v>2000</v>
      </c>
      <c r="D38" s="512">
        <f>IF(ACV!Q39="","",ACV!Q39)</f>
        <v>35.599999999999994</v>
      </c>
      <c r="E38" s="465">
        <f t="shared" si="0"/>
        <v>1.5514499979728751</v>
      </c>
      <c r="Q38" s="466">
        <f>IF(ACV!D24="","",ACV!D24)</f>
        <v>1985</v>
      </c>
      <c r="R38" s="474">
        <f t="shared" si="1"/>
        <v>10</v>
      </c>
      <c r="S38" s="513">
        <f t="shared" si="2"/>
        <v>11.299999999999999</v>
      </c>
      <c r="X38" s="369">
        <v>46</v>
      </c>
      <c r="Y38" s="275">
        <v>2.7360000000000002</v>
      </c>
    </row>
    <row r="39" spans="3:25" ht="15" customHeight="1" x14ac:dyDescent="0.3">
      <c r="C39" s="464">
        <f>IF(ACV!D40="","",ACV!D40)</f>
        <v>2001</v>
      </c>
      <c r="D39" s="512">
        <f>IF(ACV!Q40="","",ACV!Q40)</f>
        <v>28.1</v>
      </c>
      <c r="E39" s="465">
        <f t="shared" si="0"/>
        <v>1.4487063199050798</v>
      </c>
      <c r="Q39" s="466">
        <f>IF(ACV!D25="","",ACV!D25)</f>
        <v>1986</v>
      </c>
      <c r="R39" s="474">
        <f t="shared" si="1"/>
        <v>12.399999999999999</v>
      </c>
      <c r="S39" s="513">
        <f t="shared" si="2"/>
        <v>14.011999999999997</v>
      </c>
      <c r="X39" s="369">
        <v>47</v>
      </c>
      <c r="Y39" s="275">
        <v>2.7440000000000002</v>
      </c>
    </row>
    <row r="40" spans="3:25" ht="15" customHeight="1" x14ac:dyDescent="0.3">
      <c r="C40" s="464">
        <f>IF(ACV!D41="","",ACV!D41)</f>
        <v>2002</v>
      </c>
      <c r="D40" s="512">
        <f>IF(ACV!Q41="","",ACV!Q41)</f>
        <v>19.5</v>
      </c>
      <c r="E40" s="465">
        <f t="shared" si="0"/>
        <v>1.2900346113625181</v>
      </c>
      <c r="Q40" s="466">
        <f>IF(ACV!D26="","",ACV!D26)</f>
        <v>1987</v>
      </c>
      <c r="R40" s="474">
        <f t="shared" si="1"/>
        <v>10.7</v>
      </c>
      <c r="S40" s="513">
        <f t="shared" si="2"/>
        <v>12.090999999999998</v>
      </c>
      <c r="X40" s="369">
        <v>48</v>
      </c>
      <c r="Y40" s="275">
        <v>2.7530000000000001</v>
      </c>
    </row>
    <row r="41" spans="3:25" ht="15" customHeight="1" x14ac:dyDescent="0.3">
      <c r="C41" s="464">
        <f>IF(ACV!D42="","",ACV!D42)</f>
        <v>2003</v>
      </c>
      <c r="D41" s="512">
        <f>IF(ACV!Q42="","",ACV!Q42)</f>
        <v>29.299999999999997</v>
      </c>
      <c r="E41" s="465">
        <f t="shared" si="0"/>
        <v>1.4668676203541093</v>
      </c>
      <c r="Q41" s="466">
        <f>IF(ACV!D27="","",ACV!D27)</f>
        <v>1988</v>
      </c>
      <c r="R41" s="474">
        <f t="shared" si="1"/>
        <v>13.5</v>
      </c>
      <c r="S41" s="513">
        <f>IF(R41="","",R41*$Q$8)</f>
        <v>15.254999999999999</v>
      </c>
      <c r="X41" s="369">
        <v>49</v>
      </c>
      <c r="Y41" s="275">
        <v>2.76</v>
      </c>
    </row>
    <row r="42" spans="3:25" ht="15" customHeight="1" x14ac:dyDescent="0.3">
      <c r="C42" s="464">
        <f>IF(ACV!D43="","",ACV!D43)</f>
        <v>2004</v>
      </c>
      <c r="D42" s="512">
        <f>IF(ACV!Q43="","",ACV!Q43)</f>
        <v>16.5</v>
      </c>
      <c r="E42" s="465">
        <f t="shared" si="0"/>
        <v>1.2174839442139063</v>
      </c>
      <c r="Q42" s="466">
        <f>IF(ACV!D28="","",ACV!D28)</f>
        <v>1989</v>
      </c>
      <c r="R42" s="474">
        <f t="shared" si="1"/>
        <v>9.9</v>
      </c>
      <c r="S42" s="513">
        <f t="shared" si="2"/>
        <v>11.186999999999999</v>
      </c>
      <c r="X42" s="369">
        <v>50</v>
      </c>
      <c r="Y42" s="275">
        <v>2.7679999999999998</v>
      </c>
    </row>
    <row r="43" spans="3:25" ht="15" customHeight="1" x14ac:dyDescent="0.3">
      <c r="C43" s="464">
        <f>IF(ACV!D44="","",ACV!D44)</f>
        <v>2005</v>
      </c>
      <c r="D43" s="512">
        <f>IF(ACV!Q44="","",ACV!Q44)</f>
        <v>12.3</v>
      </c>
      <c r="E43" s="465">
        <f t="shared" si="0"/>
        <v>1.0899051114393981</v>
      </c>
      <c r="Q43" s="466">
        <f>IF(ACV!D29="","",ACV!D29)</f>
        <v>1990</v>
      </c>
      <c r="R43" s="474">
        <f t="shared" si="1"/>
        <v>27.2</v>
      </c>
      <c r="S43" s="513">
        <f t="shared" si="2"/>
        <v>30.735999999999997</v>
      </c>
      <c r="X43" s="369">
        <v>51</v>
      </c>
      <c r="Y43" s="275">
        <v>2.7749999999999999</v>
      </c>
    </row>
    <row r="44" spans="3:25" ht="15" customHeight="1" x14ac:dyDescent="0.3">
      <c r="C44" s="464">
        <f>IF(ACV!D45="","",ACV!D45)</f>
        <v>2006</v>
      </c>
      <c r="D44" s="512">
        <f>IF(ACV!Q45="","",ACV!Q45)</f>
        <v>31.6</v>
      </c>
      <c r="E44" s="465">
        <f t="shared" si="0"/>
        <v>1.4996870826184039</v>
      </c>
      <c r="Q44" s="466">
        <f>IF(ACV!D30="","",ACV!D30)</f>
        <v>1991</v>
      </c>
      <c r="R44" s="474">
        <f t="shared" si="1"/>
        <v>10.8</v>
      </c>
      <c r="S44" s="513">
        <f t="shared" si="2"/>
        <v>12.203999999999999</v>
      </c>
      <c r="X44" s="369">
        <v>52</v>
      </c>
      <c r="Y44" s="275">
        <v>2.782</v>
      </c>
    </row>
    <row r="45" spans="3:25" ht="15" customHeight="1" x14ac:dyDescent="0.3">
      <c r="C45" s="464">
        <f>IF(ACV!D46="","",ACV!D46)</f>
        <v>2007</v>
      </c>
      <c r="D45" s="512">
        <f>IF(ACV!Q46="","",ACV!Q46)</f>
        <v>14.1</v>
      </c>
      <c r="E45" s="465">
        <f t="shared" si="0"/>
        <v>1.1492191126553799</v>
      </c>
      <c r="Q45" s="466">
        <f>IF(ACV!D31="","",ACV!D31)</f>
        <v>1992</v>
      </c>
      <c r="R45" s="474">
        <f t="shared" si="1"/>
        <v>10.100000000000001</v>
      </c>
      <c r="S45" s="513">
        <f t="shared" si="2"/>
        <v>11.413</v>
      </c>
      <c r="X45" s="369">
        <v>53</v>
      </c>
      <c r="Y45" s="275">
        <v>2.79</v>
      </c>
    </row>
    <row r="46" spans="3:25" ht="15" customHeight="1" x14ac:dyDescent="0.3">
      <c r="C46" s="464">
        <f>IF(ACV!D47="","",ACV!D47)</f>
        <v>2008</v>
      </c>
      <c r="D46" s="512">
        <f>IF(ACV!Q47="","",ACV!Q47)</f>
        <v>17.5</v>
      </c>
      <c r="E46" s="465">
        <f t="shared" si="0"/>
        <v>1.2430380486862944</v>
      </c>
      <c r="Q46" s="466">
        <f>IF(ACV!D32="","",ACV!D32)</f>
        <v>1993</v>
      </c>
      <c r="R46" s="474">
        <f t="shared" si="1"/>
        <v>15.2</v>
      </c>
      <c r="S46" s="513">
        <f t="shared" si="2"/>
        <v>17.175999999999998</v>
      </c>
      <c r="X46" s="369">
        <v>54</v>
      </c>
      <c r="Y46" s="275">
        <v>2.7970000000000002</v>
      </c>
    </row>
    <row r="47" spans="3:25" ht="15" customHeight="1" x14ac:dyDescent="0.3">
      <c r="C47" s="464">
        <f>IF(ACV!D48="","",ACV!D48)</f>
        <v>2009</v>
      </c>
      <c r="D47" s="512">
        <f>IF(ACV!Q48="","",ACV!Q48)</f>
        <v>25.5</v>
      </c>
      <c r="E47" s="465">
        <f t="shared" si="0"/>
        <v>1.4065401804339552</v>
      </c>
      <c r="Q47" s="466">
        <f>IF(ACV!D33="","",ACV!D33)</f>
        <v>1994</v>
      </c>
      <c r="R47" s="474">
        <f t="shared" si="1"/>
        <v>18</v>
      </c>
      <c r="S47" s="513">
        <f t="shared" si="2"/>
        <v>20.339999999999996</v>
      </c>
      <c r="X47" s="369">
        <v>55</v>
      </c>
      <c r="Y47" s="275">
        <v>2.8039999999999998</v>
      </c>
    </row>
    <row r="48" spans="3:25" ht="15" customHeight="1" x14ac:dyDescent="0.3">
      <c r="C48" s="464">
        <f>IF(ACV!D49="","",ACV!D49)</f>
        <v>2010</v>
      </c>
      <c r="D48" s="512">
        <f>IF(ACV!Q49="","",ACV!Q49)</f>
        <v>19.100000000000001</v>
      </c>
      <c r="E48" s="465">
        <f t="shared" si="0"/>
        <v>1.2810333672477277</v>
      </c>
      <c r="Q48" s="466">
        <f>IF(ACV!D34="","",ACV!D34)</f>
        <v>1995</v>
      </c>
      <c r="R48" s="474">
        <f t="shared" si="1"/>
        <v>19.7</v>
      </c>
      <c r="S48" s="513">
        <f t="shared" si="2"/>
        <v>22.260999999999996</v>
      </c>
      <c r="X48" s="369">
        <v>56</v>
      </c>
      <c r="Y48" s="275">
        <v>2.8109999999999999</v>
      </c>
    </row>
    <row r="49" spans="3:25" ht="15" customHeight="1" x14ac:dyDescent="0.3">
      <c r="C49" s="464">
        <f>IF(ACV!D50="","",ACV!D50)</f>
        <v>2011</v>
      </c>
      <c r="D49" s="512">
        <f>IF(ACV!Q50="","",ACV!Q50)</f>
        <v>15.8</v>
      </c>
      <c r="E49" s="465">
        <f t="shared" si="0"/>
        <v>1.1986570869544226</v>
      </c>
      <c r="Q49" s="466">
        <f>IF(ACV!D35="","",ACV!D35)</f>
        <v>1996</v>
      </c>
      <c r="R49" s="474">
        <f t="shared" si="1"/>
        <v>17.7</v>
      </c>
      <c r="S49" s="513">
        <f t="shared" si="2"/>
        <v>20.000999999999998</v>
      </c>
      <c r="X49" s="369">
        <v>57</v>
      </c>
      <c r="Y49" s="275">
        <v>2.8170000000000002</v>
      </c>
    </row>
    <row r="50" spans="3:25" ht="15" customHeight="1" x14ac:dyDescent="0.3">
      <c r="C50" s="464">
        <f>IF(ACV!D51="","",ACV!D51)</f>
        <v>2012</v>
      </c>
      <c r="D50" s="512">
        <f>IF(ACV!Q51="","",ACV!Q51)</f>
        <v>9.9</v>
      </c>
      <c r="E50" s="465">
        <f t="shared" si="0"/>
        <v>0.9956351945975499</v>
      </c>
      <c r="Q50" s="466">
        <f>IF(ACV!D36="","",ACV!D36)</f>
        <v>1997</v>
      </c>
      <c r="R50" s="474">
        <f t="shared" si="1"/>
        <v>26.200000000000003</v>
      </c>
      <c r="S50" s="513">
        <f t="shared" si="2"/>
        <v>29.606000000000002</v>
      </c>
      <c r="X50" s="369">
        <v>58</v>
      </c>
      <c r="Y50" s="275">
        <v>2.8239999999999998</v>
      </c>
    </row>
    <row r="51" spans="3:25" ht="15" customHeight="1" x14ac:dyDescent="0.3">
      <c r="C51" s="464">
        <f>IF(ACV!D52="","",ACV!D52)</f>
        <v>2013</v>
      </c>
      <c r="D51" s="512">
        <f>IF(ACV!Q52="","",ACV!Q52)</f>
        <v>10.7</v>
      </c>
      <c r="E51" s="465">
        <f t="shared" si="0"/>
        <v>1.0293837776852097</v>
      </c>
      <c r="Q51" s="466">
        <f>IF(ACV!D37="","",ACV!D37)</f>
        <v>1998</v>
      </c>
      <c r="R51" s="474">
        <f t="shared" si="1"/>
        <v>28.599999999999998</v>
      </c>
      <c r="S51" s="513">
        <f t="shared" si="2"/>
        <v>32.317999999999998</v>
      </c>
      <c r="X51" s="369">
        <v>59</v>
      </c>
      <c r="Y51" s="275">
        <v>2.83</v>
      </c>
    </row>
    <row r="52" spans="3:25" ht="15" customHeight="1" x14ac:dyDescent="0.3">
      <c r="C52" s="464">
        <f>IF(ACV!D53="","",ACV!D53)</f>
        <v>2014</v>
      </c>
      <c r="D52" s="512">
        <f>IF(ACV!Q53="","",ACV!Q53)</f>
        <v>12.3</v>
      </c>
      <c r="E52" s="465">
        <f t="shared" si="0"/>
        <v>1.0899051114393981</v>
      </c>
      <c r="Q52" s="466">
        <f>IF(ACV!D38="","",ACV!D38)</f>
        <v>1999</v>
      </c>
      <c r="R52" s="474">
        <f t="shared" si="1"/>
        <v>24.9</v>
      </c>
      <c r="S52" s="513">
        <f t="shared" si="2"/>
        <v>28.136999999999997</v>
      </c>
      <c r="X52" s="369">
        <v>60</v>
      </c>
      <c r="Y52" s="275">
        <v>2.8370000000000002</v>
      </c>
    </row>
    <row r="53" spans="3:25" ht="15" customHeight="1" x14ac:dyDescent="0.3">
      <c r="C53" s="464">
        <f>IF(ACV!D54="","",ACV!D54)</f>
        <v>2015</v>
      </c>
      <c r="D53" s="512">
        <f>IF(ACV!Q54="","",ACV!Q54)</f>
        <v>15.7</v>
      </c>
      <c r="E53" s="465">
        <f t="shared" si="0"/>
        <v>1.1958996524092338</v>
      </c>
      <c r="Q53" s="466">
        <f>IF(ACV!D39="","",ACV!D39)</f>
        <v>2000</v>
      </c>
      <c r="R53" s="474">
        <f t="shared" si="1"/>
        <v>35.599999999999994</v>
      </c>
      <c r="S53" s="513">
        <f t="shared" si="2"/>
        <v>40.227999999999987</v>
      </c>
    </row>
    <row r="54" spans="3:25" ht="15" customHeight="1" x14ac:dyDescent="0.3">
      <c r="C54" s="464">
        <f>IF(ACV!D55="","",ACV!D55)</f>
        <v>2016</v>
      </c>
      <c r="D54" s="512">
        <f>IF(ACV!Q55="","",ACV!Q55)</f>
        <v>15.3</v>
      </c>
      <c r="E54" s="465">
        <f t="shared" si="0"/>
        <v>1.1846914308175989</v>
      </c>
      <c r="Q54" s="466">
        <f>IF(ACV!D40="","",ACV!D40)</f>
        <v>2001</v>
      </c>
      <c r="R54" s="474">
        <f t="shared" si="1"/>
        <v>28.1</v>
      </c>
      <c r="S54" s="513">
        <f t="shared" si="2"/>
        <v>31.753</v>
      </c>
    </row>
    <row r="55" spans="3:25" ht="15" customHeight="1" x14ac:dyDescent="0.3">
      <c r="C55" s="464">
        <f>IF(ACV!D56="","",ACV!D56)</f>
        <v>2017</v>
      </c>
      <c r="D55" s="512">
        <f>IF(ACV!Q56="","",ACV!Q56)</f>
        <v>14.8</v>
      </c>
      <c r="E55" s="465">
        <f t="shared" si="0"/>
        <v>1.1702617153949575</v>
      </c>
      <c r="Q55" s="466">
        <f>IF(ACV!D41="","",ACV!D41)</f>
        <v>2002</v>
      </c>
      <c r="R55" s="474">
        <f t="shared" si="1"/>
        <v>19.5</v>
      </c>
      <c r="S55" s="513">
        <f t="shared" si="2"/>
        <v>22.034999999999997</v>
      </c>
    </row>
    <row r="56" spans="3:25" ht="15" customHeight="1" x14ac:dyDescent="0.3">
      <c r="C56" s="464">
        <f>IF(ACV!D57="","",ACV!D57)</f>
        <v>2018</v>
      </c>
      <c r="D56" s="512">
        <f>IF(ACV!Q57="","",ACV!Q57)</f>
        <v>18.8</v>
      </c>
      <c r="E56" s="465">
        <f t="shared" si="0"/>
        <v>1.2741578492636798</v>
      </c>
      <c r="Q56" s="466">
        <f>IF(ACV!D42="","",ACV!D42)</f>
        <v>2003</v>
      </c>
      <c r="R56" s="474">
        <f t="shared" si="1"/>
        <v>29.299999999999997</v>
      </c>
      <c r="S56" s="513">
        <f t="shared" si="2"/>
        <v>33.108999999999995</v>
      </c>
    </row>
    <row r="57" spans="3:25" ht="15" customHeight="1" x14ac:dyDescent="0.3">
      <c r="C57" s="464">
        <f>IF(ACV!D58="","",ACV!D58)</f>
        <v>2019</v>
      </c>
      <c r="D57" s="512">
        <f>IF(ACV!Q58="","",ACV!Q58)</f>
        <v>11.7</v>
      </c>
      <c r="E57" s="465">
        <f t="shared" si="0"/>
        <v>1.0681858617461617</v>
      </c>
      <c r="F57" s="220" t="s">
        <v>818</v>
      </c>
      <c r="Q57" s="466">
        <f>IF(ACV!D43="","",ACV!D43)</f>
        <v>2004</v>
      </c>
      <c r="R57" s="474">
        <f t="shared" si="1"/>
        <v>16.5</v>
      </c>
      <c r="S57" s="513">
        <f t="shared" si="2"/>
        <v>18.645</v>
      </c>
    </row>
    <row r="58" spans="3:25" ht="15" customHeight="1" x14ac:dyDescent="0.3">
      <c r="C58" s="464">
        <f>IF(ACV!D59="","",ACV!D59)</f>
        <v>2020</v>
      </c>
      <c r="D58" s="512">
        <f>IF(ACV!Q59="","",ACV!Q59)</f>
        <v>20.9</v>
      </c>
      <c r="E58" s="465">
        <f t="shared" si="0"/>
        <v>1.320146286111054</v>
      </c>
      <c r="G58" s="257" t="s">
        <v>819</v>
      </c>
      <c r="Q58" s="466">
        <f>IF(ACV!D44="","",ACV!D44)</f>
        <v>2005</v>
      </c>
      <c r="R58" s="474">
        <f t="shared" si="1"/>
        <v>12.3</v>
      </c>
      <c r="S58" s="513">
        <f t="shared" si="2"/>
        <v>13.898999999999999</v>
      </c>
    </row>
    <row r="59" spans="3:25" ht="15" customHeight="1" x14ac:dyDescent="0.3">
      <c r="C59" s="464">
        <f>IF(ACV!D60="","",ACV!D60)</f>
        <v>2023</v>
      </c>
      <c r="D59" s="512">
        <f>IF(ACV!Q60="","",ACV!Q60)</f>
        <v>16.5</v>
      </c>
      <c r="E59" s="465">
        <f t="shared" si="0"/>
        <v>1.2174839442139063</v>
      </c>
      <c r="G59" s="257" t="s">
        <v>820</v>
      </c>
      <c r="Q59" s="466">
        <f>IF(ACV!D45="","",ACV!D45)</f>
        <v>2006</v>
      </c>
      <c r="R59" s="474">
        <f t="shared" si="1"/>
        <v>31.6</v>
      </c>
      <c r="S59" s="513">
        <f t="shared" si="2"/>
        <v>35.707999999999998</v>
      </c>
    </row>
    <row r="60" spans="3:25" ht="15" customHeight="1" x14ac:dyDescent="0.3">
      <c r="C60" s="464" t="str">
        <f>IF(ACV!D61="","",ACV!D61)</f>
        <v/>
      </c>
      <c r="D60" s="512" t="str">
        <f>IF(ACV!Q61="","",ACV!Q61)</f>
        <v/>
      </c>
      <c r="E60" s="465" t="str">
        <f t="shared" si="0"/>
        <v/>
      </c>
      <c r="G60" s="257" t="s">
        <v>821</v>
      </c>
      <c r="Q60" s="466">
        <f>IF(ACV!D46="","",ACV!D46)</f>
        <v>2007</v>
      </c>
      <c r="R60" s="474">
        <f t="shared" si="1"/>
        <v>14.1</v>
      </c>
      <c r="S60" s="513">
        <f t="shared" si="2"/>
        <v>15.932999999999998</v>
      </c>
    </row>
    <row r="61" spans="3:25" ht="15" customHeight="1" x14ac:dyDescent="0.3">
      <c r="C61" s="464" t="str">
        <f>IF(ACV!D62="","",ACV!D62)</f>
        <v/>
      </c>
      <c r="D61" s="512" t="str">
        <f>IF(ACV!Q62="","",ACV!Q62)</f>
        <v/>
      </c>
      <c r="E61" s="465" t="str">
        <f t="shared" si="0"/>
        <v/>
      </c>
      <c r="Q61" s="466">
        <f>IF(ACV!D47="","",ACV!D47)</f>
        <v>2008</v>
      </c>
      <c r="R61" s="474">
        <f t="shared" si="1"/>
        <v>17.5</v>
      </c>
      <c r="S61" s="513">
        <f t="shared" si="2"/>
        <v>19.774999999999999</v>
      </c>
    </row>
    <row r="62" spans="3:25" ht="15" customHeight="1" x14ac:dyDescent="0.3">
      <c r="C62" s="464" t="str">
        <f>IF(ACV!D63="","",ACV!D63)</f>
        <v/>
      </c>
      <c r="D62" s="512" t="str">
        <f>IF(ACV!Q63="","",ACV!Q63)</f>
        <v/>
      </c>
      <c r="E62" s="465" t="str">
        <f t="shared" si="0"/>
        <v/>
      </c>
      <c r="Q62" s="466">
        <f>IF(ACV!D48="","",ACV!D48)</f>
        <v>2009</v>
      </c>
      <c r="R62" s="474">
        <f t="shared" si="1"/>
        <v>25.5</v>
      </c>
      <c r="S62" s="513">
        <f t="shared" si="2"/>
        <v>28.814999999999998</v>
      </c>
    </row>
    <row r="63" spans="3:25" ht="15" customHeight="1" x14ac:dyDescent="0.3">
      <c r="C63" s="464" t="str">
        <f>IF(ACV!D64="","",ACV!D64)</f>
        <v/>
      </c>
      <c r="D63" s="512" t="str">
        <f>IF(ACV!Q64="","",ACV!Q64)</f>
        <v/>
      </c>
      <c r="E63" s="465" t="str">
        <f t="shared" si="0"/>
        <v/>
      </c>
      <c r="Q63" s="466">
        <f>IF(ACV!D49="","",ACV!D49)</f>
        <v>2010</v>
      </c>
      <c r="R63" s="474">
        <f t="shared" si="1"/>
        <v>19.100000000000001</v>
      </c>
      <c r="S63" s="513">
        <f t="shared" si="2"/>
        <v>21.582999999999998</v>
      </c>
      <c r="X63" s="255"/>
      <c r="Y63" s="254"/>
    </row>
    <row r="64" spans="3:25" ht="15" customHeight="1" x14ac:dyDescent="0.3">
      <c r="C64" s="464" t="str">
        <f>IF(ACV!D65="","",ACV!D65)</f>
        <v/>
      </c>
      <c r="D64" s="512" t="str">
        <f>IF(ACV!Q65="","",ACV!Q65)</f>
        <v/>
      </c>
      <c r="E64" s="465" t="str">
        <f t="shared" si="0"/>
        <v/>
      </c>
      <c r="Q64" s="466">
        <f>IF(ACV!D50="","",ACV!D50)</f>
        <v>2011</v>
      </c>
      <c r="R64" s="474">
        <f t="shared" si="1"/>
        <v>15.8</v>
      </c>
      <c r="S64" s="513">
        <f t="shared" si="2"/>
        <v>17.853999999999999</v>
      </c>
    </row>
    <row r="65" spans="3:34" ht="15" customHeight="1" x14ac:dyDescent="0.3">
      <c r="C65" s="464" t="str">
        <f>IF(ACV!D66="","",ACV!D66)</f>
        <v/>
      </c>
      <c r="D65" s="512" t="str">
        <f>IF(ACV!Q66="","",ACV!Q66)</f>
        <v/>
      </c>
      <c r="E65" s="465" t="str">
        <f t="shared" si="0"/>
        <v/>
      </c>
      <c r="Q65" s="466">
        <f>IF(ACV!D51="","",ACV!D51)</f>
        <v>2012</v>
      </c>
      <c r="R65" s="474">
        <f t="shared" si="1"/>
        <v>9.9</v>
      </c>
      <c r="S65" s="513">
        <f t="shared" si="2"/>
        <v>11.186999999999999</v>
      </c>
      <c r="AH65" s="233"/>
    </row>
    <row r="66" spans="3:34" ht="15" customHeight="1" thickBot="1" x14ac:dyDescent="0.35">
      <c r="C66" s="484" t="str">
        <f>IF(ACV!D67="","",ACV!D67)</f>
        <v/>
      </c>
      <c r="D66" s="512" t="str">
        <f>IF(ACV!Q67="","",ACV!Q67)</f>
        <v/>
      </c>
      <c r="E66" s="465" t="str">
        <f t="shared" si="0"/>
        <v/>
      </c>
      <c r="Q66" s="466">
        <f>IF(ACV!D52="","",ACV!D52)</f>
        <v>2013</v>
      </c>
      <c r="R66" s="474">
        <f t="shared" si="1"/>
        <v>10.7</v>
      </c>
      <c r="S66" s="513">
        <f t="shared" si="2"/>
        <v>12.090999999999998</v>
      </c>
    </row>
    <row r="67" spans="3:34" ht="15" customHeight="1" thickBot="1" x14ac:dyDescent="0.35">
      <c r="C67" s="484" t="str">
        <f>IF(ACV!D68="","",ACV!D68)</f>
        <v/>
      </c>
      <c r="D67" s="512" t="str">
        <f>IF(ACV!Q68="","",ACV!Q68)</f>
        <v/>
      </c>
      <c r="E67" s="465" t="str">
        <f t="shared" si="0"/>
        <v/>
      </c>
      <c r="Q67" s="466">
        <f>IF(ACV!D53="","",ACV!D53)</f>
        <v>2014</v>
      </c>
      <c r="R67" s="474">
        <f t="shared" si="1"/>
        <v>12.3</v>
      </c>
      <c r="S67" s="513">
        <f t="shared" si="2"/>
        <v>13.898999999999999</v>
      </c>
    </row>
    <row r="68" spans="3:34" ht="15" customHeight="1" x14ac:dyDescent="0.3">
      <c r="D68" s="370" t="s">
        <v>822</v>
      </c>
      <c r="E68" s="383">
        <f>AVERAGE(E7:E67)</f>
        <v>1.2658454776802173</v>
      </c>
      <c r="Q68" s="466">
        <f>IF(ACV!D54="","",ACV!D54)</f>
        <v>2015</v>
      </c>
      <c r="R68" s="474">
        <f t="shared" si="1"/>
        <v>15.7</v>
      </c>
      <c r="S68" s="513">
        <f t="shared" si="2"/>
        <v>17.740999999999996</v>
      </c>
    </row>
    <row r="69" spans="3:34" ht="15" customHeight="1" x14ac:dyDescent="0.3">
      <c r="D69" s="371" t="s">
        <v>823</v>
      </c>
      <c r="E69" s="139">
        <f>STDEV(E7:E67)</f>
        <v>0.16350480290199143</v>
      </c>
      <c r="Q69" s="466">
        <f>IF(ACV!D55="","",ACV!D55)</f>
        <v>2016</v>
      </c>
      <c r="R69" s="474">
        <f t="shared" si="1"/>
        <v>15.3</v>
      </c>
      <c r="S69" s="513">
        <f t="shared" si="2"/>
        <v>17.288999999999998</v>
      </c>
    </row>
    <row r="70" spans="3:34" ht="15" customHeight="1" thickBot="1" x14ac:dyDescent="0.35">
      <c r="D70" s="384" t="s">
        <v>824</v>
      </c>
      <c r="E70" s="373">
        <f>COUNT(E7:E67)</f>
        <v>53</v>
      </c>
      <c r="Q70" s="466">
        <f>IF(ACV!D56="","",ACV!D56)</f>
        <v>2017</v>
      </c>
      <c r="R70" s="474">
        <f t="shared" si="1"/>
        <v>14.8</v>
      </c>
      <c r="S70" s="513">
        <f>IF(R70="","",R70*$Q$8)</f>
        <v>16.724</v>
      </c>
    </row>
    <row r="71" spans="3:34" ht="15" customHeight="1" x14ac:dyDescent="0.3">
      <c r="Q71" s="466">
        <f>IF(ACV!D57="","",ACV!D57)</f>
        <v>2018</v>
      </c>
      <c r="R71" s="474">
        <f t="shared" si="1"/>
        <v>18.8</v>
      </c>
      <c r="S71" s="513">
        <f t="shared" si="2"/>
        <v>21.244</v>
      </c>
    </row>
    <row r="72" spans="3:34" ht="15" customHeight="1" x14ac:dyDescent="0.3">
      <c r="Q72" s="466">
        <f>IF(ACV!D58="","",ACV!D58)</f>
        <v>2019</v>
      </c>
      <c r="R72" s="474">
        <f t="shared" si="1"/>
        <v>11.7</v>
      </c>
      <c r="S72" s="513">
        <f t="shared" si="2"/>
        <v>13.220999999999998</v>
      </c>
    </row>
    <row r="73" spans="3:34" ht="15" customHeight="1" x14ac:dyDescent="0.3">
      <c r="Q73" s="466">
        <f>IF(ACV!D59="","",ACV!D59)</f>
        <v>2020</v>
      </c>
      <c r="R73" s="474">
        <f t="shared" si="1"/>
        <v>20.9</v>
      </c>
      <c r="S73" s="513">
        <f t="shared" si="2"/>
        <v>23.616999999999997</v>
      </c>
    </row>
    <row r="74" spans="3:34" ht="15" customHeight="1" x14ac:dyDescent="0.3">
      <c r="Q74" s="466">
        <f>IF(ACV!D60="","",ACV!D60)</f>
        <v>2023</v>
      </c>
      <c r="R74" s="474">
        <f t="shared" si="1"/>
        <v>16.5</v>
      </c>
      <c r="S74" s="513">
        <f t="shared" si="2"/>
        <v>18.645</v>
      </c>
    </row>
    <row r="75" spans="3:34" ht="15" customHeight="1" x14ac:dyDescent="0.3">
      <c r="Q75" s="466" t="str">
        <f>IF(ACV!D61="","",ACV!D61)</f>
        <v/>
      </c>
      <c r="R75" s="474" t="str">
        <f t="shared" si="1"/>
        <v/>
      </c>
      <c r="S75" s="513" t="str">
        <f t="shared" si="2"/>
        <v/>
      </c>
    </row>
    <row r="76" spans="3:34" ht="15" customHeight="1" x14ac:dyDescent="0.3">
      <c r="Q76" s="466" t="str">
        <f>IF(ACV!D62="","",ACV!D62)</f>
        <v/>
      </c>
      <c r="R76" s="474" t="str">
        <f t="shared" si="1"/>
        <v/>
      </c>
      <c r="S76" s="513" t="str">
        <f t="shared" si="2"/>
        <v/>
      </c>
    </row>
    <row r="77" spans="3:34" ht="15" customHeight="1" x14ac:dyDescent="0.3">
      <c r="Q77" s="466" t="str">
        <f>IF(ACV!D63="","",ACV!D63)</f>
        <v/>
      </c>
      <c r="R77" s="474" t="str">
        <f t="shared" si="1"/>
        <v/>
      </c>
      <c r="S77" s="513" t="str">
        <f t="shared" si="2"/>
        <v/>
      </c>
    </row>
    <row r="78" spans="3:34" ht="15" customHeight="1" x14ac:dyDescent="0.3">
      <c r="Q78" s="466" t="str">
        <f>IF(ACV!D64="","",ACV!D64)</f>
        <v/>
      </c>
      <c r="R78" s="474" t="str">
        <f t="shared" si="1"/>
        <v/>
      </c>
      <c r="S78" s="513" t="str">
        <f t="shared" si="2"/>
        <v/>
      </c>
    </row>
    <row r="79" spans="3:34" ht="15" customHeight="1" x14ac:dyDescent="0.3">
      <c r="Q79" s="466" t="str">
        <f>IF(ACV!D65="","",ACV!D65)</f>
        <v/>
      </c>
      <c r="R79" s="474" t="str">
        <f t="shared" si="1"/>
        <v/>
      </c>
      <c r="S79" s="513" t="str">
        <f t="shared" si="2"/>
        <v/>
      </c>
    </row>
    <row r="80" spans="3:34" ht="15" customHeight="1" x14ac:dyDescent="0.3">
      <c r="Q80" s="466" t="str">
        <f>IF(ACV!D66="","",ACV!D66)</f>
        <v/>
      </c>
      <c r="R80" s="474" t="str">
        <f t="shared" si="1"/>
        <v/>
      </c>
      <c r="S80" s="513" t="str">
        <f t="shared" si="2"/>
        <v/>
      </c>
    </row>
    <row r="81" spans="17:22" ht="15" customHeight="1" x14ac:dyDescent="0.3">
      <c r="Q81" s="466" t="str">
        <f>IF(ACV!D67="","",ACV!D67)</f>
        <v/>
      </c>
      <c r="R81" s="474" t="str">
        <f t="shared" si="1"/>
        <v/>
      </c>
      <c r="S81" s="513" t="str">
        <f t="shared" si="2"/>
        <v/>
      </c>
    </row>
    <row r="82" spans="17:22" ht="15" customHeight="1" x14ac:dyDescent="0.3">
      <c r="Q82" s="466" t="str">
        <f>IF(ACV!D68="","",ACV!D68)</f>
        <v/>
      </c>
      <c r="R82" s="474" t="str">
        <f t="shared" si="1"/>
        <v/>
      </c>
      <c r="S82" s="513" t="str">
        <f t="shared" si="2"/>
        <v/>
      </c>
    </row>
    <row r="83" spans="17:22" ht="15" customHeight="1" x14ac:dyDescent="0.3">
      <c r="Q83" s="466"/>
      <c r="R83" s="474"/>
      <c r="S83" s="513" t="str">
        <f t="shared" si="2"/>
        <v/>
      </c>
    </row>
    <row r="84" spans="17:22" ht="15" customHeight="1" thickBot="1" x14ac:dyDescent="0.35">
      <c r="Q84" s="466" t="str">
        <f>IF(ACV!D69="","",ACV!D69)</f>
        <v/>
      </c>
      <c r="R84" s="474"/>
      <c r="S84" s="513" t="str">
        <f t="shared" si="2"/>
        <v/>
      </c>
    </row>
    <row r="85" spans="17:22" ht="15" customHeight="1" x14ac:dyDescent="0.3">
      <c r="Q85" s="467" t="s">
        <v>500</v>
      </c>
      <c r="R85" s="514">
        <f>AVERAGE(R22:R84)</f>
        <v>19.749056603773585</v>
      </c>
      <c r="S85" s="515">
        <f t="shared" ref="S85:S88" si="3">IF(R85="","",R85*$Q$8)</f>
        <v>22.316433962264149</v>
      </c>
    </row>
    <row r="86" spans="17:22" ht="15" customHeight="1" x14ac:dyDescent="0.3">
      <c r="Q86" s="468" t="s">
        <v>504</v>
      </c>
      <c r="R86" s="471">
        <f>STDEV(R22:R84)</f>
        <v>7.3153585179903873</v>
      </c>
      <c r="S86" s="513">
        <f t="shared" si="3"/>
        <v>8.2663551253291363</v>
      </c>
      <c r="V86" s="490"/>
    </row>
    <row r="87" spans="17:22" ht="15" customHeight="1" x14ac:dyDescent="0.3">
      <c r="Q87" s="468" t="s">
        <v>506</v>
      </c>
      <c r="R87" s="471">
        <f>MAX(R22:R84)</f>
        <v>35.599999999999994</v>
      </c>
      <c r="S87" s="513">
        <f t="shared" si="3"/>
        <v>40.227999999999987</v>
      </c>
    </row>
    <row r="88" spans="17:22" ht="15" customHeight="1" thickBot="1" x14ac:dyDescent="0.35">
      <c r="Q88" s="469" t="s">
        <v>509</v>
      </c>
      <c r="R88" s="516">
        <f>MIN(R22:R84)</f>
        <v>9.9</v>
      </c>
      <c r="S88" s="513">
        <f t="shared" si="3"/>
        <v>11.186999999999999</v>
      </c>
      <c r="T88" s="260" t="s">
        <v>524</v>
      </c>
    </row>
    <row r="89" spans="17:22" ht="15" customHeight="1" x14ac:dyDescent="0.3"/>
    <row r="90" spans="17:22" ht="15" customHeight="1" x14ac:dyDescent="0.3"/>
    <row r="91" spans="17:22" ht="15" customHeight="1" x14ac:dyDescent="0.3"/>
    <row r="92" spans="17:22" ht="15" customHeight="1" x14ac:dyDescent="0.3"/>
    <row r="93" spans="17:22" ht="15" customHeight="1" x14ac:dyDescent="0.3"/>
    <row r="94" spans="17:22" ht="15" customHeight="1" x14ac:dyDescent="0.3"/>
    <row r="95" spans="17:22" ht="15" customHeight="1" x14ac:dyDescent="0.3"/>
  </sheetData>
  <mergeCells count="10">
    <mergeCell ref="B1:L1"/>
    <mergeCell ref="C5:C6"/>
    <mergeCell ref="D5:D6"/>
    <mergeCell ref="E5:E6"/>
    <mergeCell ref="M1:V1"/>
    <mergeCell ref="N7:P7"/>
    <mergeCell ref="N8:P8"/>
    <mergeCell ref="Q20:Q21"/>
    <mergeCell ref="R20:R21"/>
    <mergeCell ref="S20:S21"/>
  </mergeCells>
  <printOptions horizontalCentered="1"/>
  <pageMargins left="0.78740157480314965" right="0.39370078740157483" top="0.86614173228346458" bottom="0.86614173228346458" header="0.31496062992125984" footer="0.31496062992125984"/>
  <pageSetup paperSize="9" scale="55" orientation="portrait" r:id="rId1"/>
  <headerFooter scaleWithDoc="0">
    <oddHeader>&amp;R&amp;"Arial Narrow,Negrita"&amp;9Ing. Aquiles Berrocal Rodríguez&amp;"Arial Narrow,Normal"
Ing. Civil – CIP: 196696
Especialista Hidrología, Hidráulica y Drenaje</oddHeader>
    <oddFooter>&amp;L&amp;"Arial Narrow,Normal"&amp;9Rev.:B - Agosto 2018
Proyecto: Actualización Hidrológica para el Estudio de Pre-Factibilidad de
la Presa de Relaves Pukaqaqa, U.M. Pukaqaqa, Milpo - Huancavelica&amp;R&amp;"Arial Narrow,Negrita"&amp;9ANEXO A: HIDROLOGIA</oddFooter>
  </headerFooter>
  <rowBreaks count="1" manualBreakCount="1">
    <brk id="88" min="1" max="21" man="1"/>
  </rowBreaks>
  <colBreaks count="1" manualBreakCount="1">
    <brk id="12" max="87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8">
    <tabColor rgb="FF7030A0"/>
  </sheetPr>
  <dimension ref="A1:BQ71"/>
  <sheetViews>
    <sheetView showGridLines="0" view="pageBreakPreview" zoomScale="90" zoomScaleNormal="90" zoomScaleSheetLayoutView="90" workbookViewId="0">
      <selection activeCell="Y11" sqref="Y11"/>
    </sheetView>
  </sheetViews>
  <sheetFormatPr baseColWidth="10" defaultColWidth="11.44140625" defaultRowHeight="13.2" x14ac:dyDescent="0.25"/>
  <cols>
    <col min="1" max="1" width="5.6640625" style="264" customWidth="1"/>
    <col min="2" max="2" width="22.6640625" style="264" customWidth="1"/>
    <col min="3" max="57" width="2.6640625" style="264" customWidth="1"/>
    <col min="58" max="58" width="9.6640625" style="264" customWidth="1"/>
    <col min="59" max="59" width="8.44140625" style="264" customWidth="1"/>
    <col min="60" max="16384" width="11.44140625" style="264"/>
  </cols>
  <sheetData>
    <row r="1" spans="1:69" ht="13.8" x14ac:dyDescent="0.25">
      <c r="B1" s="550" t="s">
        <v>526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550"/>
      <c r="W1" s="550"/>
      <c r="X1" s="550"/>
      <c r="Y1" s="550"/>
      <c r="Z1" s="550"/>
      <c r="AA1" s="550"/>
      <c r="AB1" s="550"/>
      <c r="AC1" s="550"/>
      <c r="AD1" s="550"/>
      <c r="AE1" s="550"/>
      <c r="AF1" s="550"/>
      <c r="AG1" s="550"/>
      <c r="AH1" s="550"/>
      <c r="AI1" s="550"/>
      <c r="AJ1" s="550"/>
      <c r="AK1" s="550"/>
      <c r="AL1" s="550"/>
      <c r="AM1" s="550"/>
      <c r="AN1" s="550"/>
      <c r="AO1" s="550"/>
      <c r="AP1" s="550"/>
      <c r="AQ1" s="550"/>
      <c r="AR1" s="550"/>
      <c r="AS1" s="550"/>
      <c r="AT1" s="550"/>
      <c r="AU1" s="550"/>
      <c r="AV1" s="550"/>
      <c r="AW1" s="550"/>
      <c r="AX1" s="550"/>
      <c r="AY1" s="550"/>
      <c r="AZ1" s="550"/>
      <c r="BA1" s="550"/>
      <c r="BB1" s="550"/>
      <c r="BC1" s="550"/>
      <c r="BD1" s="550"/>
      <c r="BE1" s="550"/>
      <c r="BF1" s="550"/>
      <c r="BH1" s="548" t="s">
        <v>527</v>
      </c>
      <c r="BI1" s="551"/>
      <c r="BJ1" s="548"/>
      <c r="BK1" s="549"/>
      <c r="BL1" s="548"/>
      <c r="BM1" s="549"/>
      <c r="BN1" s="548"/>
      <c r="BO1" s="549"/>
      <c r="BP1" s="548"/>
      <c r="BQ1" s="549"/>
    </row>
    <row r="2" spans="1:69" ht="15" customHeight="1" x14ac:dyDescent="0.25">
      <c r="BH2" s="341">
        <f>+C7</f>
        <v>1980</v>
      </c>
      <c r="BI2" s="395">
        <f>IFERROR(VLOOKUP(BH2,ACV!AI$1:AJ$76,2,FALSE),"")</f>
        <v>25.2</v>
      </c>
      <c r="BJ2" s="341"/>
      <c r="BK2" s="395"/>
      <c r="BL2" s="341"/>
      <c r="BM2" s="395"/>
      <c r="BN2" s="341"/>
      <c r="BO2" s="395"/>
      <c r="BP2" s="341"/>
      <c r="BQ2" s="395"/>
    </row>
    <row r="3" spans="1:69" ht="15" customHeight="1" x14ac:dyDescent="0.25">
      <c r="A3" s="265"/>
      <c r="BH3" s="341">
        <f>BH2+1</f>
        <v>1981</v>
      </c>
      <c r="BI3" s="395">
        <f>IFERROR(VLOOKUP(BH3,ACV!AI$1:AJ$76,2,FALSE),"")</f>
        <v>31.4</v>
      </c>
      <c r="BJ3" s="341"/>
      <c r="BK3" s="395"/>
      <c r="BL3" s="341"/>
      <c r="BM3" s="395"/>
      <c r="BN3" s="341"/>
      <c r="BO3" s="395"/>
      <c r="BP3" s="341"/>
      <c r="BQ3" s="395"/>
    </row>
    <row r="4" spans="1:69" ht="15" customHeight="1" x14ac:dyDescent="0.25">
      <c r="B4" s="266" t="s">
        <v>842</v>
      </c>
      <c r="BH4" s="341">
        <f t="shared" ref="BH4:BH67" si="0">BH3+1</f>
        <v>1982</v>
      </c>
      <c r="BI4" s="395">
        <f>IFERROR(VLOOKUP(BH4,ACV!AI$1:AJ$76,2,FALSE),"")</f>
        <v>12.3</v>
      </c>
      <c r="BJ4" s="341"/>
      <c r="BK4" s="395"/>
      <c r="BL4" s="341"/>
      <c r="BM4" s="395"/>
      <c r="BN4" s="341"/>
      <c r="BO4" s="395"/>
      <c r="BP4" s="341"/>
      <c r="BQ4" s="395"/>
    </row>
    <row r="5" spans="1:69" ht="15" customHeight="1" x14ac:dyDescent="0.25">
      <c r="BH5" s="341">
        <f t="shared" si="0"/>
        <v>1983</v>
      </c>
      <c r="BI5" s="395">
        <f>IFERROR(VLOOKUP(BH5,ACV!AI$1:AJ$76,2,FALSE),"")</f>
        <v>15.3</v>
      </c>
      <c r="BJ5" s="341"/>
      <c r="BK5" s="395"/>
      <c r="BL5" s="341"/>
      <c r="BM5" s="395"/>
      <c r="BN5" s="341"/>
      <c r="BO5" s="395"/>
      <c r="BP5" s="341"/>
      <c r="BQ5" s="395"/>
    </row>
    <row r="6" spans="1:69" ht="15.75" customHeight="1" x14ac:dyDescent="0.25">
      <c r="B6" s="552" t="s">
        <v>528</v>
      </c>
      <c r="C6" s="553" t="s">
        <v>529</v>
      </c>
      <c r="D6" s="553"/>
      <c r="E6" s="553"/>
      <c r="F6" s="553"/>
      <c r="G6" s="553"/>
      <c r="H6" s="553"/>
      <c r="I6" s="553"/>
      <c r="J6" s="553"/>
      <c r="K6" s="553"/>
      <c r="L6" s="553"/>
      <c r="M6" s="553"/>
      <c r="N6" s="553"/>
      <c r="O6" s="553"/>
      <c r="P6" s="553"/>
      <c r="Q6" s="553"/>
      <c r="R6" s="553"/>
      <c r="S6" s="553"/>
      <c r="T6" s="553"/>
      <c r="U6" s="553"/>
      <c r="V6" s="553"/>
      <c r="W6" s="553"/>
      <c r="X6" s="553"/>
      <c r="Y6" s="553"/>
      <c r="Z6" s="553"/>
      <c r="AA6" s="553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553"/>
      <c r="AY6" s="553"/>
      <c r="AZ6" s="553"/>
      <c r="BA6" s="553"/>
      <c r="BB6" s="553"/>
      <c r="BC6" s="553"/>
      <c r="BD6" s="553"/>
      <c r="BE6" s="553"/>
      <c r="BF6" s="554" t="s">
        <v>530</v>
      </c>
      <c r="BH6" s="341">
        <f t="shared" si="0"/>
        <v>1984</v>
      </c>
      <c r="BI6" s="395">
        <f>IFERROR(VLOOKUP(BH6,ACV!AI$1:AJ$76,2,FALSE),"")</f>
        <v>16.7</v>
      </c>
      <c r="BJ6" s="341"/>
      <c r="BK6" s="395"/>
      <c r="BL6" s="341"/>
      <c r="BM6" s="395"/>
      <c r="BN6" s="341"/>
      <c r="BO6" s="395"/>
      <c r="BP6" s="341"/>
      <c r="BQ6" s="395"/>
    </row>
    <row r="7" spans="1:69" ht="47.25" customHeight="1" x14ac:dyDescent="0.25">
      <c r="B7" s="552"/>
      <c r="C7" s="403">
        <v>1980</v>
      </c>
      <c r="D7" s="403">
        <f>C7+1</f>
        <v>1981</v>
      </c>
      <c r="E7" s="403">
        <f t="shared" ref="E7:BE7" si="1">D7+1</f>
        <v>1982</v>
      </c>
      <c r="F7" s="403">
        <f t="shared" si="1"/>
        <v>1983</v>
      </c>
      <c r="G7" s="403">
        <f t="shared" si="1"/>
        <v>1984</v>
      </c>
      <c r="H7" s="403">
        <f t="shared" si="1"/>
        <v>1985</v>
      </c>
      <c r="I7" s="403">
        <f t="shared" si="1"/>
        <v>1986</v>
      </c>
      <c r="J7" s="403">
        <f t="shared" si="1"/>
        <v>1987</v>
      </c>
      <c r="K7" s="403">
        <f t="shared" si="1"/>
        <v>1988</v>
      </c>
      <c r="L7" s="403">
        <f t="shared" si="1"/>
        <v>1989</v>
      </c>
      <c r="M7" s="403">
        <f t="shared" si="1"/>
        <v>1990</v>
      </c>
      <c r="N7" s="403">
        <f t="shared" si="1"/>
        <v>1991</v>
      </c>
      <c r="O7" s="403">
        <f t="shared" si="1"/>
        <v>1992</v>
      </c>
      <c r="P7" s="403">
        <f t="shared" si="1"/>
        <v>1993</v>
      </c>
      <c r="Q7" s="403">
        <f t="shared" si="1"/>
        <v>1994</v>
      </c>
      <c r="R7" s="403">
        <f t="shared" si="1"/>
        <v>1995</v>
      </c>
      <c r="S7" s="403">
        <f t="shared" si="1"/>
        <v>1996</v>
      </c>
      <c r="T7" s="403">
        <f t="shared" si="1"/>
        <v>1997</v>
      </c>
      <c r="U7" s="403">
        <f t="shared" si="1"/>
        <v>1998</v>
      </c>
      <c r="V7" s="403">
        <f t="shared" si="1"/>
        <v>1999</v>
      </c>
      <c r="W7" s="403">
        <f t="shared" si="1"/>
        <v>2000</v>
      </c>
      <c r="X7" s="403">
        <f t="shared" si="1"/>
        <v>2001</v>
      </c>
      <c r="Y7" s="403">
        <f t="shared" si="1"/>
        <v>2002</v>
      </c>
      <c r="Z7" s="403">
        <f t="shared" si="1"/>
        <v>2003</v>
      </c>
      <c r="AA7" s="403">
        <f t="shared" si="1"/>
        <v>2004</v>
      </c>
      <c r="AB7" s="403">
        <f t="shared" si="1"/>
        <v>2005</v>
      </c>
      <c r="AC7" s="403">
        <f t="shared" si="1"/>
        <v>2006</v>
      </c>
      <c r="AD7" s="403">
        <f t="shared" si="1"/>
        <v>2007</v>
      </c>
      <c r="AE7" s="403">
        <f t="shared" si="1"/>
        <v>2008</v>
      </c>
      <c r="AF7" s="403">
        <f t="shared" si="1"/>
        <v>2009</v>
      </c>
      <c r="AG7" s="403">
        <f t="shared" si="1"/>
        <v>2010</v>
      </c>
      <c r="AH7" s="403">
        <f t="shared" si="1"/>
        <v>2011</v>
      </c>
      <c r="AI7" s="403">
        <f t="shared" si="1"/>
        <v>2012</v>
      </c>
      <c r="AJ7" s="403">
        <f t="shared" si="1"/>
        <v>2013</v>
      </c>
      <c r="AK7" s="403">
        <f t="shared" si="1"/>
        <v>2014</v>
      </c>
      <c r="AL7" s="403">
        <f t="shared" si="1"/>
        <v>2015</v>
      </c>
      <c r="AM7" s="403">
        <f t="shared" si="1"/>
        <v>2016</v>
      </c>
      <c r="AN7" s="403">
        <f t="shared" si="1"/>
        <v>2017</v>
      </c>
      <c r="AO7" s="403">
        <f t="shared" si="1"/>
        <v>2018</v>
      </c>
      <c r="AP7" s="403">
        <f t="shared" si="1"/>
        <v>2019</v>
      </c>
      <c r="AQ7" s="403">
        <f t="shared" si="1"/>
        <v>2020</v>
      </c>
      <c r="AR7" s="403">
        <f t="shared" si="1"/>
        <v>2021</v>
      </c>
      <c r="AS7" s="403">
        <f t="shared" si="1"/>
        <v>2022</v>
      </c>
      <c r="AT7" s="403">
        <f t="shared" si="1"/>
        <v>2023</v>
      </c>
      <c r="AU7" s="403">
        <f t="shared" si="1"/>
        <v>2024</v>
      </c>
      <c r="AV7" s="403">
        <f t="shared" si="1"/>
        <v>2025</v>
      </c>
      <c r="AW7" s="403">
        <f t="shared" si="1"/>
        <v>2026</v>
      </c>
      <c r="AX7" s="403">
        <f t="shared" si="1"/>
        <v>2027</v>
      </c>
      <c r="AY7" s="403">
        <f t="shared" si="1"/>
        <v>2028</v>
      </c>
      <c r="AZ7" s="403">
        <f t="shared" si="1"/>
        <v>2029</v>
      </c>
      <c r="BA7" s="403">
        <f t="shared" si="1"/>
        <v>2030</v>
      </c>
      <c r="BB7" s="403">
        <f t="shared" si="1"/>
        <v>2031</v>
      </c>
      <c r="BC7" s="403">
        <f t="shared" si="1"/>
        <v>2032</v>
      </c>
      <c r="BD7" s="403">
        <f t="shared" si="1"/>
        <v>2033</v>
      </c>
      <c r="BE7" s="403">
        <f t="shared" si="1"/>
        <v>2034</v>
      </c>
      <c r="BF7" s="554"/>
      <c r="BH7" s="341">
        <f t="shared" si="0"/>
        <v>1985</v>
      </c>
      <c r="BI7" s="395">
        <f>IFERROR(VLOOKUP(BH7,ACV!AI$1:AJ$76,2,FALSE),"")</f>
        <v>10</v>
      </c>
      <c r="BJ7" s="341"/>
      <c r="BK7" s="395"/>
      <c r="BL7" s="341"/>
      <c r="BM7" s="395"/>
      <c r="BN7" s="341"/>
      <c r="BO7" s="395"/>
      <c r="BP7" s="341"/>
      <c r="BQ7" s="395"/>
    </row>
    <row r="8" spans="1:69" s="267" customFormat="1" ht="22.2" customHeight="1" x14ac:dyDescent="0.3">
      <c r="B8" s="404" t="str">
        <f>ACV!J3</f>
        <v>YANTAC</v>
      </c>
      <c r="C8" s="268">
        <f>IF(LOOKUP(BH2,MatrizA1)="","",1)</f>
        <v>1</v>
      </c>
      <c r="D8" s="268">
        <f>IF(LOOKUP(BH$3,MatrizA1)="","",1)</f>
        <v>1</v>
      </c>
      <c r="E8" s="268">
        <f>IF(LOOKUP(BH$4,MatrizA1)="","",1)</f>
        <v>1</v>
      </c>
      <c r="F8" s="268">
        <f>IF(LOOKUP(BH$5,MatrizA1)="","",1)</f>
        <v>1</v>
      </c>
      <c r="G8" s="268">
        <f>IF(LOOKUP(BH$6,MatrizA1)="","",1)</f>
        <v>1</v>
      </c>
      <c r="H8" s="268">
        <f>IF(LOOKUP(BH$7,MatrizA1)="","",1)</f>
        <v>1</v>
      </c>
      <c r="I8" s="268">
        <f>IF(LOOKUP(BH$8,MatrizA1)="","",1)</f>
        <v>1</v>
      </c>
      <c r="J8" s="268">
        <f>IF(LOOKUP(BH$9,MatrizA1)="","",1)</f>
        <v>1</v>
      </c>
      <c r="K8" s="268">
        <f>IF(LOOKUP(BH$10,MatrizA1)="","",1)</f>
        <v>1</v>
      </c>
      <c r="L8" s="268">
        <f>IF(LOOKUP(BH$11,MatrizA1)="","",1)</f>
        <v>1</v>
      </c>
      <c r="M8" s="268">
        <f>IF(LOOKUP(BH$12,MatrizA1)="","",1)</f>
        <v>1</v>
      </c>
      <c r="N8" s="268">
        <f>IF(LOOKUP(BH$13,MatrizA1)="","",1)</f>
        <v>1</v>
      </c>
      <c r="O8" s="268">
        <f>IF(LOOKUP(BH$14,MatrizA1)="","",1)</f>
        <v>1</v>
      </c>
      <c r="P8" s="268">
        <f>IF(LOOKUP(BH$15,MatrizA1)="","",1)</f>
        <v>1</v>
      </c>
      <c r="Q8" s="268">
        <f>IF(LOOKUP(BH$16,MatrizA1)="","",1)</f>
        <v>1</v>
      </c>
      <c r="R8" s="268">
        <f>IF(LOOKUP(BH$17,MatrizA1)="","",1)</f>
        <v>1</v>
      </c>
      <c r="S8" s="268">
        <f>IF(LOOKUP(BH$18,MatrizA1)="","",1)</f>
        <v>1</v>
      </c>
      <c r="T8" s="268">
        <f>IF(LOOKUP(BH$19,MatrizA1)="","",1)</f>
        <v>1</v>
      </c>
      <c r="U8" s="268">
        <f>IF(LOOKUP(BH$20,MatrizA1)="","",1)</f>
        <v>1</v>
      </c>
      <c r="V8" s="268">
        <f>IF(LOOKUP(BH$21,MatrizA1)="","",1)</f>
        <v>1</v>
      </c>
      <c r="W8" s="268">
        <f>IF(LOOKUP(BH$22,MatrizA1)="","",1)</f>
        <v>1</v>
      </c>
      <c r="X8" s="268">
        <f>IF(LOOKUP(BH$23,MatrizA1)="","",1)</f>
        <v>1</v>
      </c>
      <c r="Y8" s="268">
        <f>IF(LOOKUP(BH$24,MatrizA1)="","",1)</f>
        <v>1</v>
      </c>
      <c r="Z8" s="268">
        <f>IF(LOOKUP(BH$25,MatrizA1)="","",1)</f>
        <v>1</v>
      </c>
      <c r="AA8" s="268">
        <f>IF(LOOKUP(BH$26,MatrizA1)="","",1)</f>
        <v>1</v>
      </c>
      <c r="AB8" s="268">
        <f>IF(LOOKUP(BH$27,MatrizA1)="","",1)</f>
        <v>1</v>
      </c>
      <c r="AC8" s="268">
        <f>IF(LOOKUP(BH$28,MatrizA1)="","",1)</f>
        <v>1</v>
      </c>
      <c r="AD8" s="268">
        <f>IF(LOOKUP(BH$29,MatrizA1)="","",1)</f>
        <v>1</v>
      </c>
      <c r="AE8" s="268">
        <f>IF(LOOKUP(BH$30,MatrizA1)="","",1)</f>
        <v>1</v>
      </c>
      <c r="AF8" s="268">
        <f>IF(LOOKUP(BH$31,MatrizA1)="","",1)</f>
        <v>1</v>
      </c>
      <c r="AG8" s="268">
        <f>IF(LOOKUP(BH$32,MatrizA1)="","",1)</f>
        <v>1</v>
      </c>
      <c r="AH8" s="268">
        <f>IF(LOOKUP(BH$33,MatrizA1)="","",1)</f>
        <v>1</v>
      </c>
      <c r="AI8" s="268">
        <f>IF(LOOKUP(BH$34,MatrizA1)="","",1)</f>
        <v>1</v>
      </c>
      <c r="AJ8" s="268">
        <f>IF(LOOKUP(BH$35,MatrizA1)="","",1)</f>
        <v>1</v>
      </c>
      <c r="AK8" s="268">
        <f>IF(LOOKUP(BH$36,MatrizA1)="","",1)</f>
        <v>1</v>
      </c>
      <c r="AL8" s="268">
        <f>IF(LOOKUP(BH$37,MatrizA1)="","",1)</f>
        <v>1</v>
      </c>
      <c r="AM8" s="268">
        <f>IF(LOOKUP(BH$38,MatrizA1)="","",1)</f>
        <v>1</v>
      </c>
      <c r="AN8" s="268">
        <f>IF(LOOKUP(BH$39,MatrizA1)="","",1)</f>
        <v>1</v>
      </c>
      <c r="AO8" s="268">
        <f>IF(LOOKUP(BH$40,MatrizA1)="","",1)</f>
        <v>1</v>
      </c>
      <c r="AP8" s="268">
        <f>IF(LOOKUP(BH$41,MatrizA1)="","",1)</f>
        <v>1</v>
      </c>
      <c r="AQ8" s="268">
        <f>IF(LOOKUP(BH$42,MatrizA1)="","",1)</f>
        <v>1</v>
      </c>
      <c r="AR8" s="268" t="str">
        <f>IF(LOOKUP(BH$43,MatrizA1)="","",1)</f>
        <v/>
      </c>
      <c r="AS8" s="268" t="str">
        <f>IF(LOOKUP(BH$44,MatrizA1)="","",1)</f>
        <v/>
      </c>
      <c r="AT8" s="268">
        <f>IF(LOOKUP(BH$45,MatrizA1)="","",1)</f>
        <v>1</v>
      </c>
      <c r="AU8" s="268" t="str">
        <f>IF(LOOKUP(BH$46,MatrizA1)="","",1)</f>
        <v/>
      </c>
      <c r="AV8" s="268" t="str">
        <f>IF(LOOKUP(BH$47,MatrizA1)="","",1)</f>
        <v/>
      </c>
      <c r="AW8" s="268" t="str">
        <f>IF(LOOKUP(BH$48,MatrizA1)="","",1)</f>
        <v/>
      </c>
      <c r="AX8" s="268" t="str">
        <f>IF(LOOKUP(BH$49,MatrizA1)="","",1)</f>
        <v/>
      </c>
      <c r="AY8" s="268" t="str">
        <f>IF(LOOKUP(BH$50,MatrizA1)="","",1)</f>
        <v/>
      </c>
      <c r="AZ8" s="268" t="str">
        <f>IF(LOOKUP(BH$51,MatrizA1)="","",1)</f>
        <v/>
      </c>
      <c r="BA8" s="268" t="str">
        <f>IF(LOOKUP(BH$52,MatrizA1)="","",1)</f>
        <v/>
      </c>
      <c r="BB8" s="268" t="str">
        <f>IF(LOOKUP(BH$53,MatrizA1)="","",1)</f>
        <v/>
      </c>
      <c r="BC8" s="268" t="str">
        <f>IF(LOOKUP(BH$54,MatrizA1)="","",1)</f>
        <v/>
      </c>
      <c r="BD8" s="268" t="str">
        <f>IF(LOOKUP(BH$55,MatrizA1)="","",1)</f>
        <v/>
      </c>
      <c r="BE8" s="268" t="str">
        <f>IF(LOOKUP(BH$56,MatrizA1)="","",1)</f>
        <v/>
      </c>
      <c r="BF8" s="405">
        <f>SUM(C8:BE8)</f>
        <v>42</v>
      </c>
      <c r="BH8" s="341">
        <f t="shared" si="0"/>
        <v>1986</v>
      </c>
      <c r="BI8" s="395">
        <f>IFERROR(VLOOKUP(BH8,ACV!AI$1:AJ$76,2,FALSE),"")</f>
        <v>12.399999999999999</v>
      </c>
      <c r="BJ8" s="341"/>
      <c r="BK8" s="395"/>
      <c r="BL8" s="341"/>
      <c r="BM8" s="395"/>
      <c r="BN8" s="341"/>
      <c r="BO8" s="395"/>
      <c r="BP8" s="341"/>
      <c r="BQ8" s="395"/>
    </row>
    <row r="9" spans="1:69" s="267" customFormat="1" ht="22.2" customHeight="1" x14ac:dyDescent="0.3">
      <c r="B9" s="404"/>
      <c r="C9" s="268"/>
      <c r="D9" s="268"/>
      <c r="E9" s="268"/>
      <c r="F9" s="268"/>
      <c r="G9" s="268"/>
      <c r="H9" s="268"/>
      <c r="I9" s="268"/>
      <c r="J9" s="268"/>
      <c r="K9" s="268"/>
      <c r="L9" s="268"/>
      <c r="M9" s="268"/>
      <c r="N9" s="268"/>
      <c r="O9" s="268"/>
      <c r="P9" s="268"/>
      <c r="Q9" s="268"/>
      <c r="R9" s="268"/>
      <c r="S9" s="268"/>
      <c r="T9" s="268"/>
      <c r="U9" s="268"/>
      <c r="V9" s="268"/>
      <c r="W9" s="268"/>
      <c r="X9" s="268"/>
      <c r="Y9" s="268"/>
      <c r="Z9" s="268"/>
      <c r="AA9" s="268"/>
      <c r="AB9" s="268"/>
      <c r="AC9" s="268"/>
      <c r="AD9" s="268"/>
      <c r="AE9" s="268"/>
      <c r="AF9" s="268"/>
      <c r="AG9" s="268"/>
      <c r="AH9" s="268"/>
      <c r="AI9" s="268"/>
      <c r="AJ9" s="268"/>
      <c r="AK9" s="268"/>
      <c r="AL9" s="268"/>
      <c r="AM9" s="268"/>
      <c r="AN9" s="268"/>
      <c r="AO9" s="268"/>
      <c r="AP9" s="268"/>
      <c r="AQ9" s="268"/>
      <c r="AR9" s="268"/>
      <c r="AS9" s="268"/>
      <c r="AT9" s="268"/>
      <c r="AU9" s="268"/>
      <c r="AV9" s="268"/>
      <c r="AW9" s="268"/>
      <c r="AX9" s="268"/>
      <c r="AY9" s="268"/>
      <c r="AZ9" s="268"/>
      <c r="BA9" s="268"/>
      <c r="BB9" s="268"/>
      <c r="BC9" s="268"/>
      <c r="BD9" s="268"/>
      <c r="BE9" s="268"/>
      <c r="BF9" s="405"/>
      <c r="BH9" s="341">
        <f t="shared" si="0"/>
        <v>1987</v>
      </c>
      <c r="BI9" s="395">
        <f>IFERROR(VLOOKUP(BH9,ACV!AI$1:AJ$76,2,FALSE),"")</f>
        <v>10.7</v>
      </c>
      <c r="BJ9" s="341"/>
      <c r="BK9" s="395"/>
      <c r="BL9" s="341"/>
      <c r="BM9" s="395"/>
      <c r="BN9" s="341"/>
      <c r="BO9" s="395"/>
      <c r="BP9" s="341"/>
      <c r="BQ9" s="395"/>
    </row>
    <row r="10" spans="1:69" s="267" customFormat="1" ht="22.2" customHeight="1" x14ac:dyDescent="0.3">
      <c r="B10" s="404"/>
      <c r="C10" s="268"/>
      <c r="D10" s="268"/>
      <c r="E10" s="268"/>
      <c r="F10" s="268"/>
      <c r="G10" s="268"/>
      <c r="H10" s="268"/>
      <c r="I10" s="268"/>
      <c r="J10" s="268"/>
      <c r="K10" s="268"/>
      <c r="L10" s="268"/>
      <c r="M10" s="268"/>
      <c r="N10" s="268"/>
      <c r="O10" s="268"/>
      <c r="P10" s="268"/>
      <c r="Q10" s="268"/>
      <c r="R10" s="268"/>
      <c r="S10" s="268"/>
      <c r="T10" s="268"/>
      <c r="U10" s="268"/>
      <c r="V10" s="268"/>
      <c r="W10" s="268"/>
      <c r="X10" s="268"/>
      <c r="Y10" s="268"/>
      <c r="Z10" s="268"/>
      <c r="AA10" s="268"/>
      <c r="AB10" s="268"/>
      <c r="AC10" s="268"/>
      <c r="AD10" s="268"/>
      <c r="AE10" s="268"/>
      <c r="AF10" s="268"/>
      <c r="AG10" s="268"/>
      <c r="AH10" s="268"/>
      <c r="AI10" s="268"/>
      <c r="AJ10" s="268"/>
      <c r="AK10" s="268"/>
      <c r="AL10" s="268"/>
      <c r="AM10" s="268"/>
      <c r="AN10" s="268"/>
      <c r="AO10" s="268"/>
      <c r="AP10" s="268"/>
      <c r="AQ10" s="268"/>
      <c r="AR10" s="268"/>
      <c r="AS10" s="268"/>
      <c r="AT10" s="268"/>
      <c r="AU10" s="268"/>
      <c r="AV10" s="268"/>
      <c r="AW10" s="268"/>
      <c r="AX10" s="268"/>
      <c r="AY10" s="268"/>
      <c r="AZ10" s="268"/>
      <c r="BA10" s="268"/>
      <c r="BB10" s="268"/>
      <c r="BC10" s="268"/>
      <c r="BD10" s="268"/>
      <c r="BE10" s="268"/>
      <c r="BF10" s="405"/>
      <c r="BH10" s="341">
        <f t="shared" si="0"/>
        <v>1988</v>
      </c>
      <c r="BI10" s="395">
        <f>IFERROR(VLOOKUP(BH10,ACV!AI$1:AJ$76,2,FALSE),"")</f>
        <v>13.5</v>
      </c>
      <c r="BJ10" s="341"/>
      <c r="BK10" s="395"/>
      <c r="BL10" s="341"/>
      <c r="BM10" s="395"/>
      <c r="BN10" s="341"/>
      <c r="BO10" s="395"/>
      <c r="BP10" s="341"/>
      <c r="BQ10" s="395"/>
    </row>
    <row r="11" spans="1:69" s="267" customFormat="1" ht="22.2" customHeight="1" x14ac:dyDescent="0.3">
      <c r="B11" s="404"/>
      <c r="C11" s="268"/>
      <c r="D11" s="268"/>
      <c r="E11" s="268"/>
      <c r="F11" s="268"/>
      <c r="G11" s="268"/>
      <c r="H11" s="268"/>
      <c r="I11" s="268"/>
      <c r="J11" s="268"/>
      <c r="K11" s="268"/>
      <c r="L11" s="268"/>
      <c r="M11" s="268"/>
      <c r="N11" s="268"/>
      <c r="O11" s="268"/>
      <c r="P11" s="268"/>
      <c r="Q11" s="268"/>
      <c r="R11" s="268"/>
      <c r="S11" s="268"/>
      <c r="T11" s="268"/>
      <c r="U11" s="268"/>
      <c r="V11" s="268"/>
      <c r="W11" s="268"/>
      <c r="X11" s="268"/>
      <c r="Y11" s="268"/>
      <c r="Z11" s="268"/>
      <c r="AA11" s="268"/>
      <c r="AB11" s="268"/>
      <c r="AC11" s="268"/>
      <c r="AD11" s="268"/>
      <c r="AE11" s="268"/>
      <c r="AF11" s="268"/>
      <c r="AG11" s="268"/>
      <c r="AH11" s="268"/>
      <c r="AI11" s="268"/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  <c r="AT11" s="268"/>
      <c r="AU11" s="268"/>
      <c r="AV11" s="268"/>
      <c r="AW11" s="268"/>
      <c r="AX11" s="268"/>
      <c r="AY11" s="268"/>
      <c r="AZ11" s="268"/>
      <c r="BA11" s="268"/>
      <c r="BB11" s="268"/>
      <c r="BC11" s="268"/>
      <c r="BD11" s="268"/>
      <c r="BE11" s="268"/>
      <c r="BF11" s="405"/>
      <c r="BH11" s="341">
        <f t="shared" si="0"/>
        <v>1989</v>
      </c>
      <c r="BI11" s="395">
        <f>IFERROR(VLOOKUP(BH11,ACV!AI$1:AJ$76,2,FALSE),"")</f>
        <v>9.9</v>
      </c>
      <c r="BJ11" s="341"/>
      <c r="BK11" s="395"/>
      <c r="BL11" s="341"/>
      <c r="BM11" s="395"/>
      <c r="BN11" s="341"/>
      <c r="BO11" s="395"/>
      <c r="BP11" s="341"/>
      <c r="BQ11" s="395"/>
    </row>
    <row r="12" spans="1:69" s="267" customFormat="1" ht="22.2" customHeight="1" x14ac:dyDescent="0.3">
      <c r="B12" s="404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268"/>
      <c r="AW12" s="268"/>
      <c r="AX12" s="268"/>
      <c r="AY12" s="268"/>
      <c r="AZ12" s="268"/>
      <c r="BA12" s="268"/>
      <c r="BB12" s="268"/>
      <c r="BC12" s="268"/>
      <c r="BD12" s="268"/>
      <c r="BE12" s="268"/>
      <c r="BF12" s="405"/>
      <c r="BH12" s="341">
        <f t="shared" si="0"/>
        <v>1990</v>
      </c>
      <c r="BI12" s="395">
        <f>IFERROR(VLOOKUP(BH12,ACV!AI$1:AJ$76,2,FALSE),"")</f>
        <v>27.2</v>
      </c>
      <c r="BJ12" s="341"/>
      <c r="BK12" s="395"/>
      <c r="BL12" s="341"/>
      <c r="BM12" s="395"/>
      <c r="BN12" s="341"/>
      <c r="BO12" s="395"/>
      <c r="BP12" s="341"/>
      <c r="BQ12" s="395"/>
    </row>
    <row r="13" spans="1:69" x14ac:dyDescent="0.25">
      <c r="AM13" s="269" t="s">
        <v>734</v>
      </c>
      <c r="BH13" s="341">
        <f t="shared" si="0"/>
        <v>1991</v>
      </c>
      <c r="BI13" s="395">
        <f>IFERROR(VLOOKUP(BH13,ACV!AI$1:AJ$76,2,FALSE),"")</f>
        <v>10.8</v>
      </c>
      <c r="BJ13" s="341"/>
      <c r="BK13" s="395"/>
      <c r="BL13" s="341"/>
      <c r="BM13" s="395"/>
      <c r="BN13" s="341"/>
      <c r="BO13" s="395"/>
      <c r="BP13" s="341"/>
      <c r="BQ13" s="395"/>
    </row>
    <row r="14" spans="1:69" x14ac:dyDescent="0.25">
      <c r="AF14" s="269"/>
      <c r="BH14" s="341">
        <f t="shared" si="0"/>
        <v>1992</v>
      </c>
      <c r="BI14" s="395">
        <f>IFERROR(VLOOKUP(BH14,ACV!AI$1:AJ$76,2,FALSE),"")</f>
        <v>10.100000000000001</v>
      </c>
      <c r="BJ14" s="341"/>
      <c r="BK14" s="395"/>
      <c r="BL14" s="341"/>
      <c r="BM14" s="395"/>
      <c r="BN14" s="341"/>
      <c r="BO14" s="395"/>
      <c r="BP14" s="341"/>
      <c r="BQ14" s="395"/>
    </row>
    <row r="15" spans="1:69" x14ac:dyDescent="0.25">
      <c r="AF15" s="269"/>
      <c r="BH15" s="341">
        <f t="shared" si="0"/>
        <v>1993</v>
      </c>
      <c r="BI15" s="395">
        <f>IFERROR(VLOOKUP(BH15,ACV!AI$1:AJ$76,2,FALSE),"")</f>
        <v>15.2</v>
      </c>
      <c r="BJ15" s="341"/>
      <c r="BK15" s="395"/>
      <c r="BL15" s="341"/>
      <c r="BM15" s="395"/>
      <c r="BN15" s="341"/>
      <c r="BO15" s="395"/>
      <c r="BP15" s="341"/>
      <c r="BQ15" s="395"/>
    </row>
    <row r="16" spans="1:69" x14ac:dyDescent="0.25">
      <c r="AF16" s="269"/>
      <c r="BH16" s="341">
        <f t="shared" si="0"/>
        <v>1994</v>
      </c>
      <c r="BI16" s="395">
        <f>IFERROR(VLOOKUP(BH16,ACV!AI$1:AJ$76,2,FALSE),"")</f>
        <v>18</v>
      </c>
      <c r="BJ16" s="341"/>
      <c r="BK16" s="395"/>
      <c r="BL16" s="341"/>
      <c r="BM16" s="395"/>
      <c r="BN16" s="341"/>
      <c r="BO16" s="395"/>
      <c r="BP16" s="341"/>
      <c r="BQ16" s="395"/>
    </row>
    <row r="17" spans="3:69" x14ac:dyDescent="0.25">
      <c r="AF17" s="269"/>
      <c r="BH17" s="341">
        <f t="shared" si="0"/>
        <v>1995</v>
      </c>
      <c r="BI17" s="395">
        <f>IFERROR(VLOOKUP(BH17,ACV!AI$1:AJ$76,2,FALSE),"")</f>
        <v>19.7</v>
      </c>
      <c r="BJ17" s="341"/>
      <c r="BK17" s="395"/>
      <c r="BL17" s="341"/>
      <c r="BM17" s="395"/>
      <c r="BN17" s="341"/>
      <c r="BO17" s="395"/>
      <c r="BP17" s="341"/>
      <c r="BQ17" s="395"/>
    </row>
    <row r="18" spans="3:69" ht="13.8" x14ac:dyDescent="0.25">
      <c r="C18" s="266" t="s">
        <v>531</v>
      </c>
      <c r="AF18" s="269"/>
      <c r="BH18" s="341">
        <f t="shared" si="0"/>
        <v>1996</v>
      </c>
      <c r="BI18" s="395">
        <f>IFERROR(VLOOKUP(BH18,ACV!AI$1:AJ$76,2,FALSE),"")</f>
        <v>17.7</v>
      </c>
      <c r="BJ18" s="341"/>
      <c r="BK18" s="395"/>
      <c r="BL18" s="341"/>
      <c r="BM18" s="395"/>
      <c r="BN18" s="341"/>
      <c r="BO18" s="395"/>
      <c r="BP18" s="341"/>
      <c r="BQ18" s="395"/>
    </row>
    <row r="19" spans="3:69" x14ac:dyDescent="0.25">
      <c r="AF19" s="269"/>
      <c r="BH19" s="341">
        <f t="shared" si="0"/>
        <v>1997</v>
      </c>
      <c r="BI19" s="395">
        <f>IFERROR(VLOOKUP(BH19,ACV!AI$1:AJ$76,2,FALSE),"")</f>
        <v>26.200000000000003</v>
      </c>
      <c r="BJ19" s="341"/>
      <c r="BK19" s="395"/>
      <c r="BL19" s="341"/>
      <c r="BM19" s="395"/>
      <c r="BN19" s="341"/>
      <c r="BO19" s="395"/>
      <c r="BP19" s="341"/>
      <c r="BQ19" s="395"/>
    </row>
    <row r="20" spans="3:69" ht="15.6" x14ac:dyDescent="0.25">
      <c r="R20" s="556">
        <v>1987</v>
      </c>
      <c r="S20" s="556"/>
      <c r="T20" s="556"/>
      <c r="U20" s="555" t="s">
        <v>532</v>
      </c>
      <c r="V20" s="555"/>
      <c r="W20" s="556">
        <v>2024</v>
      </c>
      <c r="X20" s="556"/>
      <c r="Y20" s="556"/>
      <c r="BH20" s="341">
        <f t="shared" si="0"/>
        <v>1998</v>
      </c>
      <c r="BI20" s="395">
        <f>IFERROR(VLOOKUP(BH20,ACV!AI$1:AJ$76,2,FALSE),"")</f>
        <v>28.599999999999998</v>
      </c>
      <c r="BJ20" s="341"/>
      <c r="BK20" s="395"/>
      <c r="BL20" s="341"/>
      <c r="BM20" s="395"/>
      <c r="BN20" s="341"/>
      <c r="BO20" s="395"/>
      <c r="BP20" s="341"/>
      <c r="BQ20" s="395"/>
    </row>
    <row r="21" spans="3:69" x14ac:dyDescent="0.25">
      <c r="AF21" s="269"/>
      <c r="BH21" s="341">
        <f t="shared" si="0"/>
        <v>1999</v>
      </c>
      <c r="BI21" s="395">
        <f>IFERROR(VLOOKUP(BH21,ACV!AI$1:AJ$76,2,FALSE),"")</f>
        <v>24.9</v>
      </c>
      <c r="BJ21" s="341"/>
      <c r="BK21" s="395"/>
      <c r="BL21" s="341"/>
      <c r="BM21" s="395"/>
      <c r="BN21" s="341"/>
      <c r="BO21" s="395"/>
      <c r="BP21" s="341"/>
      <c r="BQ21" s="395"/>
    </row>
    <row r="22" spans="3:69" x14ac:dyDescent="0.25">
      <c r="AF22" s="269"/>
      <c r="BH22" s="341">
        <f t="shared" si="0"/>
        <v>2000</v>
      </c>
      <c r="BI22" s="395">
        <f>IFERROR(VLOOKUP(BH22,ACV!AI$1:AJ$76,2,FALSE),"")</f>
        <v>35.599999999999994</v>
      </c>
      <c r="BJ22" s="341"/>
      <c r="BK22" s="395"/>
      <c r="BL22" s="341"/>
      <c r="BM22" s="395"/>
      <c r="BN22" s="341"/>
      <c r="BO22" s="395"/>
      <c r="BP22" s="341"/>
      <c r="BQ22" s="395"/>
    </row>
    <row r="23" spans="3:69" x14ac:dyDescent="0.25">
      <c r="AF23" s="269"/>
      <c r="BH23" s="341">
        <f t="shared" si="0"/>
        <v>2001</v>
      </c>
      <c r="BI23" s="395">
        <f>IFERROR(VLOOKUP(BH23,ACV!AI$1:AJ$76,2,FALSE),"")</f>
        <v>28.1</v>
      </c>
      <c r="BJ23" s="341"/>
      <c r="BK23" s="395"/>
      <c r="BL23" s="341"/>
      <c r="BM23" s="395"/>
      <c r="BN23" s="341"/>
      <c r="BO23" s="395"/>
      <c r="BP23" s="341"/>
      <c r="BQ23" s="395"/>
    </row>
    <row r="24" spans="3:69" x14ac:dyDescent="0.25">
      <c r="AF24" s="269"/>
      <c r="BH24" s="341">
        <f t="shared" si="0"/>
        <v>2002</v>
      </c>
      <c r="BI24" s="395">
        <f>IFERROR(VLOOKUP(BH24,ACV!AI$1:AJ$76,2,FALSE),"")</f>
        <v>19.5</v>
      </c>
      <c r="BJ24" s="341"/>
      <c r="BK24" s="395"/>
      <c r="BL24" s="341"/>
      <c r="BM24" s="395"/>
      <c r="BN24" s="341"/>
      <c r="BO24" s="395"/>
      <c r="BP24" s="341"/>
      <c r="BQ24" s="395"/>
    </row>
    <row r="25" spans="3:69" x14ac:dyDescent="0.25">
      <c r="AF25" s="269"/>
      <c r="BH25" s="341">
        <f t="shared" si="0"/>
        <v>2003</v>
      </c>
      <c r="BI25" s="395">
        <f>IFERROR(VLOOKUP(BH25,ACV!AI$1:AJ$76,2,FALSE),"")</f>
        <v>29.299999999999997</v>
      </c>
      <c r="BJ25" s="341"/>
      <c r="BK25" s="395"/>
      <c r="BL25" s="341"/>
      <c r="BM25" s="395"/>
      <c r="BN25" s="341"/>
      <c r="BO25" s="395"/>
      <c r="BP25" s="341"/>
      <c r="BQ25" s="395"/>
    </row>
    <row r="26" spans="3:69" x14ac:dyDescent="0.25">
      <c r="AF26" s="269"/>
      <c r="BH26" s="341">
        <f t="shared" si="0"/>
        <v>2004</v>
      </c>
      <c r="BI26" s="395">
        <f>IFERROR(VLOOKUP(BH26,ACV!AI$1:AJ$76,2,FALSE),"")</f>
        <v>16.5</v>
      </c>
      <c r="BJ26" s="341"/>
      <c r="BK26" s="395"/>
      <c r="BL26" s="341"/>
      <c r="BM26" s="395"/>
      <c r="BN26" s="341"/>
      <c r="BO26" s="395"/>
      <c r="BP26" s="341"/>
      <c r="BQ26" s="395"/>
    </row>
    <row r="27" spans="3:69" x14ac:dyDescent="0.25">
      <c r="AF27" s="269"/>
      <c r="BH27" s="341">
        <f t="shared" si="0"/>
        <v>2005</v>
      </c>
      <c r="BI27" s="395">
        <f>IFERROR(VLOOKUP(BH27,ACV!AI$1:AJ$76,2,FALSE),"")</f>
        <v>12.3</v>
      </c>
      <c r="BJ27" s="341"/>
      <c r="BK27" s="395"/>
      <c r="BL27" s="341"/>
      <c r="BM27" s="395"/>
      <c r="BN27" s="341"/>
      <c r="BO27" s="395"/>
      <c r="BP27" s="341"/>
      <c r="BQ27" s="395"/>
    </row>
    <row r="28" spans="3:69" x14ac:dyDescent="0.25">
      <c r="BH28" s="341">
        <f t="shared" si="0"/>
        <v>2006</v>
      </c>
      <c r="BI28" s="395">
        <f>IFERROR(VLOOKUP(BH28,ACV!AI$1:AJ$76,2,FALSE),"")</f>
        <v>31.6</v>
      </c>
      <c r="BJ28" s="341"/>
      <c r="BK28" s="395"/>
      <c r="BL28" s="341"/>
      <c r="BM28" s="395"/>
      <c r="BN28" s="341"/>
      <c r="BO28" s="395"/>
      <c r="BP28" s="341"/>
      <c r="BQ28" s="395"/>
    </row>
    <row r="29" spans="3:69" x14ac:dyDescent="0.25">
      <c r="BH29" s="341">
        <f t="shared" si="0"/>
        <v>2007</v>
      </c>
      <c r="BI29" s="395">
        <f>IFERROR(VLOOKUP(BH29,ACV!AI$1:AJ$76,2,FALSE),"")</f>
        <v>14.1</v>
      </c>
      <c r="BJ29" s="341"/>
      <c r="BK29" s="395"/>
      <c r="BL29" s="341"/>
      <c r="BM29" s="395"/>
      <c r="BN29" s="341"/>
      <c r="BO29" s="395"/>
      <c r="BP29" s="341"/>
      <c r="BQ29" s="395"/>
    </row>
    <row r="30" spans="3:69" x14ac:dyDescent="0.25">
      <c r="BH30" s="341">
        <f t="shared" si="0"/>
        <v>2008</v>
      </c>
      <c r="BI30" s="395">
        <f>IFERROR(VLOOKUP(BH30,ACV!AI$1:AJ$76,2,FALSE),"")</f>
        <v>17.5</v>
      </c>
      <c r="BJ30" s="341"/>
      <c r="BK30" s="395"/>
      <c r="BL30" s="341"/>
      <c r="BM30" s="395"/>
      <c r="BN30" s="341"/>
      <c r="BO30" s="395"/>
      <c r="BP30" s="341"/>
      <c r="BQ30" s="395"/>
    </row>
    <row r="31" spans="3:69" x14ac:dyDescent="0.25">
      <c r="BH31" s="341">
        <f t="shared" si="0"/>
        <v>2009</v>
      </c>
      <c r="BI31" s="395">
        <f>IFERROR(VLOOKUP(BH31,ACV!AI$1:AJ$76,2,FALSE),"")</f>
        <v>25.5</v>
      </c>
      <c r="BJ31" s="341"/>
      <c r="BK31" s="395"/>
      <c r="BL31" s="341"/>
      <c r="BM31" s="395"/>
      <c r="BN31" s="341"/>
      <c r="BO31" s="395"/>
      <c r="BP31" s="341"/>
      <c r="BQ31" s="395"/>
    </row>
    <row r="32" spans="3:69" x14ac:dyDescent="0.25">
      <c r="BH32" s="341">
        <f t="shared" si="0"/>
        <v>2010</v>
      </c>
      <c r="BI32" s="395">
        <f>IFERROR(VLOOKUP(BH32,ACV!AI$1:AJ$76,2,FALSE),"")</f>
        <v>19.100000000000001</v>
      </c>
      <c r="BJ32" s="341"/>
      <c r="BK32" s="395"/>
      <c r="BL32" s="341"/>
      <c r="BM32" s="395"/>
      <c r="BN32" s="341"/>
      <c r="BO32" s="395"/>
      <c r="BP32" s="341"/>
      <c r="BQ32" s="395"/>
    </row>
    <row r="33" spans="60:69" x14ac:dyDescent="0.25">
      <c r="BH33" s="341">
        <f t="shared" si="0"/>
        <v>2011</v>
      </c>
      <c r="BI33" s="395">
        <f>IFERROR(VLOOKUP(BH33,ACV!AI$1:AJ$76,2,FALSE),"")</f>
        <v>15.8</v>
      </c>
      <c r="BJ33" s="341"/>
      <c r="BK33" s="395"/>
      <c r="BL33" s="341"/>
      <c r="BM33" s="395"/>
      <c r="BN33" s="341"/>
      <c r="BO33" s="395"/>
      <c r="BP33" s="341"/>
      <c r="BQ33" s="395"/>
    </row>
    <row r="34" spans="60:69" x14ac:dyDescent="0.25">
      <c r="BH34" s="341">
        <f t="shared" si="0"/>
        <v>2012</v>
      </c>
      <c r="BI34" s="395">
        <f>IFERROR(VLOOKUP(BH34,ACV!AI$1:AJ$76,2,FALSE),"")</f>
        <v>9.9</v>
      </c>
      <c r="BJ34" s="341"/>
      <c r="BK34" s="395"/>
      <c r="BL34" s="341"/>
      <c r="BM34" s="395"/>
      <c r="BN34" s="341"/>
      <c r="BO34" s="395"/>
      <c r="BP34" s="341"/>
      <c r="BQ34" s="395"/>
    </row>
    <row r="35" spans="60:69" x14ac:dyDescent="0.25">
      <c r="BH35" s="341">
        <f t="shared" si="0"/>
        <v>2013</v>
      </c>
      <c r="BI35" s="395">
        <f>IFERROR(VLOOKUP(BH35,ACV!AI$1:AJ$76,2,FALSE),"")</f>
        <v>10.7</v>
      </c>
      <c r="BJ35" s="341"/>
      <c r="BK35" s="395"/>
      <c r="BL35" s="341"/>
      <c r="BM35" s="395"/>
      <c r="BN35" s="341"/>
      <c r="BO35" s="395"/>
      <c r="BP35" s="341"/>
      <c r="BQ35" s="395"/>
    </row>
    <row r="36" spans="60:69" x14ac:dyDescent="0.25">
      <c r="BH36" s="341">
        <f t="shared" si="0"/>
        <v>2014</v>
      </c>
      <c r="BI36" s="395">
        <f>IFERROR(VLOOKUP(BH36,ACV!AI$1:AJ$76,2,FALSE),"")</f>
        <v>12.3</v>
      </c>
      <c r="BJ36" s="341"/>
      <c r="BK36" s="395"/>
      <c r="BL36" s="341"/>
      <c r="BM36" s="395"/>
      <c r="BN36" s="341"/>
      <c r="BO36" s="395"/>
      <c r="BP36" s="341"/>
      <c r="BQ36" s="395"/>
    </row>
    <row r="37" spans="60:69" x14ac:dyDescent="0.25">
      <c r="BH37" s="341">
        <f t="shared" si="0"/>
        <v>2015</v>
      </c>
      <c r="BI37" s="395">
        <f>IFERROR(VLOOKUP(BH37,ACV!AI$1:AJ$76,2,FALSE),"")</f>
        <v>15.7</v>
      </c>
      <c r="BJ37" s="341"/>
      <c r="BK37" s="395"/>
      <c r="BL37" s="341"/>
      <c r="BM37" s="395"/>
      <c r="BN37" s="341"/>
      <c r="BO37" s="395"/>
      <c r="BP37" s="341"/>
      <c r="BQ37" s="395"/>
    </row>
    <row r="38" spans="60:69" x14ac:dyDescent="0.25">
      <c r="BH38" s="341">
        <f t="shared" si="0"/>
        <v>2016</v>
      </c>
      <c r="BI38" s="395">
        <f>IFERROR(VLOOKUP(BH38,ACV!AI$1:AJ$76,2,FALSE),"")</f>
        <v>15.3</v>
      </c>
      <c r="BJ38" s="341"/>
      <c r="BK38" s="395"/>
      <c r="BL38" s="341"/>
      <c r="BM38" s="395"/>
      <c r="BN38" s="341"/>
      <c r="BO38" s="395"/>
      <c r="BP38" s="341"/>
      <c r="BQ38" s="395"/>
    </row>
    <row r="39" spans="60:69" x14ac:dyDescent="0.25">
      <c r="BH39" s="341">
        <f t="shared" si="0"/>
        <v>2017</v>
      </c>
      <c r="BI39" s="395">
        <f>IFERROR(VLOOKUP(BH39,ACV!AI$1:AJ$76,2,FALSE),"")</f>
        <v>14.8</v>
      </c>
      <c r="BJ39" s="341"/>
      <c r="BK39" s="395"/>
      <c r="BL39" s="341"/>
      <c r="BM39" s="395"/>
      <c r="BN39" s="341"/>
      <c r="BO39" s="395"/>
      <c r="BP39" s="341"/>
      <c r="BQ39" s="395"/>
    </row>
    <row r="40" spans="60:69" x14ac:dyDescent="0.25">
      <c r="BH40" s="341">
        <f t="shared" si="0"/>
        <v>2018</v>
      </c>
      <c r="BI40" s="395">
        <f>IFERROR(VLOOKUP(BH40,ACV!AI$1:AJ$76,2,FALSE),"")</f>
        <v>18.8</v>
      </c>
      <c r="BJ40" s="341"/>
      <c r="BK40" s="395"/>
      <c r="BL40" s="341"/>
      <c r="BM40" s="395"/>
      <c r="BN40" s="341"/>
      <c r="BO40" s="395"/>
      <c r="BP40" s="341"/>
      <c r="BQ40" s="395"/>
    </row>
    <row r="41" spans="60:69" x14ac:dyDescent="0.25">
      <c r="BH41" s="341">
        <f t="shared" si="0"/>
        <v>2019</v>
      </c>
      <c r="BI41" s="395">
        <f>IFERROR(VLOOKUP(BH41,ACV!AI$1:AJ$76,2,FALSE),"")</f>
        <v>11.7</v>
      </c>
      <c r="BJ41" s="341"/>
      <c r="BK41" s="395"/>
      <c r="BL41" s="341"/>
      <c r="BM41" s="395"/>
      <c r="BN41" s="341"/>
      <c r="BO41" s="395"/>
      <c r="BP41" s="341"/>
      <c r="BQ41" s="395"/>
    </row>
    <row r="42" spans="60:69" x14ac:dyDescent="0.25">
      <c r="BH42" s="341">
        <f t="shared" si="0"/>
        <v>2020</v>
      </c>
      <c r="BI42" s="395">
        <f>IFERROR(VLOOKUP(BH42,ACV!AI$1:AJ$76,2,FALSE),"")</f>
        <v>20.9</v>
      </c>
      <c r="BJ42" s="341"/>
      <c r="BK42" s="395"/>
      <c r="BL42" s="341"/>
      <c r="BM42" s="395"/>
      <c r="BN42" s="341"/>
      <c r="BO42" s="395"/>
      <c r="BP42" s="341"/>
      <c r="BQ42" s="395"/>
    </row>
    <row r="43" spans="60:69" x14ac:dyDescent="0.25">
      <c r="BH43" s="341">
        <f t="shared" si="0"/>
        <v>2021</v>
      </c>
      <c r="BI43" s="395" t="str">
        <f>IFERROR(VLOOKUP(BH43,ACV!AI$1:AJ$76,2,FALSE),"")</f>
        <v/>
      </c>
      <c r="BJ43" s="341"/>
      <c r="BK43" s="395"/>
      <c r="BL43" s="341"/>
      <c r="BM43" s="395"/>
      <c r="BN43" s="341"/>
      <c r="BO43" s="395"/>
      <c r="BP43" s="341"/>
      <c r="BQ43" s="395"/>
    </row>
    <row r="44" spans="60:69" x14ac:dyDescent="0.25">
      <c r="BH44" s="341">
        <f t="shared" si="0"/>
        <v>2022</v>
      </c>
      <c r="BI44" s="395" t="str">
        <f>IFERROR(VLOOKUP(BH44,ACV!AI$1:AJ$76,2,FALSE),"")</f>
        <v/>
      </c>
      <c r="BJ44" s="341"/>
      <c r="BK44" s="395"/>
      <c r="BL44" s="341"/>
      <c r="BM44" s="395"/>
      <c r="BN44" s="341"/>
      <c r="BO44" s="395"/>
      <c r="BP44" s="341"/>
      <c r="BQ44" s="395"/>
    </row>
    <row r="45" spans="60:69" x14ac:dyDescent="0.25">
      <c r="BH45" s="341">
        <f t="shared" si="0"/>
        <v>2023</v>
      </c>
      <c r="BI45" s="395">
        <f>IFERROR(VLOOKUP(BH45,ACV!AI$1:AJ$76,2,FALSE),"")</f>
        <v>16.5</v>
      </c>
      <c r="BJ45" s="341"/>
      <c r="BK45" s="395"/>
      <c r="BL45" s="341"/>
      <c r="BM45" s="395"/>
      <c r="BN45" s="341"/>
      <c r="BO45" s="395"/>
      <c r="BP45" s="341"/>
      <c r="BQ45" s="395"/>
    </row>
    <row r="46" spans="60:69" x14ac:dyDescent="0.25">
      <c r="BH46" s="341">
        <f t="shared" si="0"/>
        <v>2024</v>
      </c>
      <c r="BI46" s="395" t="str">
        <f>IFERROR(VLOOKUP(BH46,ACV!AI$1:AJ$76,2,FALSE),"")</f>
        <v/>
      </c>
      <c r="BJ46" s="341"/>
      <c r="BK46" s="395"/>
      <c r="BL46" s="341"/>
      <c r="BM46" s="395"/>
      <c r="BN46" s="341"/>
      <c r="BO46" s="395"/>
      <c r="BP46" s="341"/>
      <c r="BQ46" s="395"/>
    </row>
    <row r="47" spans="60:69" x14ac:dyDescent="0.25">
      <c r="BH47" s="341">
        <f t="shared" si="0"/>
        <v>2025</v>
      </c>
      <c r="BI47" s="395" t="str">
        <f>IFERROR(VLOOKUP(BH47,ACV!AI$1:AJ$76,2,FALSE),"")</f>
        <v/>
      </c>
      <c r="BJ47" s="341"/>
      <c r="BK47" s="395"/>
      <c r="BL47" s="341"/>
      <c r="BM47" s="395"/>
      <c r="BN47" s="341"/>
      <c r="BO47" s="395"/>
      <c r="BP47" s="341"/>
      <c r="BQ47" s="395"/>
    </row>
    <row r="48" spans="60:69" x14ac:dyDescent="0.25">
      <c r="BH48" s="341">
        <f t="shared" si="0"/>
        <v>2026</v>
      </c>
      <c r="BI48" s="395" t="str">
        <f>IFERROR(VLOOKUP(BH48,ACV!AI$1:AJ$76,2,FALSE),"")</f>
        <v/>
      </c>
      <c r="BJ48" s="341"/>
      <c r="BK48" s="395"/>
      <c r="BL48" s="341"/>
      <c r="BM48" s="395"/>
      <c r="BN48" s="341"/>
      <c r="BO48" s="395"/>
      <c r="BP48" s="341"/>
      <c r="BQ48" s="395"/>
    </row>
    <row r="49" spans="45:69" x14ac:dyDescent="0.25">
      <c r="BH49" s="341">
        <f t="shared" si="0"/>
        <v>2027</v>
      </c>
      <c r="BI49" s="395" t="str">
        <f>IFERROR(VLOOKUP(BH49,ACV!AI$1:AJ$76,2,FALSE),"")</f>
        <v/>
      </c>
      <c r="BJ49" s="341"/>
      <c r="BK49" s="395"/>
      <c r="BL49" s="341"/>
      <c r="BM49" s="395"/>
      <c r="BN49" s="341"/>
      <c r="BO49" s="395"/>
      <c r="BP49" s="341"/>
      <c r="BQ49" s="395"/>
    </row>
    <row r="50" spans="45:69" x14ac:dyDescent="0.25">
      <c r="BH50" s="341">
        <f t="shared" si="0"/>
        <v>2028</v>
      </c>
      <c r="BI50" s="395" t="str">
        <f>IFERROR(VLOOKUP(BH50,ACV!AI$1:AJ$76,2,FALSE),"")</f>
        <v/>
      </c>
      <c r="BJ50" s="341"/>
      <c r="BK50" s="395"/>
      <c r="BL50" s="341"/>
      <c r="BM50" s="395"/>
      <c r="BN50" s="341"/>
      <c r="BO50" s="395"/>
      <c r="BP50" s="341"/>
      <c r="BQ50" s="395"/>
    </row>
    <row r="51" spans="45:69" x14ac:dyDescent="0.25">
      <c r="BH51" s="341">
        <f t="shared" si="0"/>
        <v>2029</v>
      </c>
      <c r="BI51" s="395" t="str">
        <f>IFERROR(VLOOKUP(BH51,ACV!AI$1:AJ$76,2,FALSE),"")</f>
        <v/>
      </c>
      <c r="BJ51" s="341"/>
      <c r="BK51" s="395"/>
      <c r="BL51" s="341"/>
      <c r="BM51" s="395"/>
      <c r="BN51" s="341"/>
      <c r="BO51" s="395"/>
      <c r="BP51" s="341"/>
      <c r="BQ51" s="395"/>
    </row>
    <row r="52" spans="45:69" x14ac:dyDescent="0.25">
      <c r="BH52" s="341">
        <f t="shared" si="0"/>
        <v>2030</v>
      </c>
      <c r="BI52" s="395" t="str">
        <f>IFERROR(VLOOKUP(BH52,ACV!AI$1:AJ$76,2,FALSE),"")</f>
        <v/>
      </c>
      <c r="BJ52" s="341"/>
      <c r="BK52" s="395"/>
      <c r="BL52" s="341"/>
      <c r="BM52" s="395"/>
      <c r="BN52" s="341"/>
      <c r="BO52" s="395"/>
      <c r="BP52" s="341"/>
      <c r="BQ52" s="395"/>
    </row>
    <row r="53" spans="45:69" x14ac:dyDescent="0.25">
      <c r="BH53" s="341">
        <f t="shared" si="0"/>
        <v>2031</v>
      </c>
      <c r="BI53" s="395" t="str">
        <f>IFERROR(VLOOKUP(BH53,ACV!AI$1:AJ$76,2,FALSE),"")</f>
        <v/>
      </c>
      <c r="BJ53" s="341"/>
      <c r="BK53" s="395"/>
      <c r="BL53" s="341"/>
      <c r="BM53" s="395"/>
      <c r="BN53" s="341"/>
      <c r="BO53" s="395"/>
      <c r="BP53" s="341"/>
      <c r="BQ53" s="395"/>
    </row>
    <row r="54" spans="45:69" x14ac:dyDescent="0.25">
      <c r="BH54" s="341">
        <f t="shared" si="0"/>
        <v>2032</v>
      </c>
      <c r="BI54" s="395" t="str">
        <f>IFERROR(VLOOKUP(BH54,ACV!AI$1:AJ$76,2,FALSE),"")</f>
        <v/>
      </c>
      <c r="BJ54" s="341"/>
      <c r="BK54" s="395"/>
      <c r="BL54" s="341"/>
      <c r="BM54" s="395"/>
      <c r="BN54" s="341"/>
      <c r="BO54" s="395"/>
      <c r="BP54" s="341"/>
      <c r="BQ54" s="395"/>
    </row>
    <row r="55" spans="45:69" x14ac:dyDescent="0.25">
      <c r="BH55" s="341">
        <f t="shared" si="0"/>
        <v>2033</v>
      </c>
      <c r="BI55" s="395" t="str">
        <f>IFERROR(VLOOKUP(BH55,ACV!AI$1:AJ$76,2,FALSE),"")</f>
        <v/>
      </c>
      <c r="BJ55" s="341"/>
      <c r="BK55" s="395"/>
      <c r="BL55" s="341"/>
      <c r="BM55" s="395"/>
      <c r="BN55" s="341"/>
      <c r="BO55" s="395"/>
      <c r="BP55" s="341"/>
      <c r="BQ55" s="395"/>
    </row>
    <row r="56" spans="45:69" x14ac:dyDescent="0.25">
      <c r="BH56" s="341">
        <f t="shared" si="0"/>
        <v>2034</v>
      </c>
      <c r="BI56" s="395" t="str">
        <f>IFERROR(VLOOKUP(BH56,ACV!AI$1:AJ$76,2,FALSE),"")</f>
        <v/>
      </c>
      <c r="BJ56" s="341"/>
      <c r="BK56" s="395"/>
      <c r="BL56" s="341"/>
      <c r="BM56" s="395"/>
      <c r="BN56" s="341"/>
      <c r="BO56" s="395"/>
      <c r="BP56" s="341"/>
      <c r="BQ56" s="395"/>
    </row>
    <row r="57" spans="45:69" x14ac:dyDescent="0.25">
      <c r="BH57" s="341">
        <f t="shared" si="0"/>
        <v>2035</v>
      </c>
      <c r="BI57" s="395" t="str">
        <f>IFERROR(VLOOKUP(BH57,ACV!AI$1:AJ$76,2,FALSE),"")</f>
        <v/>
      </c>
      <c r="BJ57" s="341"/>
      <c r="BK57" s="395"/>
      <c r="BL57" s="341"/>
      <c r="BM57" s="395"/>
      <c r="BN57" s="341"/>
      <c r="BO57" s="395"/>
      <c r="BP57" s="341"/>
      <c r="BQ57" s="395"/>
    </row>
    <row r="58" spans="45:69" x14ac:dyDescent="0.25">
      <c r="BH58" s="341">
        <f t="shared" si="0"/>
        <v>2036</v>
      </c>
      <c r="BI58" s="395">
        <f>IFERROR(VLOOKUP(BH58,ACV!AI$1:AJ$76,2,FALSE),"")</f>
        <v>0</v>
      </c>
      <c r="BJ58" s="341"/>
      <c r="BK58" s="395"/>
      <c r="BL58" s="341"/>
      <c r="BM58" s="395"/>
      <c r="BN58" s="341"/>
      <c r="BO58" s="395"/>
      <c r="BP58" s="341"/>
      <c r="BQ58" s="395"/>
    </row>
    <row r="59" spans="45:69" x14ac:dyDescent="0.25">
      <c r="BH59" s="341">
        <f t="shared" si="0"/>
        <v>2037</v>
      </c>
      <c r="BI59" s="395">
        <f>IFERROR(VLOOKUP(BH59,ACV!AI$1:AJ$76,2,FALSE),"")</f>
        <v>0</v>
      </c>
      <c r="BJ59" s="341"/>
      <c r="BK59" s="395"/>
      <c r="BL59" s="341"/>
      <c r="BM59" s="395"/>
      <c r="BN59" s="341"/>
      <c r="BO59" s="395"/>
      <c r="BP59" s="341"/>
      <c r="BQ59" s="395"/>
    </row>
    <row r="60" spans="45:69" x14ac:dyDescent="0.25">
      <c r="AS60" s="267"/>
      <c r="BH60" s="341">
        <f t="shared" si="0"/>
        <v>2038</v>
      </c>
      <c r="BI60" s="395">
        <f>IFERROR(VLOOKUP(BH60,ACV!AI$1:AJ$76,2,FALSE),"")</f>
        <v>0</v>
      </c>
      <c r="BJ60" s="341"/>
      <c r="BK60" s="395"/>
      <c r="BL60" s="341"/>
      <c r="BM60" s="395"/>
      <c r="BN60" s="341"/>
      <c r="BO60" s="395"/>
      <c r="BP60" s="341"/>
      <c r="BQ60" s="395"/>
    </row>
    <row r="61" spans="45:69" x14ac:dyDescent="0.25">
      <c r="AS61" s="267"/>
      <c r="BH61" s="341">
        <f t="shared" si="0"/>
        <v>2039</v>
      </c>
      <c r="BI61" s="395" t="str">
        <f>IFERROR(VLOOKUP(BH61,ACV!AI$1:AJ$76,2,FALSE),"")</f>
        <v/>
      </c>
      <c r="BJ61" s="341"/>
      <c r="BK61" s="395"/>
      <c r="BL61" s="341"/>
      <c r="BM61" s="395"/>
      <c r="BN61" s="341"/>
      <c r="BO61" s="395"/>
      <c r="BP61" s="341"/>
      <c r="BQ61" s="395"/>
    </row>
    <row r="62" spans="45:69" x14ac:dyDescent="0.25">
      <c r="AS62" s="267"/>
      <c r="BH62" s="341">
        <f t="shared" si="0"/>
        <v>2040</v>
      </c>
      <c r="BI62" s="395" t="str">
        <f>IFERROR(VLOOKUP(BH62,ACV!AI$1:AJ$76,2,FALSE),"")</f>
        <v/>
      </c>
      <c r="BJ62" s="341"/>
      <c r="BK62" s="395"/>
      <c r="BL62" s="341"/>
      <c r="BM62" s="395"/>
      <c r="BN62" s="341"/>
      <c r="BO62" s="395"/>
      <c r="BP62" s="341"/>
      <c r="BQ62" s="395"/>
    </row>
    <row r="63" spans="45:69" ht="14.25" customHeight="1" x14ac:dyDescent="0.25">
      <c r="AS63" s="267"/>
      <c r="AY63" s="270"/>
      <c r="AZ63" s="271"/>
      <c r="BH63" s="341">
        <f t="shared" si="0"/>
        <v>2041</v>
      </c>
      <c r="BI63" s="395" t="str">
        <f>IFERROR(VLOOKUP(BH63,ACV!AI$1:AJ$76,2,FALSE),"")</f>
        <v/>
      </c>
      <c r="BJ63" s="341"/>
      <c r="BK63" s="395"/>
      <c r="BL63" s="341"/>
      <c r="BM63" s="395"/>
      <c r="BN63" s="341"/>
      <c r="BO63" s="395"/>
      <c r="BP63" s="341"/>
      <c r="BQ63" s="395"/>
    </row>
    <row r="64" spans="45:69" ht="15" customHeight="1" x14ac:dyDescent="0.25">
      <c r="BH64" s="341">
        <f t="shared" si="0"/>
        <v>2042</v>
      </c>
      <c r="BI64" s="395" t="str">
        <f>IFERROR(VLOOKUP(BH64,ACV!AI$1:AJ$76,2,FALSE),"")</f>
        <v/>
      </c>
      <c r="BJ64" s="341"/>
      <c r="BK64" s="395"/>
      <c r="BL64" s="341"/>
      <c r="BM64" s="395"/>
      <c r="BN64" s="341"/>
      <c r="BO64" s="395"/>
      <c r="BP64" s="341"/>
      <c r="BQ64" s="395"/>
    </row>
    <row r="65" spans="60:69" x14ac:dyDescent="0.25">
      <c r="BH65" s="341">
        <f t="shared" si="0"/>
        <v>2043</v>
      </c>
      <c r="BI65" s="395" t="str">
        <f>IFERROR(VLOOKUP(BH65,ACV!AI$1:AJ$76,2,FALSE),"")</f>
        <v/>
      </c>
      <c r="BJ65" s="341"/>
      <c r="BK65" s="395"/>
      <c r="BL65" s="341"/>
      <c r="BM65" s="395"/>
      <c r="BN65" s="341"/>
      <c r="BO65" s="395"/>
      <c r="BP65" s="341"/>
      <c r="BQ65" s="395"/>
    </row>
    <row r="66" spans="60:69" x14ac:dyDescent="0.25">
      <c r="BH66" s="341">
        <f t="shared" si="0"/>
        <v>2044</v>
      </c>
      <c r="BI66" s="395" t="str">
        <f>IFERROR(VLOOKUP(BH66,ACV!AI$1:AJ$76,2,FALSE),"")</f>
        <v/>
      </c>
      <c r="BJ66" s="341"/>
      <c r="BK66" s="395"/>
      <c r="BL66" s="341"/>
      <c r="BM66" s="395"/>
      <c r="BN66" s="341"/>
      <c r="BO66" s="395"/>
      <c r="BP66" s="341"/>
      <c r="BQ66" s="395"/>
    </row>
    <row r="67" spans="60:69" x14ac:dyDescent="0.25">
      <c r="BH67" s="341">
        <f t="shared" si="0"/>
        <v>2045</v>
      </c>
      <c r="BI67" s="395" t="str">
        <f>IFERROR(VLOOKUP(BH67,ACV!AI$1:AJ$76,2,FALSE),"")</f>
        <v/>
      </c>
      <c r="BJ67" s="341"/>
      <c r="BK67" s="395"/>
      <c r="BL67" s="341"/>
      <c r="BM67" s="395"/>
      <c r="BN67" s="341"/>
      <c r="BO67" s="395"/>
      <c r="BP67" s="341"/>
      <c r="BQ67" s="395"/>
    </row>
    <row r="68" spans="60:69" x14ac:dyDescent="0.25">
      <c r="BH68" s="341">
        <f t="shared" ref="BH68:BH71" si="2">BH67+1</f>
        <v>2046</v>
      </c>
      <c r="BI68" s="395" t="str">
        <f>IFERROR(VLOOKUP(BH68,ACV!AI$1:AJ$76,2,FALSE),"")</f>
        <v/>
      </c>
      <c r="BJ68" s="341"/>
      <c r="BK68" s="395"/>
      <c r="BL68" s="341"/>
      <c r="BM68" s="395"/>
      <c r="BN68" s="341"/>
      <c r="BO68" s="395"/>
      <c r="BP68" s="341"/>
      <c r="BQ68" s="395"/>
    </row>
    <row r="69" spans="60:69" x14ac:dyDescent="0.25">
      <c r="BH69" s="341">
        <f t="shared" si="2"/>
        <v>2047</v>
      </c>
      <c r="BI69" s="395" t="str">
        <f>IFERROR(VLOOKUP(BH69,ACV!AI$1:AJ$76,2,FALSE),"")</f>
        <v/>
      </c>
      <c r="BJ69" s="341"/>
      <c r="BK69" s="395"/>
      <c r="BL69" s="341"/>
      <c r="BM69" s="395"/>
      <c r="BN69" s="341"/>
      <c r="BO69" s="395"/>
      <c r="BP69" s="341"/>
      <c r="BQ69" s="395"/>
    </row>
    <row r="70" spans="60:69" x14ac:dyDescent="0.25">
      <c r="BH70" s="341">
        <f t="shared" si="2"/>
        <v>2048</v>
      </c>
      <c r="BI70" s="395" t="str">
        <f>IFERROR(VLOOKUP(BH70,ACV!AI$1:AJ$76,2,FALSE),"")</f>
        <v/>
      </c>
      <c r="BJ70" s="341"/>
      <c r="BK70" s="395"/>
      <c r="BL70" s="341"/>
      <c r="BM70" s="395"/>
      <c r="BN70" s="341"/>
      <c r="BO70" s="395"/>
      <c r="BP70" s="341"/>
      <c r="BQ70" s="395"/>
    </row>
    <row r="71" spans="60:69" x14ac:dyDescent="0.25">
      <c r="BH71" s="341">
        <f t="shared" si="2"/>
        <v>2049</v>
      </c>
      <c r="BI71" s="395" t="str">
        <f>IFERROR(VLOOKUP(BH71,ACV!AI$1:AJ$76,2,FALSE),"")</f>
        <v/>
      </c>
      <c r="BJ71" s="341"/>
      <c r="BK71" s="395"/>
      <c r="BL71" s="341"/>
      <c r="BM71" s="395"/>
      <c r="BN71" s="341"/>
      <c r="BO71" s="395"/>
      <c r="BP71" s="341"/>
      <c r="BQ71" s="395"/>
    </row>
  </sheetData>
  <mergeCells count="12">
    <mergeCell ref="B6:B7"/>
    <mergeCell ref="C6:BE6"/>
    <mergeCell ref="BF6:BF7"/>
    <mergeCell ref="U20:V20"/>
    <mergeCell ref="R20:T20"/>
    <mergeCell ref="W20:Y20"/>
    <mergeCell ref="BP1:BQ1"/>
    <mergeCell ref="B1:BF1"/>
    <mergeCell ref="BH1:BI1"/>
    <mergeCell ref="BJ1:BK1"/>
    <mergeCell ref="BL1:BM1"/>
    <mergeCell ref="BN1:BO1"/>
  </mergeCells>
  <conditionalFormatting sqref="C8:BE12">
    <cfRule type="cellIs" dxfId="0" priority="1" operator="equal">
      <formula>1</formula>
    </cfRule>
  </conditionalFormatting>
  <dataValidations disablePrompts="1" count="1">
    <dataValidation type="list" allowBlank="1" showInputMessage="1" showErrorMessage="1" sqref="R20 W20" xr:uid="{00000000-0002-0000-0200-000000000000}">
      <formula1>$C$7:$BE$7</formula1>
    </dataValidation>
  </dataValidations>
  <printOptions horizontalCentered="1"/>
  <pageMargins left="0.59055118110236227" right="0.59055118110236227" top="1.0236220472440944" bottom="0.94488188976377963" header="0.47244094488188981" footer="0.39370078740157483"/>
  <pageSetup paperSize="9" scale="73" pageOrder="overThenDown" orientation="landscape" r:id="rId1"/>
  <headerFooter scaleWithDoc="0">
    <oddHeader>&amp;R&amp;"Arial Narrow,Negrita"&amp;9Ing. Aquiles Berrocal Rodríguez&amp;"Arial Narrow,Normal"
Ing. Civil – CIP: 196696
Especialista Hidrología, Hidráulica y Drenaje</oddHeader>
    <oddFooter>&amp;L&amp;"Arial Narrow,Normal"&amp;9Rev.:B - Agosto 2018
Proyecto: Actualización Hidrológica para el Estudio de Pre-Factibilidad de
la Presa de Relaves Pukaqaqa, U.M. Pukaqaqa, Milpo - Huancavelica&amp;R&amp;"Arial Narrow,Negrita"&amp;9ANEXO A: HIDROLOGIA</oddFooter>
  </headerFooter>
  <ignoredErrors>
    <ignoredError sqref="BI3:BI24 BI25:BI45 BI47:BI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70C0"/>
  </sheetPr>
  <dimension ref="A1:BH149"/>
  <sheetViews>
    <sheetView showGridLines="0" view="pageBreakPreview" topLeftCell="AQ90" zoomScaleNormal="77" zoomScaleSheetLayoutView="100" zoomScalePageLayoutView="70" workbookViewId="0">
      <selection activeCell="AW92" sqref="AW92"/>
    </sheetView>
  </sheetViews>
  <sheetFormatPr baseColWidth="10" defaultRowHeight="14.4" x14ac:dyDescent="0.3"/>
  <cols>
    <col min="3" max="3" width="14.5546875" customWidth="1"/>
    <col min="4" max="4" width="11.88671875" bestFit="1" customWidth="1"/>
    <col min="5" max="5" width="8.6640625" customWidth="1"/>
    <col min="6" max="7" width="14.6640625" customWidth="1"/>
    <col min="8" max="9" width="10.6640625" customWidth="1"/>
    <col min="10" max="10" width="8.6640625" customWidth="1"/>
    <col min="11" max="15" width="14.6640625" customWidth="1"/>
    <col min="16" max="17" width="10.6640625" customWidth="1"/>
    <col min="18" max="18" width="8.6640625" customWidth="1"/>
    <col min="19" max="23" width="14.6640625" customWidth="1"/>
    <col min="24" max="25" width="10.6640625" customWidth="1"/>
    <col min="26" max="26" width="8.6640625" customWidth="1"/>
    <col min="27" max="30" width="14.6640625" customWidth="1"/>
    <col min="32" max="33" width="10.6640625" customWidth="1"/>
    <col min="34" max="34" width="8.6640625" customWidth="1"/>
    <col min="35" max="39" width="14.6640625" customWidth="1"/>
    <col min="40" max="41" width="10.6640625" customWidth="1"/>
    <col min="42" max="42" width="8.6640625" customWidth="1"/>
    <col min="43" max="47" width="14.6640625" customWidth="1"/>
    <col min="48" max="48" width="10.6640625" customWidth="1"/>
    <col min="49" max="49" width="14.5546875" customWidth="1"/>
    <col min="50" max="50" width="6.33203125" customWidth="1"/>
    <col min="51" max="51" width="17" customWidth="1"/>
    <col min="53" max="53" width="13.33203125" customWidth="1"/>
    <col min="54" max="54" width="13" customWidth="1"/>
    <col min="55" max="55" width="14.6640625" customWidth="1"/>
    <col min="56" max="56" width="10.33203125" customWidth="1"/>
  </cols>
  <sheetData>
    <row r="1" spans="1:60" ht="13.5" customHeight="1" x14ac:dyDescent="0.3">
      <c r="A1" s="533" t="s">
        <v>31</v>
      </c>
      <c r="B1" s="533"/>
      <c r="C1" s="533"/>
      <c r="D1" s="533"/>
      <c r="E1" s="533"/>
      <c r="F1" s="533"/>
      <c r="G1" s="533"/>
      <c r="H1" s="533"/>
      <c r="I1" s="533" t="s">
        <v>31</v>
      </c>
      <c r="J1" s="533"/>
      <c r="K1" s="533"/>
      <c r="L1" s="533"/>
      <c r="M1" s="533"/>
      <c r="N1" s="533"/>
      <c r="O1" s="533"/>
      <c r="P1" s="533"/>
      <c r="Q1" s="533" t="s">
        <v>31</v>
      </c>
      <c r="R1" s="533"/>
      <c r="S1" s="533"/>
      <c r="T1" s="533"/>
      <c r="U1" s="533"/>
      <c r="V1" s="533"/>
      <c r="W1" s="533"/>
      <c r="X1" s="533"/>
      <c r="Y1" s="533" t="s">
        <v>31</v>
      </c>
      <c r="Z1" s="533"/>
      <c r="AA1" s="533"/>
      <c r="AB1" s="533"/>
      <c r="AC1" s="533"/>
      <c r="AD1" s="533"/>
      <c r="AE1" s="533"/>
      <c r="AF1" s="533"/>
      <c r="AG1" s="533" t="s">
        <v>31</v>
      </c>
      <c r="AH1" s="533"/>
      <c r="AI1" s="533"/>
      <c r="AJ1" s="533"/>
      <c r="AK1" s="533"/>
      <c r="AL1" s="533"/>
      <c r="AM1" s="533"/>
      <c r="AN1" s="533"/>
      <c r="AO1" s="533" t="s">
        <v>31</v>
      </c>
      <c r="AP1" s="533"/>
      <c r="AQ1" s="533"/>
      <c r="AR1" s="533"/>
      <c r="AS1" s="533"/>
      <c r="AT1" s="533"/>
      <c r="AU1" s="533"/>
      <c r="AV1" s="533"/>
      <c r="AW1" s="533" t="s">
        <v>31</v>
      </c>
      <c r="AX1" s="533"/>
      <c r="AY1" s="533"/>
      <c r="AZ1" s="533"/>
      <c r="BA1" s="533"/>
      <c r="BB1" s="533"/>
      <c r="BC1" s="533"/>
      <c r="BD1" s="533"/>
    </row>
    <row r="2" spans="1:60" ht="13.5" customHeight="1" x14ac:dyDescent="0.3">
      <c r="AR2" s="17"/>
      <c r="AS2" s="17"/>
    </row>
    <row r="3" spans="1:60" ht="13.5" customHeight="1" x14ac:dyDescent="0.3">
      <c r="B3" s="31" t="s">
        <v>74</v>
      </c>
      <c r="C3" s="31"/>
      <c r="F3" s="27" t="s">
        <v>59</v>
      </c>
      <c r="G3" s="560" t="str">
        <f>P24h_real!O20</f>
        <v>YANTAC</v>
      </c>
      <c r="H3" s="560"/>
      <c r="J3" s="29" t="s">
        <v>32</v>
      </c>
      <c r="K3" s="29"/>
      <c r="N3" s="27" t="s">
        <v>59</v>
      </c>
      <c r="O3" s="557" t="str">
        <f>G3</f>
        <v>YANTAC</v>
      </c>
      <c r="P3" s="557"/>
      <c r="R3" s="29" t="s">
        <v>802</v>
      </c>
      <c r="S3" s="29"/>
      <c r="V3" s="27" t="s">
        <v>59</v>
      </c>
      <c r="W3" s="557" t="str">
        <f>G3</f>
        <v>YANTAC</v>
      </c>
      <c r="X3" s="557"/>
      <c r="Z3" s="32" t="s">
        <v>798</v>
      </c>
      <c r="AA3" s="29"/>
      <c r="AB3" s="29"/>
      <c r="AC3" s="29"/>
      <c r="AD3" s="27" t="s">
        <v>59</v>
      </c>
      <c r="AE3" s="557" t="str">
        <f>G3</f>
        <v>YANTAC</v>
      </c>
      <c r="AF3" s="557"/>
      <c r="AH3" s="32" t="s">
        <v>70</v>
      </c>
      <c r="AI3" s="33"/>
      <c r="AJ3" s="33"/>
      <c r="AK3" s="33"/>
      <c r="AL3" s="27" t="s">
        <v>59</v>
      </c>
      <c r="AM3" s="557" t="str">
        <f>G3</f>
        <v>YANTAC</v>
      </c>
      <c r="AN3" s="557"/>
      <c r="AP3" s="32" t="s">
        <v>801</v>
      </c>
      <c r="AQ3" s="29"/>
      <c r="AR3" s="17"/>
      <c r="AS3" s="17"/>
      <c r="AT3" s="27" t="s">
        <v>59</v>
      </c>
      <c r="AU3" s="557" t="str">
        <f>G3</f>
        <v>YANTAC</v>
      </c>
      <c r="AV3" s="557"/>
    </row>
    <row r="4" spans="1:60" ht="13.5" customHeight="1" thickBot="1" x14ac:dyDescent="0.35">
      <c r="C4" s="16"/>
      <c r="D4" s="16"/>
      <c r="E4" s="16"/>
      <c r="P4" s="1"/>
      <c r="Q4" s="4"/>
      <c r="AX4" s="24" t="s">
        <v>43</v>
      </c>
      <c r="AY4" s="38"/>
      <c r="AZ4" s="38"/>
      <c r="BA4" s="38"/>
      <c r="BB4" s="38"/>
      <c r="BC4" s="38"/>
    </row>
    <row r="5" spans="1:60" ht="13.5" customHeight="1" x14ac:dyDescent="0.3">
      <c r="B5" s="544" t="s">
        <v>0</v>
      </c>
      <c r="C5" s="544" t="s">
        <v>468</v>
      </c>
      <c r="E5" s="544" t="s">
        <v>1</v>
      </c>
      <c r="F5" s="544" t="s">
        <v>45</v>
      </c>
      <c r="G5" s="544" t="s">
        <v>4</v>
      </c>
      <c r="J5" s="544" t="s">
        <v>1</v>
      </c>
      <c r="K5" s="544" t="s">
        <v>321</v>
      </c>
      <c r="L5" s="544" t="s">
        <v>4</v>
      </c>
      <c r="M5" s="544" t="s">
        <v>2</v>
      </c>
      <c r="N5" s="544" t="s">
        <v>6</v>
      </c>
      <c r="O5" s="544" t="s">
        <v>7</v>
      </c>
      <c r="R5" s="544" t="s">
        <v>1</v>
      </c>
      <c r="S5" s="530" t="s">
        <v>797</v>
      </c>
      <c r="T5" s="533" t="s">
        <v>4</v>
      </c>
      <c r="U5" s="533" t="s">
        <v>2</v>
      </c>
      <c r="V5" s="533" t="s">
        <v>6</v>
      </c>
      <c r="W5" s="533" t="s">
        <v>7</v>
      </c>
      <c r="Z5" s="533" t="s">
        <v>1</v>
      </c>
      <c r="AA5" s="530" t="s">
        <v>321</v>
      </c>
      <c r="AB5" s="533" t="s">
        <v>4</v>
      </c>
      <c r="AC5" s="533" t="s">
        <v>6</v>
      </c>
      <c r="AD5" s="533" t="s">
        <v>7</v>
      </c>
      <c r="AH5" s="533" t="s">
        <v>1</v>
      </c>
      <c r="AI5" s="530" t="s">
        <v>321</v>
      </c>
      <c r="AJ5" s="533" t="s">
        <v>4</v>
      </c>
      <c r="AK5" s="533" t="s">
        <v>27</v>
      </c>
      <c r="AL5" s="533" t="s">
        <v>15</v>
      </c>
      <c r="AM5" s="533" t="s">
        <v>16</v>
      </c>
      <c r="AP5" s="533" t="s">
        <v>1</v>
      </c>
      <c r="AQ5" s="530" t="s">
        <v>797</v>
      </c>
      <c r="AR5" s="533" t="s">
        <v>4</v>
      </c>
      <c r="AS5" s="533" t="s">
        <v>27</v>
      </c>
      <c r="AT5" s="533" t="s">
        <v>15</v>
      </c>
      <c r="AU5" s="533" t="s">
        <v>16</v>
      </c>
      <c r="AX5" s="24" t="s">
        <v>44</v>
      </c>
      <c r="AY5" s="38"/>
      <c r="AZ5" s="38"/>
      <c r="BA5" s="38"/>
      <c r="BB5" s="38"/>
      <c r="BC5" s="38"/>
    </row>
    <row r="6" spans="1:60" ht="13.5" customHeight="1" x14ac:dyDescent="0.3">
      <c r="B6" s="545"/>
      <c r="C6" s="545"/>
      <c r="E6" s="545"/>
      <c r="F6" s="545"/>
      <c r="G6" s="545"/>
      <c r="H6" s="1"/>
      <c r="I6" s="1"/>
      <c r="J6" s="545"/>
      <c r="K6" s="545"/>
      <c r="L6" s="545"/>
      <c r="M6" s="545"/>
      <c r="N6" s="545"/>
      <c r="O6" s="545"/>
      <c r="R6" s="545"/>
      <c r="S6" s="530"/>
      <c r="T6" s="533"/>
      <c r="U6" s="533"/>
      <c r="V6" s="533"/>
      <c r="W6" s="533"/>
      <c r="Z6" s="533"/>
      <c r="AA6" s="530"/>
      <c r="AB6" s="533"/>
      <c r="AC6" s="533"/>
      <c r="AD6" s="533"/>
      <c r="AH6" s="533"/>
      <c r="AI6" s="530"/>
      <c r="AJ6" s="533"/>
      <c r="AK6" s="533"/>
      <c r="AL6" s="533"/>
      <c r="AM6" s="533"/>
      <c r="AP6" s="533"/>
      <c r="AQ6" s="530"/>
      <c r="AR6" s="533"/>
      <c r="AS6" s="533"/>
      <c r="AT6" s="533"/>
      <c r="AU6" s="533"/>
      <c r="AX6" s="24" t="s">
        <v>721</v>
      </c>
      <c r="AY6" s="38"/>
      <c r="AZ6" s="38"/>
      <c r="BA6" s="38"/>
      <c r="BB6" s="38"/>
      <c r="BC6" s="38"/>
    </row>
    <row r="7" spans="1:60" ht="13.5" customHeight="1" x14ac:dyDescent="0.3">
      <c r="B7" s="103">
        <f>P24h_real!Q22</f>
        <v>1969</v>
      </c>
      <c r="C7" s="345">
        <f>P24h_real!S22</f>
        <v>24.746999999999996</v>
      </c>
      <c r="E7" s="103">
        <f>IF(F7="","",1)</f>
        <v>1</v>
      </c>
      <c r="F7" s="115">
        <f>IF(C7="","",LARGE(Datos1,1))</f>
        <v>40.227999999999987</v>
      </c>
      <c r="G7" s="117">
        <f t="shared" ref="G7:G44" si="0">IF(F7="","",(1-(E7/($C$68+1))))</f>
        <v>0.98148148148148151</v>
      </c>
      <c r="H7" s="4"/>
      <c r="I7" s="5"/>
      <c r="J7" s="364">
        <f>E7</f>
        <v>1</v>
      </c>
      <c r="K7" s="364">
        <f t="shared" ref="K7:K38" si="1">IF(F7="","",F7)</f>
        <v>40.227999999999987</v>
      </c>
      <c r="L7" s="117">
        <f>G7</f>
        <v>0.98148148148148151</v>
      </c>
      <c r="M7" s="117">
        <f t="shared" ref="M7:M44" si="2">IF(L7="","",(K7-$K$69)/$K$70)</f>
        <v>2.1668033572441785</v>
      </c>
      <c r="N7" s="117">
        <f>IF(M7="","",_xlfn.NORM.S.DIST(M7,TRUE))</f>
        <v>0.98487507432170462</v>
      </c>
      <c r="O7" s="117">
        <f>IF(N7="","",ABS(N7-L7))</f>
        <v>3.3935928402231141E-3</v>
      </c>
      <c r="R7" s="364">
        <f>E7</f>
        <v>1</v>
      </c>
      <c r="S7" s="117">
        <f t="shared" ref="S7:S38" si="3">IF(F7="","",LOG10(F7))</f>
        <v>1.6045284414562948</v>
      </c>
      <c r="T7" s="117">
        <f>G7</f>
        <v>0.98148148148148151</v>
      </c>
      <c r="U7" s="117">
        <f t="shared" ref="U7:U44" si="4">IF(T7="","",(S7-$S$69)/$S$70)</f>
        <v>1.7467653256879834</v>
      </c>
      <c r="V7" s="117">
        <f>IF(U7="","",_xlfn.NORM.S.DIST(U7,TRUE))</f>
        <v>0.95966097321692156</v>
      </c>
      <c r="W7" s="117">
        <f>IF(V7="","",ABS(V7-T7))</f>
        <v>2.1820508264559946E-2</v>
      </c>
      <c r="Z7" s="103">
        <f>E7</f>
        <v>1</v>
      </c>
      <c r="AA7" s="364">
        <f t="shared" ref="AA7:AA38" si="5">IF(F7="","",F7)</f>
        <v>40.227999999999987</v>
      </c>
      <c r="AB7" s="117">
        <f>G7</f>
        <v>0.98148148148148151</v>
      </c>
      <c r="AC7" s="117">
        <f t="shared" ref="AC7:AC44" si="6">IF(AB7="","",EXP(-1*EXP(-1*$AF$70*(AA7-$AF$71))))</f>
        <v>0.96572832257647023</v>
      </c>
      <c r="AD7" s="117">
        <f>IF(AC7="","",ABS(AC7-AB7))</f>
        <v>1.5753158905011277E-2</v>
      </c>
      <c r="AH7" s="103">
        <f>E7</f>
        <v>1</v>
      </c>
      <c r="AI7" s="364">
        <f t="shared" ref="AI7:AI38" si="7">IF(F7="","",F7)</f>
        <v>40.227999999999987</v>
      </c>
      <c r="AJ7" s="117">
        <f>G7</f>
        <v>0.98148148148148151</v>
      </c>
      <c r="AK7" s="117">
        <f t="shared" ref="AK7:AK44" si="8">IF(AJ7="","",(AI7-$AN$71)/$AN$70)</f>
        <v>27.715672301304142</v>
      </c>
      <c r="AL7" s="117">
        <f>IF(AK7="","",IF(AK7&lt;0,0,_xlfn.GAMMA.DIST(AI7-$AN$71,$AN$69,$AN$70,TRUE)))</f>
        <v>0.97483197587589254</v>
      </c>
      <c r="AM7" s="117">
        <f>IF(AJ7="","",ABS(AL7-AJ7))</f>
        <v>6.6495056055889679E-3</v>
      </c>
      <c r="AP7" s="103">
        <f>E7</f>
        <v>1</v>
      </c>
      <c r="AQ7" s="117">
        <f t="shared" ref="AQ7:AQ38" si="9">IF(F7="","",LOG10(F7))</f>
        <v>1.6045284414562948</v>
      </c>
      <c r="AR7" s="117">
        <f>G7</f>
        <v>0.98148148148148151</v>
      </c>
      <c r="AS7" s="117">
        <f t="shared" ref="AS7:AS44" si="10">IF(AR7="","",(AQ7-$AV$71)/$AV$70)</f>
        <v>3932.0905816006175</v>
      </c>
      <c r="AT7" s="117">
        <f>IF(AS7="","",IF(AS7&lt;0,0,_xlfn.GAMMA.DIST(AQ7-$AV$71,$AV$69,$AV$70,TRUE)))</f>
        <v>0.95871472119972634</v>
      </c>
      <c r="AU7" s="117">
        <f>IF(AT7="","",ABS(AT7-AR7))</f>
        <v>2.2766760281755172E-2</v>
      </c>
      <c r="AX7" s="24" t="s">
        <v>722</v>
      </c>
      <c r="AY7" s="38"/>
      <c r="AZ7" s="38"/>
      <c r="BA7" s="38"/>
      <c r="BB7" s="38"/>
      <c r="BC7" s="38"/>
    </row>
    <row r="8" spans="1:60" ht="13.5" customHeight="1" x14ac:dyDescent="0.3">
      <c r="B8" s="103">
        <f>P24h_real!Q23</f>
        <v>1970</v>
      </c>
      <c r="C8" s="345">
        <f>P24h_real!S23</f>
        <v>26.216000000000001</v>
      </c>
      <c r="E8" s="103">
        <f>IF(F8="","",E7+1)</f>
        <v>2</v>
      </c>
      <c r="F8" s="115">
        <f>IF(C8="","",LARGE(Datos1,2))</f>
        <v>39.549999999999997</v>
      </c>
      <c r="G8" s="117">
        <f t="shared" si="0"/>
        <v>0.96296296296296302</v>
      </c>
      <c r="H8" s="4"/>
      <c r="I8" s="5"/>
      <c r="J8" s="364">
        <f t="shared" ref="J8:J31" si="11">E8</f>
        <v>2</v>
      </c>
      <c r="K8" s="364">
        <f t="shared" si="1"/>
        <v>39.549999999999997</v>
      </c>
      <c r="L8" s="117">
        <f t="shared" ref="L8:L31" si="12">G8</f>
        <v>0.96296296296296302</v>
      </c>
      <c r="M8" s="117">
        <f t="shared" si="2"/>
        <v>2.0847841371985125</v>
      </c>
      <c r="N8" s="117">
        <f t="shared" ref="N8:N31" si="13">IF(M8="","",_xlfn.NORM.S.DIST(M8,TRUE))</f>
        <v>0.98145555037375198</v>
      </c>
      <c r="O8" s="117">
        <f t="shared" ref="O8:O31" si="14">IF(N8="","",ABS(N8-L8))</f>
        <v>1.8492587410788963E-2</v>
      </c>
      <c r="R8" s="364">
        <f t="shared" ref="R8:R31" si="15">E8</f>
        <v>2</v>
      </c>
      <c r="S8" s="117">
        <f t="shared" si="3"/>
        <v>1.5971464878336954</v>
      </c>
      <c r="T8" s="117">
        <f t="shared" ref="T8:T31" si="16">G8</f>
        <v>0.96296296296296302</v>
      </c>
      <c r="U8" s="117">
        <f t="shared" si="4"/>
        <v>1.7016170885011892</v>
      </c>
      <c r="V8" s="117">
        <f t="shared" ref="V8:V31" si="17">IF(U8="","",_xlfn.NORM.S.DIST(U8,TRUE))</f>
        <v>0.95558641400270528</v>
      </c>
      <c r="W8" s="117">
        <f t="shared" ref="W8:W31" si="18">IF(V8="","",ABS(V8-T8))</f>
        <v>7.376548960257745E-3</v>
      </c>
      <c r="Z8" s="103">
        <f t="shared" ref="Z8:Z31" si="19">E8</f>
        <v>2</v>
      </c>
      <c r="AA8" s="364">
        <f t="shared" si="5"/>
        <v>39.549999999999997</v>
      </c>
      <c r="AB8" s="117">
        <f t="shared" ref="AB8:AB31" si="20">G8</f>
        <v>0.96296296296296302</v>
      </c>
      <c r="AC8" s="117">
        <f t="shared" si="6"/>
        <v>0.96199997824071015</v>
      </c>
      <c r="AD8" s="117">
        <f t="shared" ref="AD8:AD31" si="21">IF(AC8="","",ABS(AC8-AB8))</f>
        <v>9.6298472225286869E-4</v>
      </c>
      <c r="AH8" s="103">
        <f t="shared" ref="AH8:AH44" si="22">E8</f>
        <v>2</v>
      </c>
      <c r="AI8" s="364">
        <f t="shared" si="7"/>
        <v>39.549999999999997</v>
      </c>
      <c r="AJ8" s="117">
        <f t="shared" ref="AJ8:AJ44" si="23">G8</f>
        <v>0.96296296296296302</v>
      </c>
      <c r="AK8" s="117">
        <f t="shared" si="8"/>
        <v>27.363687860381432</v>
      </c>
      <c r="AL8" s="117">
        <f t="shared" ref="AL8:AL66" si="24">IF(AK8="","",IF(AK8&lt;0,0,_xlfn.GAMMA.DIST(AI8-$AN$71,$AN$69,$AN$70,TRUE)))</f>
        <v>0.97090008001762595</v>
      </c>
      <c r="AM8" s="117">
        <f t="shared" ref="AM8:AM31" si="25">IF(AJ8="","",ABS(AL8-AJ8))</f>
        <v>7.9371170546629344E-3</v>
      </c>
      <c r="AP8" s="103">
        <f t="shared" ref="AP8:AP31" si="26">E8</f>
        <v>2</v>
      </c>
      <c r="AQ8" s="117">
        <f t="shared" si="9"/>
        <v>1.5971464878336954</v>
      </c>
      <c r="AR8" s="117">
        <f t="shared" ref="AR8:AR31" si="27">G8</f>
        <v>0.96296296296296302</v>
      </c>
      <c r="AS8" s="117">
        <f t="shared" si="10"/>
        <v>3929.2986560033505</v>
      </c>
      <c r="AT8" s="117">
        <f t="shared" ref="AT8:AT66" si="28">IF(AS8="","",IF(AS8&lt;0,0,_xlfn.GAMMA.DIST(AQ8-$AV$71,$AV$69,$AV$70,TRUE)))</f>
        <v>0.95464204502697469</v>
      </c>
      <c r="AU8" s="117">
        <f t="shared" ref="AU8:AU31" si="29">IF(AT8="","",ABS(AT8-AR8))</f>
        <v>8.3209179359883256E-3</v>
      </c>
      <c r="AX8" s="24"/>
      <c r="AY8" s="38"/>
      <c r="AZ8" s="38"/>
      <c r="BA8" s="38"/>
      <c r="BB8" s="38"/>
      <c r="BC8" s="38"/>
    </row>
    <row r="9" spans="1:60" ht="13.5" customHeight="1" x14ac:dyDescent="0.3">
      <c r="B9" s="103">
        <f>P24h_real!Q24</f>
        <v>1971</v>
      </c>
      <c r="C9" s="345">
        <f>P24h_real!S24</f>
        <v>28.249999999999996</v>
      </c>
      <c r="E9" s="103">
        <f t="shared" ref="E9:E66" si="30">IF(F9="","",E8+1)</f>
        <v>3</v>
      </c>
      <c r="F9" s="115">
        <f>IF(C9="","",LARGE(Datos1,3))</f>
        <v>37.742000000000004</v>
      </c>
      <c r="G9" s="117">
        <f t="shared" si="0"/>
        <v>0.94444444444444442</v>
      </c>
      <c r="H9" s="4"/>
      <c r="I9" s="5"/>
      <c r="J9" s="364">
        <f t="shared" si="11"/>
        <v>3</v>
      </c>
      <c r="K9" s="364">
        <f t="shared" si="1"/>
        <v>37.742000000000004</v>
      </c>
      <c r="L9" s="117">
        <f t="shared" si="12"/>
        <v>0.94444444444444442</v>
      </c>
      <c r="M9" s="117">
        <f t="shared" si="2"/>
        <v>1.8660662170767348</v>
      </c>
      <c r="N9" s="117">
        <f t="shared" si="13"/>
        <v>0.96898394911928798</v>
      </c>
      <c r="O9" s="117">
        <f t="shared" si="14"/>
        <v>2.453950467484356E-2</v>
      </c>
      <c r="R9" s="364">
        <f t="shared" si="15"/>
        <v>3</v>
      </c>
      <c r="S9" s="117">
        <f t="shared" si="3"/>
        <v>1.5768249102949843</v>
      </c>
      <c r="T9" s="117">
        <f t="shared" si="16"/>
        <v>0.94444444444444442</v>
      </c>
      <c r="U9" s="117">
        <f t="shared" si="4"/>
        <v>1.5773297453893695</v>
      </c>
      <c r="V9" s="117">
        <f t="shared" si="17"/>
        <v>0.94264016425320496</v>
      </c>
      <c r="W9" s="117">
        <f t="shared" si="18"/>
        <v>1.8042801912394602E-3</v>
      </c>
      <c r="Z9" s="103">
        <f t="shared" si="19"/>
        <v>3</v>
      </c>
      <c r="AA9" s="364">
        <f t="shared" si="5"/>
        <v>37.742000000000004</v>
      </c>
      <c r="AB9" s="117">
        <f t="shared" si="20"/>
        <v>0.94444444444444442</v>
      </c>
      <c r="AC9" s="117">
        <f t="shared" si="6"/>
        <v>0.95000778012339537</v>
      </c>
      <c r="AD9" s="117">
        <f t="shared" si="21"/>
        <v>5.5633356789509536E-3</v>
      </c>
      <c r="AH9" s="103">
        <f t="shared" si="22"/>
        <v>3</v>
      </c>
      <c r="AI9" s="364">
        <f t="shared" si="7"/>
        <v>37.742000000000004</v>
      </c>
      <c r="AJ9" s="117">
        <f t="shared" si="23"/>
        <v>0.94444444444444442</v>
      </c>
      <c r="AK9" s="117">
        <f t="shared" si="8"/>
        <v>26.42506268458753</v>
      </c>
      <c r="AL9" s="117">
        <f t="shared" si="24"/>
        <v>0.95763178379460623</v>
      </c>
      <c r="AM9" s="117">
        <f t="shared" si="25"/>
        <v>1.3187339350161809E-2</v>
      </c>
      <c r="AP9" s="103">
        <f t="shared" si="26"/>
        <v>3</v>
      </c>
      <c r="AQ9" s="117">
        <f t="shared" si="9"/>
        <v>1.5768249102949843</v>
      </c>
      <c r="AR9" s="117">
        <f t="shared" si="27"/>
        <v>0.94444444444444442</v>
      </c>
      <c r="AS9" s="117">
        <f t="shared" si="10"/>
        <v>3921.6128406477123</v>
      </c>
      <c r="AT9" s="117">
        <f t="shared" si="28"/>
        <v>0.9417335422997114</v>
      </c>
      <c r="AU9" s="117">
        <f>IF(AT9="","",ABS(AT9-AR9))</f>
        <v>2.7109021447330184E-3</v>
      </c>
      <c r="AX9" s="38"/>
      <c r="AY9" s="38"/>
      <c r="AZ9" s="38"/>
      <c r="BA9" s="38"/>
      <c r="BB9" s="38"/>
      <c r="BC9" s="38"/>
    </row>
    <row r="10" spans="1:60" ht="13.5" customHeight="1" x14ac:dyDescent="0.3">
      <c r="B10" s="103">
        <f>P24h_real!Q25</f>
        <v>1972</v>
      </c>
      <c r="C10" s="345">
        <f>P24h_real!S25</f>
        <v>22.260999999999996</v>
      </c>
      <c r="E10" s="103">
        <f t="shared" si="30"/>
        <v>4</v>
      </c>
      <c r="F10" s="115">
        <f>IF(C10="","",LARGE(Datos1,4))</f>
        <v>35.707999999999998</v>
      </c>
      <c r="G10" s="117">
        <f t="shared" si="0"/>
        <v>0.92592592592592593</v>
      </c>
      <c r="H10" s="4"/>
      <c r="I10" s="5"/>
      <c r="J10" s="364">
        <f t="shared" si="11"/>
        <v>4</v>
      </c>
      <c r="K10" s="364">
        <f t="shared" si="1"/>
        <v>35.707999999999998</v>
      </c>
      <c r="L10" s="117">
        <f t="shared" si="12"/>
        <v>0.92592592592592593</v>
      </c>
      <c r="M10" s="117">
        <f t="shared" si="2"/>
        <v>1.6200085569397329</v>
      </c>
      <c r="N10" s="117">
        <f t="shared" si="13"/>
        <v>0.94738478060668951</v>
      </c>
      <c r="O10" s="117">
        <f t="shared" si="14"/>
        <v>2.1458854680763584E-2</v>
      </c>
      <c r="R10" s="364">
        <f t="shared" si="15"/>
        <v>4</v>
      </c>
      <c r="S10" s="117">
        <f t="shared" si="3"/>
        <v>1.5527655261018236</v>
      </c>
      <c r="T10" s="117">
        <f t="shared" si="16"/>
        <v>0.92592592592592593</v>
      </c>
      <c r="U10" s="117">
        <f t="shared" si="4"/>
        <v>1.4301818710386605</v>
      </c>
      <c r="V10" s="117">
        <f t="shared" si="17"/>
        <v>0.9236675863911723</v>
      </c>
      <c r="W10" s="117">
        <f t="shared" si="18"/>
        <v>2.2583395347536284E-3</v>
      </c>
      <c r="Z10" s="103">
        <f t="shared" si="19"/>
        <v>4</v>
      </c>
      <c r="AA10" s="364">
        <f t="shared" si="5"/>
        <v>35.707999999999998</v>
      </c>
      <c r="AB10" s="117">
        <f t="shared" si="20"/>
        <v>0.92592592592592593</v>
      </c>
      <c r="AC10" s="117">
        <f t="shared" si="6"/>
        <v>0.93210120043343636</v>
      </c>
      <c r="AD10" s="117">
        <f t="shared" si="21"/>
        <v>6.1752745075104309E-3</v>
      </c>
      <c r="AH10" s="103">
        <f t="shared" si="22"/>
        <v>4</v>
      </c>
      <c r="AI10" s="364">
        <f t="shared" si="7"/>
        <v>35.707999999999998</v>
      </c>
      <c r="AJ10" s="117">
        <f t="shared" si="23"/>
        <v>0.92592592592592593</v>
      </c>
      <c r="AK10" s="117">
        <f t="shared" si="8"/>
        <v>25.369109361819383</v>
      </c>
      <c r="AL10" s="117">
        <f t="shared" si="24"/>
        <v>0.93667585913553797</v>
      </c>
      <c r="AM10" s="117">
        <f t="shared" si="25"/>
        <v>1.0749933209612039E-2</v>
      </c>
      <c r="AP10" s="103">
        <f t="shared" si="26"/>
        <v>4</v>
      </c>
      <c r="AQ10" s="117">
        <f t="shared" si="9"/>
        <v>1.5527655261018236</v>
      </c>
      <c r="AR10" s="117">
        <f t="shared" si="27"/>
        <v>0.92592592592592593</v>
      </c>
      <c r="AS10" s="117">
        <f t="shared" si="10"/>
        <v>3912.5133509980169</v>
      </c>
      <c r="AT10" s="117">
        <f t="shared" si="28"/>
        <v>0.92287554642950509</v>
      </c>
      <c r="AU10" s="117">
        <f t="shared" si="29"/>
        <v>3.0503794964208408E-3</v>
      </c>
      <c r="AX10" s="38"/>
      <c r="AY10" s="38"/>
      <c r="AZ10" s="38"/>
      <c r="BA10" s="38"/>
      <c r="BB10" s="38"/>
      <c r="BC10" s="38"/>
    </row>
    <row r="11" spans="1:60" ht="13.5" customHeight="1" x14ac:dyDescent="0.3">
      <c r="B11" s="103">
        <f>P24h_real!Q26</f>
        <v>1973</v>
      </c>
      <c r="C11" s="345">
        <f>P24h_real!S26</f>
        <v>31.074999999999996</v>
      </c>
      <c r="E11" s="103">
        <f t="shared" si="30"/>
        <v>5</v>
      </c>
      <c r="F11" s="115">
        <f>IF(C11="","",LARGE(Datos1,5))</f>
        <v>35.481999999999992</v>
      </c>
      <c r="G11" s="117">
        <f t="shared" si="0"/>
        <v>0.90740740740740744</v>
      </c>
      <c r="H11" s="4"/>
      <c r="I11" s="5"/>
      <c r="J11" s="364">
        <f t="shared" si="11"/>
        <v>5</v>
      </c>
      <c r="K11" s="364">
        <f t="shared" si="1"/>
        <v>35.481999999999992</v>
      </c>
      <c r="L11" s="117">
        <f t="shared" si="12"/>
        <v>0.90740740740740744</v>
      </c>
      <c r="M11" s="117">
        <f t="shared" si="2"/>
        <v>1.5926688169245098</v>
      </c>
      <c r="N11" s="117">
        <f t="shared" si="13"/>
        <v>0.944382746737913</v>
      </c>
      <c r="O11" s="117">
        <f t="shared" si="14"/>
        <v>3.6975339330505563E-2</v>
      </c>
      <c r="R11" s="364">
        <f t="shared" si="15"/>
        <v>5</v>
      </c>
      <c r="S11" s="117">
        <f t="shared" si="3"/>
        <v>1.5500080915566345</v>
      </c>
      <c r="T11" s="117">
        <f t="shared" si="16"/>
        <v>0.90740740740740744</v>
      </c>
      <c r="U11" s="117">
        <f t="shared" si="4"/>
        <v>1.4133173233541387</v>
      </c>
      <c r="V11" s="117">
        <f t="shared" si="17"/>
        <v>0.92121877867380075</v>
      </c>
      <c r="W11" s="117">
        <f t="shared" si="18"/>
        <v>1.3811371266393313E-2</v>
      </c>
      <c r="Z11" s="103">
        <f t="shared" si="19"/>
        <v>5</v>
      </c>
      <c r="AA11" s="364">
        <f t="shared" si="5"/>
        <v>35.481999999999992</v>
      </c>
      <c r="AB11" s="117">
        <f t="shared" si="20"/>
        <v>0.90740740740740744</v>
      </c>
      <c r="AC11" s="117">
        <f t="shared" si="6"/>
        <v>0.92976533776468362</v>
      </c>
      <c r="AD11" s="117">
        <f t="shared" si="21"/>
        <v>2.2357930357276179E-2</v>
      </c>
      <c r="AH11" s="103">
        <f t="shared" si="22"/>
        <v>5</v>
      </c>
      <c r="AI11" s="364">
        <f t="shared" si="7"/>
        <v>35.481999999999992</v>
      </c>
      <c r="AJ11" s="117">
        <f t="shared" si="23"/>
        <v>0.90740740740740744</v>
      </c>
      <c r="AK11" s="117">
        <f t="shared" si="8"/>
        <v>25.251781214845142</v>
      </c>
      <c r="AL11" s="117">
        <f t="shared" si="24"/>
        <v>0.93387749249652663</v>
      </c>
      <c r="AM11" s="117">
        <f t="shared" si="25"/>
        <v>2.6470085089119189E-2</v>
      </c>
      <c r="AP11" s="103">
        <f t="shared" si="26"/>
        <v>5</v>
      </c>
      <c r="AQ11" s="117">
        <f t="shared" si="9"/>
        <v>1.5500080915566345</v>
      </c>
      <c r="AR11" s="117">
        <f t="shared" si="27"/>
        <v>0.90740740740740744</v>
      </c>
      <c r="AS11" s="117">
        <f t="shared" si="10"/>
        <v>3911.4704628300478</v>
      </c>
      <c r="AT11" s="117">
        <f t="shared" si="28"/>
        <v>0.92044509368737915</v>
      </c>
      <c r="AU11" s="117">
        <f t="shared" si="29"/>
        <v>1.3037686279971705E-2</v>
      </c>
    </row>
    <row r="12" spans="1:60" ht="13.5" customHeight="1" x14ac:dyDescent="0.3">
      <c r="B12" s="103">
        <f>P24h_real!Q27</f>
        <v>1974</v>
      </c>
      <c r="C12" s="345">
        <f>P24h_real!S27</f>
        <v>39.549999999999997</v>
      </c>
      <c r="E12" s="103">
        <f t="shared" si="30"/>
        <v>6</v>
      </c>
      <c r="F12" s="115">
        <f>IF(C12="","",LARGE(Datos1,6))</f>
        <v>33.108999999999995</v>
      </c>
      <c r="G12" s="117">
        <f t="shared" si="0"/>
        <v>0.88888888888888884</v>
      </c>
      <c r="H12" s="4"/>
      <c r="I12" s="93"/>
      <c r="J12" s="364">
        <f t="shared" si="11"/>
        <v>6</v>
      </c>
      <c r="K12" s="364">
        <f t="shared" si="1"/>
        <v>33.108999999999995</v>
      </c>
      <c r="L12" s="117">
        <f t="shared" si="12"/>
        <v>0.88888888888888884</v>
      </c>
      <c r="M12" s="117">
        <f t="shared" si="2"/>
        <v>1.3056015467646755</v>
      </c>
      <c r="N12" s="117">
        <f t="shared" si="13"/>
        <v>0.90415595296514784</v>
      </c>
      <c r="O12" s="117">
        <f t="shared" si="14"/>
        <v>1.5267064076258996E-2</v>
      </c>
      <c r="R12" s="364">
        <f t="shared" si="15"/>
        <v>6</v>
      </c>
      <c r="S12" s="117">
        <f t="shared" si="3"/>
        <v>1.5199460638375291</v>
      </c>
      <c r="T12" s="117">
        <f t="shared" si="16"/>
        <v>0.88888888888888884</v>
      </c>
      <c r="U12" s="117">
        <f t="shared" si="4"/>
        <v>1.2294571113876185</v>
      </c>
      <c r="V12" s="117">
        <f t="shared" si="17"/>
        <v>0.89054976565751875</v>
      </c>
      <c r="W12" s="117">
        <f t="shared" si="18"/>
        <v>1.6608767686299153E-3</v>
      </c>
      <c r="Z12" s="103">
        <f t="shared" si="19"/>
        <v>6</v>
      </c>
      <c r="AA12" s="364">
        <f t="shared" si="5"/>
        <v>33.108999999999995</v>
      </c>
      <c r="AB12" s="117">
        <f t="shared" si="20"/>
        <v>0.88888888888888884</v>
      </c>
      <c r="AC12" s="117">
        <f t="shared" si="6"/>
        <v>0.90011293796550984</v>
      </c>
      <c r="AD12" s="117">
        <f t="shared" si="21"/>
        <v>1.1224049076621001E-2</v>
      </c>
      <c r="AH12" s="103">
        <f t="shared" si="22"/>
        <v>6</v>
      </c>
      <c r="AI12" s="364">
        <f t="shared" si="7"/>
        <v>33.108999999999995</v>
      </c>
      <c r="AJ12" s="117">
        <f t="shared" si="23"/>
        <v>0.88888888888888884</v>
      </c>
      <c r="AK12" s="117">
        <f t="shared" si="8"/>
        <v>24.019835671615645</v>
      </c>
      <c r="AL12" s="117">
        <f t="shared" si="24"/>
        <v>0.89771327330456629</v>
      </c>
      <c r="AM12" s="117">
        <f t="shared" si="25"/>
        <v>8.8243844156774554E-3</v>
      </c>
      <c r="AP12" s="103">
        <f t="shared" si="26"/>
        <v>6</v>
      </c>
      <c r="AQ12" s="117">
        <f t="shared" si="9"/>
        <v>1.5199460638375291</v>
      </c>
      <c r="AR12" s="117">
        <f t="shared" si="27"/>
        <v>0.88888888888888884</v>
      </c>
      <c r="AS12" s="117">
        <f t="shared" si="10"/>
        <v>3900.1007158788093</v>
      </c>
      <c r="AT12" s="117">
        <f t="shared" si="28"/>
        <v>0.89004810187604821</v>
      </c>
      <c r="AU12" s="117">
        <f t="shared" si="29"/>
        <v>1.1592129871593748E-3</v>
      </c>
      <c r="AY12" s="530" t="s">
        <v>42</v>
      </c>
      <c r="AZ12" s="559" t="s">
        <v>25</v>
      </c>
      <c r="BA12" s="559"/>
      <c r="BB12" s="559"/>
      <c r="BC12" s="559"/>
    </row>
    <row r="13" spans="1:60" ht="13.5" customHeight="1" x14ac:dyDescent="0.3">
      <c r="B13" s="103">
        <f>P24h_real!Q28</f>
        <v>1975</v>
      </c>
      <c r="C13" s="345">
        <f>P24h_real!S28</f>
        <v>37.742000000000004</v>
      </c>
      <c r="E13" s="103">
        <f t="shared" si="30"/>
        <v>7</v>
      </c>
      <c r="F13" s="115">
        <f>IF(C13="","",LARGE(Datos1,7))</f>
        <v>32.317999999999998</v>
      </c>
      <c r="G13" s="117">
        <f t="shared" si="0"/>
        <v>0.87037037037037035</v>
      </c>
      <c r="H13" s="4"/>
      <c r="I13" s="5"/>
      <c r="J13" s="364">
        <f t="shared" si="11"/>
        <v>7</v>
      </c>
      <c r="K13" s="364">
        <f t="shared" si="1"/>
        <v>32.317999999999998</v>
      </c>
      <c r="L13" s="117">
        <f t="shared" si="12"/>
        <v>0.87037037037037035</v>
      </c>
      <c r="M13" s="117">
        <f t="shared" si="2"/>
        <v>1.2099124567113977</v>
      </c>
      <c r="N13" s="117">
        <f t="shared" si="13"/>
        <v>0.88684375659753556</v>
      </c>
      <c r="O13" s="117">
        <f t="shared" si="14"/>
        <v>1.647338622716521E-2</v>
      </c>
      <c r="R13" s="364">
        <f t="shared" si="15"/>
        <v>7</v>
      </c>
      <c r="S13" s="117">
        <f t="shared" si="3"/>
        <v>1.5094444766124626</v>
      </c>
      <c r="T13" s="117">
        <f t="shared" si="16"/>
        <v>0.87037037037037035</v>
      </c>
      <c r="U13" s="117">
        <f t="shared" si="4"/>
        <v>1.1652291068355998</v>
      </c>
      <c r="V13" s="117">
        <f t="shared" si="17"/>
        <v>0.87803686668306802</v>
      </c>
      <c r="W13" s="117">
        <f t="shared" si="18"/>
        <v>7.6664963126976682E-3</v>
      </c>
      <c r="Z13" s="103">
        <f t="shared" si="19"/>
        <v>7</v>
      </c>
      <c r="AA13" s="364">
        <f t="shared" si="5"/>
        <v>32.317999999999998</v>
      </c>
      <c r="AB13" s="117">
        <f t="shared" si="20"/>
        <v>0.87037037037037035</v>
      </c>
      <c r="AC13" s="117">
        <f t="shared" si="6"/>
        <v>0.88782955615517356</v>
      </c>
      <c r="AD13" s="117">
        <f t="shared" si="21"/>
        <v>1.7459185784803211E-2</v>
      </c>
      <c r="AH13" s="103">
        <f t="shared" si="22"/>
        <v>7</v>
      </c>
      <c r="AI13" s="364">
        <f t="shared" si="7"/>
        <v>32.317999999999998</v>
      </c>
      <c r="AJ13" s="117">
        <f t="shared" si="23"/>
        <v>0.87037037037037035</v>
      </c>
      <c r="AK13" s="117">
        <f t="shared" si="8"/>
        <v>23.609187157205813</v>
      </c>
      <c r="AL13" s="117">
        <f t="shared" si="24"/>
        <v>0.882579745118235</v>
      </c>
      <c r="AM13" s="117">
        <f t="shared" si="25"/>
        <v>1.2209374747864654E-2</v>
      </c>
      <c r="AP13" s="103">
        <f t="shared" si="26"/>
        <v>7</v>
      </c>
      <c r="AQ13" s="117">
        <f t="shared" si="9"/>
        <v>1.5094444766124626</v>
      </c>
      <c r="AR13" s="117">
        <f t="shared" si="27"/>
        <v>0.87037037037037035</v>
      </c>
      <c r="AS13" s="117">
        <f t="shared" si="10"/>
        <v>3896.1289149593572</v>
      </c>
      <c r="AT13" s="117">
        <f t="shared" si="28"/>
        <v>0.87766063534161365</v>
      </c>
      <c r="AU13" s="117">
        <f t="shared" si="29"/>
        <v>7.2902649712432988E-3</v>
      </c>
      <c r="AY13" s="530"/>
      <c r="AZ13" s="417" t="s">
        <v>19</v>
      </c>
      <c r="BA13" s="417" t="s">
        <v>20</v>
      </c>
      <c r="BB13" s="417" t="s">
        <v>26</v>
      </c>
      <c r="BC13" s="417" t="s">
        <v>21</v>
      </c>
    </row>
    <row r="14" spans="1:60" ht="13.5" customHeight="1" x14ac:dyDescent="0.3">
      <c r="B14" s="103">
        <f>P24h_real!Q29</f>
        <v>1976</v>
      </c>
      <c r="C14" s="345">
        <f>P24h_real!S29</f>
        <v>32.204999999999998</v>
      </c>
      <c r="E14" s="103">
        <f t="shared" si="30"/>
        <v>8</v>
      </c>
      <c r="F14" s="115">
        <f>IF(C14="","",LARGE(Datos1,8))</f>
        <v>32.204999999999998</v>
      </c>
      <c r="G14" s="117">
        <f t="shared" si="0"/>
        <v>0.85185185185185186</v>
      </c>
      <c r="H14" s="4"/>
      <c r="I14" s="5"/>
      <c r="J14" s="364">
        <f t="shared" si="11"/>
        <v>8</v>
      </c>
      <c r="K14" s="364">
        <f t="shared" si="1"/>
        <v>32.204999999999998</v>
      </c>
      <c r="L14" s="117">
        <f t="shared" si="12"/>
        <v>0.85185185185185186</v>
      </c>
      <c r="M14" s="117">
        <f t="shared" si="2"/>
        <v>1.1962425867037867</v>
      </c>
      <c r="N14" s="117">
        <f t="shared" si="13"/>
        <v>0.88419904683170925</v>
      </c>
      <c r="O14" s="117">
        <f t="shared" si="14"/>
        <v>3.2347194979857385E-2</v>
      </c>
      <c r="R14" s="364">
        <f t="shared" si="15"/>
        <v>8</v>
      </c>
      <c r="S14" s="117">
        <f t="shared" si="3"/>
        <v>1.5079233034919299</v>
      </c>
      <c r="T14" s="117">
        <f t="shared" si="16"/>
        <v>0.85185185185185186</v>
      </c>
      <c r="U14" s="117">
        <f t="shared" si="4"/>
        <v>1.15592556899736</v>
      </c>
      <c r="V14" s="117">
        <f t="shared" si="17"/>
        <v>0.87614419848234393</v>
      </c>
      <c r="W14" s="117">
        <f t="shared" si="18"/>
        <v>2.4292346630492068E-2</v>
      </c>
      <c r="Z14" s="103">
        <f t="shared" si="19"/>
        <v>8</v>
      </c>
      <c r="AA14" s="364">
        <f t="shared" si="5"/>
        <v>32.204999999999998</v>
      </c>
      <c r="AB14" s="117">
        <f t="shared" si="20"/>
        <v>0.85185185185185186</v>
      </c>
      <c r="AC14" s="117">
        <f t="shared" si="6"/>
        <v>0.88596332886402207</v>
      </c>
      <c r="AD14" s="117">
        <f t="shared" si="21"/>
        <v>3.411147701217021E-2</v>
      </c>
      <c r="AH14" s="103">
        <f t="shared" si="22"/>
        <v>8</v>
      </c>
      <c r="AI14" s="364">
        <f t="shared" si="7"/>
        <v>32.204999999999998</v>
      </c>
      <c r="AJ14" s="117">
        <f t="shared" si="23"/>
        <v>0.85185185185185186</v>
      </c>
      <c r="AK14" s="117">
        <f t="shared" si="8"/>
        <v>23.550523083718694</v>
      </c>
      <c r="AL14" s="117">
        <f t="shared" si="24"/>
        <v>0.88027975501154754</v>
      </c>
      <c r="AM14" s="117">
        <f t="shared" si="25"/>
        <v>2.8427903159695678E-2</v>
      </c>
      <c r="AP14" s="103">
        <f t="shared" si="26"/>
        <v>8</v>
      </c>
      <c r="AQ14" s="117">
        <f t="shared" si="9"/>
        <v>1.5079233034919299</v>
      </c>
      <c r="AR14" s="117">
        <f t="shared" si="27"/>
        <v>0.85185185185185186</v>
      </c>
      <c r="AS14" s="117">
        <f t="shared" si="10"/>
        <v>3895.5535927086062</v>
      </c>
      <c r="AT14" s="117">
        <f t="shared" si="28"/>
        <v>0.87578737280613383</v>
      </c>
      <c r="AU14" s="117">
        <f t="shared" si="29"/>
        <v>2.3935520954281975E-2</v>
      </c>
      <c r="AY14" s="428" t="s">
        <v>22</v>
      </c>
      <c r="AZ14" s="42">
        <f>K72</f>
        <v>0.10603285186826472</v>
      </c>
      <c r="BA14" s="42">
        <f>K74</f>
        <v>0.18681036697021708</v>
      </c>
      <c r="BB14" s="43" t="str">
        <f>IF(AZ14&lt;=BA14,"SI","NO")</f>
        <v>SI</v>
      </c>
      <c r="BC14" s="103">
        <f>VLOOKUP(BF14,BG14:BH18,2)</f>
        <v>4</v>
      </c>
      <c r="BF14" s="102">
        <f>IF(AZ14="-",100,AZ14)</f>
        <v>0.10603285186826472</v>
      </c>
      <c r="BG14" s="102">
        <f>SMALL(OrdenAjuste_1,1)</f>
        <v>8.6889059972384608E-2</v>
      </c>
      <c r="BH14" s="36">
        <v>1</v>
      </c>
    </row>
    <row r="15" spans="1:60" ht="13.5" customHeight="1" x14ac:dyDescent="0.3">
      <c r="B15" s="103">
        <f>P24h_real!Q30</f>
        <v>1977</v>
      </c>
      <c r="C15" s="345">
        <f>P24h_real!S30</f>
        <v>17.062999999999999</v>
      </c>
      <c r="E15" s="103">
        <f t="shared" si="30"/>
        <v>9</v>
      </c>
      <c r="F15" s="115">
        <f>IF(C15="","",LARGE(Datos1,9))</f>
        <v>31.753</v>
      </c>
      <c r="G15" s="117">
        <f t="shared" si="0"/>
        <v>0.83333333333333337</v>
      </c>
      <c r="H15" s="4"/>
      <c r="I15" s="5"/>
      <c r="J15" s="364">
        <f t="shared" si="11"/>
        <v>9</v>
      </c>
      <c r="K15" s="364">
        <f t="shared" si="1"/>
        <v>31.753</v>
      </c>
      <c r="L15" s="117">
        <f t="shared" si="12"/>
        <v>0.83333333333333337</v>
      </c>
      <c r="M15" s="117">
        <f t="shared" si="2"/>
        <v>1.141563106673342</v>
      </c>
      <c r="N15" s="117">
        <f t="shared" si="13"/>
        <v>0.87318216666716386</v>
      </c>
      <c r="O15" s="117">
        <f t="shared" si="14"/>
        <v>3.9848833333830491E-2</v>
      </c>
      <c r="R15" s="364">
        <f t="shared" si="15"/>
        <v>9</v>
      </c>
      <c r="S15" s="117">
        <f t="shared" si="3"/>
        <v>1.5017847633884995</v>
      </c>
      <c r="T15" s="117">
        <f t="shared" si="16"/>
        <v>0.83333333333333337</v>
      </c>
      <c r="U15" s="117">
        <f t="shared" si="4"/>
        <v>1.1183820840692156</v>
      </c>
      <c r="V15" s="117">
        <f t="shared" si="17"/>
        <v>0.86829807861731345</v>
      </c>
      <c r="W15" s="117">
        <f t="shared" si="18"/>
        <v>3.4964745283980081E-2</v>
      </c>
      <c r="Z15" s="103">
        <f t="shared" si="19"/>
        <v>9</v>
      </c>
      <c r="AA15" s="364">
        <f t="shared" si="5"/>
        <v>31.753</v>
      </c>
      <c r="AB15" s="117">
        <f t="shared" si="20"/>
        <v>0.83333333333333337</v>
      </c>
      <c r="AC15" s="117">
        <f t="shared" si="6"/>
        <v>0.8782048409713985</v>
      </c>
      <c r="AD15" s="117">
        <f t="shared" si="21"/>
        <v>4.4871507638065133E-2</v>
      </c>
      <c r="AH15" s="103">
        <f t="shared" si="22"/>
        <v>9</v>
      </c>
      <c r="AI15" s="364">
        <f t="shared" si="7"/>
        <v>31.753</v>
      </c>
      <c r="AJ15" s="117">
        <f t="shared" si="23"/>
        <v>0.83333333333333337</v>
      </c>
      <c r="AK15" s="117">
        <f t="shared" si="8"/>
        <v>23.315866789770219</v>
      </c>
      <c r="AL15" s="117">
        <f t="shared" si="24"/>
        <v>0.87072282884372887</v>
      </c>
      <c r="AM15" s="117">
        <f t="shared" si="25"/>
        <v>3.7389495510395498E-2</v>
      </c>
      <c r="AP15" s="103">
        <f t="shared" si="26"/>
        <v>9</v>
      </c>
      <c r="AQ15" s="117">
        <f t="shared" si="9"/>
        <v>1.5017847633884995</v>
      </c>
      <c r="AR15" s="117">
        <f t="shared" si="27"/>
        <v>0.83333333333333337</v>
      </c>
      <c r="AS15" s="117">
        <f t="shared" si="10"/>
        <v>3893.2319380192362</v>
      </c>
      <c r="AT15" s="117">
        <f t="shared" si="28"/>
        <v>0.86802261270671588</v>
      </c>
      <c r="AU15" s="117">
        <f t="shared" si="29"/>
        <v>3.4689279373382509E-2</v>
      </c>
      <c r="AY15" s="428" t="s">
        <v>799</v>
      </c>
      <c r="AZ15" s="42">
        <f>S72</f>
        <v>0.10216129419759312</v>
      </c>
      <c r="BA15" s="42">
        <f>$BA$14</f>
        <v>0.18681036697021708</v>
      </c>
      <c r="BB15" s="43" t="str">
        <f t="shared" ref="BB15:BB16" si="31">IF(AZ15&lt;=BA15,"SI","NO")</f>
        <v>SI</v>
      </c>
      <c r="BC15" s="103">
        <f>VLOOKUP(BF15,BG14:BH18,2)</f>
        <v>2</v>
      </c>
      <c r="BF15" s="102">
        <f t="shared" ref="BF15:BF18" si="32">IF(AZ15="-",100,AZ15)</f>
        <v>0.10216129419759312</v>
      </c>
      <c r="BG15" s="102">
        <f>SMALL(OrdenAjuste_1,2)</f>
        <v>0.10216129419759312</v>
      </c>
      <c r="BH15" s="36">
        <v>2</v>
      </c>
    </row>
    <row r="16" spans="1:60" ht="13.5" customHeight="1" x14ac:dyDescent="0.3">
      <c r="B16" s="103">
        <f>P24h_real!Q31</f>
        <v>1978</v>
      </c>
      <c r="C16" s="345">
        <f>P24h_real!S31</f>
        <v>30.509999999999998</v>
      </c>
      <c r="E16" s="103">
        <f t="shared" si="30"/>
        <v>10</v>
      </c>
      <c r="F16" s="115">
        <f>IF(C16="","",LARGE(Datos1,10))</f>
        <v>31.074999999999996</v>
      </c>
      <c r="G16" s="117">
        <f t="shared" si="0"/>
        <v>0.81481481481481488</v>
      </c>
      <c r="H16" s="4"/>
      <c r="I16" s="5"/>
      <c r="J16" s="364">
        <f t="shared" si="11"/>
        <v>10</v>
      </c>
      <c r="K16" s="364">
        <f t="shared" si="1"/>
        <v>31.074999999999996</v>
      </c>
      <c r="L16" s="117">
        <f t="shared" si="12"/>
        <v>0.81481481481481488</v>
      </c>
      <c r="M16" s="117">
        <f t="shared" si="2"/>
        <v>1.0595438866276745</v>
      </c>
      <c r="N16" s="117">
        <f t="shared" si="13"/>
        <v>0.8553239233134815</v>
      </c>
      <c r="O16" s="117">
        <f t="shared" si="14"/>
        <v>4.0509108498666624E-2</v>
      </c>
      <c r="R16" s="364">
        <f t="shared" si="15"/>
        <v>10</v>
      </c>
      <c r="S16" s="117">
        <f t="shared" si="3"/>
        <v>1.4924111373136824</v>
      </c>
      <c r="T16" s="117">
        <f t="shared" si="16"/>
        <v>0.81481481481481488</v>
      </c>
      <c r="U16" s="117">
        <f t="shared" si="4"/>
        <v>1.061052721821456</v>
      </c>
      <c r="V16" s="117">
        <f t="shared" si="17"/>
        <v>0.85566702898120706</v>
      </c>
      <c r="W16" s="117">
        <f t="shared" si="18"/>
        <v>4.0852214166392176E-2</v>
      </c>
      <c r="Z16" s="103">
        <f t="shared" si="19"/>
        <v>10</v>
      </c>
      <c r="AA16" s="364">
        <f t="shared" si="5"/>
        <v>31.074999999999996</v>
      </c>
      <c r="AB16" s="117">
        <f t="shared" si="20"/>
        <v>0.81481481481481488</v>
      </c>
      <c r="AC16" s="117">
        <f t="shared" si="6"/>
        <v>0.86564416086419738</v>
      </c>
      <c r="AD16" s="117">
        <f t="shared" si="21"/>
        <v>5.0829346049382496E-2</v>
      </c>
      <c r="AH16" s="103">
        <f t="shared" si="22"/>
        <v>10</v>
      </c>
      <c r="AI16" s="364">
        <f t="shared" si="7"/>
        <v>31.074999999999996</v>
      </c>
      <c r="AJ16" s="117">
        <f t="shared" si="23"/>
        <v>0.81481481481481488</v>
      </c>
      <c r="AK16" s="117">
        <f t="shared" si="8"/>
        <v>22.963882348847502</v>
      </c>
      <c r="AL16" s="117">
        <f t="shared" si="24"/>
        <v>0.85528635929103036</v>
      </c>
      <c r="AM16" s="117">
        <f t="shared" si="25"/>
        <v>4.0471544476215482E-2</v>
      </c>
      <c r="AP16" s="103">
        <f t="shared" si="26"/>
        <v>10</v>
      </c>
      <c r="AQ16" s="117">
        <f t="shared" si="9"/>
        <v>1.4924111373136824</v>
      </c>
      <c r="AR16" s="117">
        <f t="shared" si="27"/>
        <v>0.81481481481481488</v>
      </c>
      <c r="AS16" s="117">
        <f t="shared" si="10"/>
        <v>3889.6867428154387</v>
      </c>
      <c r="AT16" s="117">
        <f t="shared" si="28"/>
        <v>0.85552477005791472</v>
      </c>
      <c r="AU16" s="117">
        <f t="shared" si="29"/>
        <v>4.0709955243099838E-2</v>
      </c>
      <c r="AY16" s="428" t="s">
        <v>800</v>
      </c>
      <c r="AZ16" s="42">
        <f>AA72</f>
        <v>0.11125806705299346</v>
      </c>
      <c r="BA16" s="42">
        <f t="shared" ref="BA16" si="33">$BA$14</f>
        <v>0.18681036697021708</v>
      </c>
      <c r="BB16" s="43" t="str">
        <f t="shared" si="31"/>
        <v>SI</v>
      </c>
      <c r="BC16" s="103">
        <f>VLOOKUP(BF16,BG14:BH18,2)</f>
        <v>5</v>
      </c>
      <c r="BF16" s="102">
        <f t="shared" si="32"/>
        <v>0.11125806705299346</v>
      </c>
      <c r="BG16" s="102">
        <f>SMALL(OrdenAjuste_1,3)</f>
        <v>0.10273685641022234</v>
      </c>
      <c r="BH16" s="36">
        <v>3</v>
      </c>
    </row>
    <row r="17" spans="2:60" ht="13.5" customHeight="1" x14ac:dyDescent="0.3">
      <c r="B17" s="103">
        <f>P24h_real!Q32</f>
        <v>1979</v>
      </c>
      <c r="C17" s="345">
        <f>P24h_real!S32</f>
        <v>26.102999999999998</v>
      </c>
      <c r="E17" s="103">
        <f t="shared" si="30"/>
        <v>11</v>
      </c>
      <c r="F17" s="115">
        <f>IF(C17="","",LARGE(Datos1,11))</f>
        <v>30.735999999999997</v>
      </c>
      <c r="G17" s="117">
        <f t="shared" si="0"/>
        <v>0.79629629629629628</v>
      </c>
      <c r="H17" s="4"/>
      <c r="I17" s="5"/>
      <c r="J17" s="364">
        <f t="shared" si="11"/>
        <v>11</v>
      </c>
      <c r="K17" s="364">
        <f t="shared" si="1"/>
        <v>30.735999999999997</v>
      </c>
      <c r="L17" s="117">
        <f t="shared" si="12"/>
        <v>0.79629629629629628</v>
      </c>
      <c r="M17" s="117">
        <f t="shared" si="2"/>
        <v>1.0185342766048413</v>
      </c>
      <c r="N17" s="117">
        <f t="shared" si="13"/>
        <v>0.84578793995747137</v>
      </c>
      <c r="O17" s="117">
        <f t="shared" si="14"/>
        <v>4.9491643661175089E-2</v>
      </c>
      <c r="R17" s="364">
        <f t="shared" si="15"/>
        <v>11</v>
      </c>
      <c r="S17" s="117">
        <f t="shared" si="3"/>
        <v>1.4876473475176184</v>
      </c>
      <c r="T17" s="117">
        <f t="shared" si="16"/>
        <v>0.79629629629629628</v>
      </c>
      <c r="U17" s="117">
        <f t="shared" si="4"/>
        <v>1.0319172486640145</v>
      </c>
      <c r="V17" s="117">
        <f t="shared" si="17"/>
        <v>0.8489445575519976</v>
      </c>
      <c r="W17" s="117">
        <f t="shared" si="18"/>
        <v>5.2648261255701323E-2</v>
      </c>
      <c r="Z17" s="103">
        <f t="shared" si="19"/>
        <v>11</v>
      </c>
      <c r="AA17" s="364">
        <f t="shared" si="5"/>
        <v>30.735999999999997</v>
      </c>
      <c r="AB17" s="117">
        <f t="shared" si="20"/>
        <v>0.79629629629629628</v>
      </c>
      <c r="AC17" s="117">
        <f t="shared" si="6"/>
        <v>0.85892565518881758</v>
      </c>
      <c r="AD17" s="117">
        <f t="shared" si="21"/>
        <v>6.2629358892521303E-2</v>
      </c>
      <c r="AH17" s="103">
        <f t="shared" si="22"/>
        <v>11</v>
      </c>
      <c r="AI17" s="364">
        <f t="shared" si="7"/>
        <v>30.735999999999997</v>
      </c>
      <c r="AJ17" s="117">
        <f t="shared" si="23"/>
        <v>0.79629629629629628</v>
      </c>
      <c r="AK17" s="117">
        <f t="shared" si="8"/>
        <v>22.787890128386145</v>
      </c>
      <c r="AL17" s="117">
        <f t="shared" si="24"/>
        <v>0.84705775355148583</v>
      </c>
      <c r="AM17" s="117">
        <f t="shared" si="25"/>
        <v>5.0761457255189546E-2</v>
      </c>
      <c r="AP17" s="103">
        <f t="shared" si="26"/>
        <v>11</v>
      </c>
      <c r="AQ17" s="117">
        <f t="shared" si="9"/>
        <v>1.4876473475176184</v>
      </c>
      <c r="AR17" s="117">
        <f t="shared" si="27"/>
        <v>0.79629629629629628</v>
      </c>
      <c r="AS17" s="117">
        <f t="shared" si="10"/>
        <v>3887.8850318657906</v>
      </c>
      <c r="AT17" s="117">
        <f t="shared" si="28"/>
        <v>0.84887385676246851</v>
      </c>
      <c r="AU17" s="117">
        <f t="shared" si="29"/>
        <v>5.2577560466172235E-2</v>
      </c>
      <c r="AY17" s="428" t="s">
        <v>23</v>
      </c>
      <c r="AZ17" s="42">
        <f>AI72</f>
        <v>8.6889059972384608E-2</v>
      </c>
      <c r="BA17" s="42">
        <f>IF(AZ17="-","-",$BA$14)</f>
        <v>0.18681036697021708</v>
      </c>
      <c r="BB17" s="43" t="str">
        <f>IF(AM91=FALSE,"NO",IF(AZ17&lt;=BA17,"SI","NO"))</f>
        <v>SI</v>
      </c>
      <c r="BC17" s="103">
        <f>VLOOKUP(BF17,BG14:BH18,2)</f>
        <v>1</v>
      </c>
      <c r="BF17" s="102">
        <f t="shared" si="32"/>
        <v>8.6889059972384608E-2</v>
      </c>
      <c r="BG17" s="102">
        <f>SMALL(OrdenAjuste_1,4)</f>
        <v>0.10603285186826472</v>
      </c>
      <c r="BH17" s="36">
        <v>4</v>
      </c>
    </row>
    <row r="18" spans="2:60" ht="13.5" customHeight="1" x14ac:dyDescent="0.3">
      <c r="B18" s="103">
        <f>P24h_real!Q33</f>
        <v>1980</v>
      </c>
      <c r="C18" s="345">
        <f>P24h_real!S33</f>
        <v>28.475999999999996</v>
      </c>
      <c r="E18" s="103">
        <f t="shared" si="30"/>
        <v>12</v>
      </c>
      <c r="F18" s="115">
        <f>IF(C18="","",LARGE(Datos1,12))</f>
        <v>30.509999999999998</v>
      </c>
      <c r="G18" s="117">
        <f t="shared" si="0"/>
        <v>0.77777777777777779</v>
      </c>
      <c r="H18" s="4"/>
      <c r="I18" s="5"/>
      <c r="J18" s="364">
        <f t="shared" si="11"/>
        <v>12</v>
      </c>
      <c r="K18" s="364">
        <f t="shared" si="1"/>
        <v>30.509999999999998</v>
      </c>
      <c r="L18" s="117">
        <f t="shared" si="12"/>
        <v>0.77777777777777779</v>
      </c>
      <c r="M18" s="117">
        <f t="shared" si="2"/>
        <v>0.99119453658961898</v>
      </c>
      <c r="N18" s="117">
        <f t="shared" si="13"/>
        <v>0.83920470108530743</v>
      </c>
      <c r="O18" s="117">
        <f t="shared" si="14"/>
        <v>6.1426923307529635E-2</v>
      </c>
      <c r="R18" s="364">
        <f t="shared" si="15"/>
        <v>12</v>
      </c>
      <c r="S18" s="117">
        <f t="shared" si="3"/>
        <v>1.4844422076424071</v>
      </c>
      <c r="T18" s="117">
        <f t="shared" si="16"/>
        <v>0.77777777777777779</v>
      </c>
      <c r="U18" s="117">
        <f t="shared" si="4"/>
        <v>1.0123145225157653</v>
      </c>
      <c r="V18" s="117">
        <f t="shared" si="17"/>
        <v>0.84430615334289316</v>
      </c>
      <c r="W18" s="117">
        <f t="shared" si="18"/>
        <v>6.6528375565115372E-2</v>
      </c>
      <c r="Z18" s="103">
        <f t="shared" si="19"/>
        <v>12</v>
      </c>
      <c r="AA18" s="364">
        <f t="shared" si="5"/>
        <v>30.509999999999998</v>
      </c>
      <c r="AB18" s="117">
        <f t="shared" si="20"/>
        <v>0.77777777777777779</v>
      </c>
      <c r="AC18" s="117">
        <f t="shared" si="6"/>
        <v>0.85427710590962369</v>
      </c>
      <c r="AD18" s="117">
        <f t="shared" si="21"/>
        <v>7.6499328131845901E-2</v>
      </c>
      <c r="AH18" s="103">
        <f t="shared" si="22"/>
        <v>12</v>
      </c>
      <c r="AI18" s="364">
        <f t="shared" si="7"/>
        <v>30.509999999999998</v>
      </c>
      <c r="AJ18" s="117">
        <f t="shared" si="23"/>
        <v>0.77777777777777779</v>
      </c>
      <c r="AK18" s="117">
        <f t="shared" si="8"/>
        <v>22.670561981411907</v>
      </c>
      <c r="AL18" s="117">
        <f t="shared" si="24"/>
        <v>0.84137877181020626</v>
      </c>
      <c r="AM18" s="117">
        <f t="shared" si="25"/>
        <v>6.3600994032428471E-2</v>
      </c>
      <c r="AP18" s="103">
        <f t="shared" si="26"/>
        <v>12</v>
      </c>
      <c r="AQ18" s="117">
        <f t="shared" si="9"/>
        <v>1.4844422076424071</v>
      </c>
      <c r="AR18" s="117">
        <f t="shared" si="27"/>
        <v>0.77777777777777779</v>
      </c>
      <c r="AS18" s="117">
        <f t="shared" si="10"/>
        <v>3886.6728172518938</v>
      </c>
      <c r="AT18" s="117">
        <f t="shared" si="28"/>
        <v>0.84428495338634035</v>
      </c>
      <c r="AU18" s="117">
        <f t="shared" si="29"/>
        <v>6.6507175608562563E-2</v>
      </c>
      <c r="AY18" s="428" t="s">
        <v>24</v>
      </c>
      <c r="AZ18" s="42">
        <f>AQ72</f>
        <v>0.10273685641022234</v>
      </c>
      <c r="BA18" s="42">
        <f>IF(AZ18="-","-",$BA$14)</f>
        <v>0.18681036697021708</v>
      </c>
      <c r="BB18" s="43" t="str">
        <f>IF(AU91=FALSE,"NO",IF(AZ18&lt;=BA18,"SI","NO"))</f>
        <v>SI</v>
      </c>
      <c r="BC18" s="103">
        <f>VLOOKUP(BF18,BG14:BH18,2)</f>
        <v>3</v>
      </c>
      <c r="BF18" s="102">
        <f t="shared" si="32"/>
        <v>0.10273685641022234</v>
      </c>
      <c r="BG18" s="102">
        <f>SMALL(OrdenAjuste_1,5)</f>
        <v>0.11125806705299346</v>
      </c>
      <c r="BH18" s="36">
        <v>5</v>
      </c>
    </row>
    <row r="19" spans="2:60" ht="13.5" customHeight="1" x14ac:dyDescent="0.3">
      <c r="B19" s="103">
        <f>P24h_real!Q34</f>
        <v>1981</v>
      </c>
      <c r="C19" s="345">
        <f>P24h_real!S34</f>
        <v>35.481999999999992</v>
      </c>
      <c r="E19" s="103">
        <f t="shared" si="30"/>
        <v>13</v>
      </c>
      <c r="F19" s="115">
        <f>IF(C19="","",LARGE(Datos1,13))</f>
        <v>29.606000000000002</v>
      </c>
      <c r="G19" s="117">
        <f t="shared" si="0"/>
        <v>0.7592592592592593</v>
      </c>
      <c r="H19" s="4"/>
      <c r="I19" s="5"/>
      <c r="J19" s="364">
        <f t="shared" si="11"/>
        <v>13</v>
      </c>
      <c r="K19" s="364">
        <f t="shared" si="1"/>
        <v>29.606000000000002</v>
      </c>
      <c r="L19" s="117">
        <f t="shared" si="12"/>
        <v>0.7592592592592593</v>
      </c>
      <c r="M19" s="117">
        <f t="shared" si="2"/>
        <v>0.88183557652873001</v>
      </c>
      <c r="N19" s="117">
        <f t="shared" si="13"/>
        <v>0.81106713515108186</v>
      </c>
      <c r="O19" s="117">
        <f t="shared" si="14"/>
        <v>5.1807875891822563E-2</v>
      </c>
      <c r="R19" s="364">
        <f t="shared" si="15"/>
        <v>13</v>
      </c>
      <c r="S19" s="117">
        <f t="shared" si="3"/>
        <v>1.4713797348031652</v>
      </c>
      <c r="T19" s="117">
        <f t="shared" si="16"/>
        <v>0.7592592592592593</v>
      </c>
      <c r="U19" s="117">
        <f t="shared" si="4"/>
        <v>0.93242406910155395</v>
      </c>
      <c r="V19" s="117">
        <f t="shared" si="17"/>
        <v>0.82444129464373883</v>
      </c>
      <c r="W19" s="117">
        <f t="shared" si="18"/>
        <v>6.5182035384479531E-2</v>
      </c>
      <c r="Z19" s="103">
        <f t="shared" si="19"/>
        <v>13</v>
      </c>
      <c r="AA19" s="364">
        <f t="shared" si="5"/>
        <v>29.606000000000002</v>
      </c>
      <c r="AB19" s="117">
        <f t="shared" si="20"/>
        <v>0.7592592592592593</v>
      </c>
      <c r="AC19" s="117">
        <f t="shared" si="6"/>
        <v>0.83425718676817451</v>
      </c>
      <c r="AD19" s="117">
        <f t="shared" si="21"/>
        <v>7.4997927508915208E-2</v>
      </c>
      <c r="AH19" s="103">
        <f t="shared" si="22"/>
        <v>13</v>
      </c>
      <c r="AI19" s="364">
        <f t="shared" si="7"/>
        <v>29.606000000000002</v>
      </c>
      <c r="AJ19" s="117">
        <f t="shared" si="23"/>
        <v>0.7592592592592593</v>
      </c>
      <c r="AK19" s="117">
        <f t="shared" si="8"/>
        <v>22.201249393514956</v>
      </c>
      <c r="AL19" s="117">
        <f t="shared" si="24"/>
        <v>0.81708332573833475</v>
      </c>
      <c r="AM19" s="117">
        <f t="shared" si="25"/>
        <v>5.7824066479075453E-2</v>
      </c>
      <c r="AP19" s="103">
        <f t="shared" si="26"/>
        <v>13</v>
      </c>
      <c r="AQ19" s="117">
        <f t="shared" si="9"/>
        <v>1.4713797348031652</v>
      </c>
      <c r="AR19" s="117">
        <f t="shared" si="27"/>
        <v>0.7592592592592593</v>
      </c>
      <c r="AS19" s="117">
        <f t="shared" si="10"/>
        <v>3881.732464853601</v>
      </c>
      <c r="AT19" s="117">
        <f t="shared" si="28"/>
        <v>0.82463184806368361</v>
      </c>
      <c r="AU19" s="117">
        <f t="shared" si="29"/>
        <v>6.5372588804424314E-2</v>
      </c>
    </row>
    <row r="20" spans="2:60" ht="13.5" customHeight="1" x14ac:dyDescent="0.3">
      <c r="B20" s="103">
        <f>P24h_real!Q35</f>
        <v>1982</v>
      </c>
      <c r="C20" s="345">
        <f>P24h_real!S35</f>
        <v>13.898999999999999</v>
      </c>
      <c r="E20" s="103">
        <f t="shared" si="30"/>
        <v>14</v>
      </c>
      <c r="F20" s="115">
        <f>IF(C20="","",LARGE(Datos1,14))</f>
        <v>28.814999999999998</v>
      </c>
      <c r="G20" s="117">
        <f t="shared" si="0"/>
        <v>0.7407407407407407</v>
      </c>
      <c r="H20" s="4"/>
      <c r="I20" s="5"/>
      <c r="J20" s="364">
        <f t="shared" si="11"/>
        <v>14</v>
      </c>
      <c r="K20" s="364">
        <f t="shared" si="1"/>
        <v>28.814999999999998</v>
      </c>
      <c r="L20" s="117">
        <f t="shared" si="12"/>
        <v>0.7407407407407407</v>
      </c>
      <c r="M20" s="117">
        <f t="shared" si="2"/>
        <v>0.78614648647545138</v>
      </c>
      <c r="N20" s="117">
        <f t="shared" si="13"/>
        <v>0.78410916360343685</v>
      </c>
      <c r="O20" s="117">
        <f t="shared" si="14"/>
        <v>4.3368422862696154E-2</v>
      </c>
      <c r="R20" s="364">
        <f t="shared" si="15"/>
        <v>14</v>
      </c>
      <c r="S20" s="117">
        <f t="shared" si="3"/>
        <v>1.459618623917375</v>
      </c>
      <c r="T20" s="117">
        <f t="shared" si="16"/>
        <v>0.7407407407407407</v>
      </c>
      <c r="U20" s="117">
        <f t="shared" si="4"/>
        <v>0.86049278220939063</v>
      </c>
      <c r="V20" s="117">
        <f t="shared" si="17"/>
        <v>0.80524126973582899</v>
      </c>
      <c r="W20" s="117">
        <f t="shared" si="18"/>
        <v>6.4500528995088291E-2</v>
      </c>
      <c r="Z20" s="103">
        <f t="shared" si="19"/>
        <v>14</v>
      </c>
      <c r="AA20" s="364">
        <f t="shared" si="5"/>
        <v>28.814999999999998</v>
      </c>
      <c r="AB20" s="117">
        <f t="shared" si="20"/>
        <v>0.7407407407407407</v>
      </c>
      <c r="AC20" s="117">
        <f t="shared" si="6"/>
        <v>0.81474959219136434</v>
      </c>
      <c r="AD20" s="117">
        <f t="shared" si="21"/>
        <v>7.4008851450623636E-2</v>
      </c>
      <c r="AH20" s="103">
        <f t="shared" si="22"/>
        <v>14</v>
      </c>
      <c r="AI20" s="364">
        <f t="shared" si="7"/>
        <v>28.814999999999998</v>
      </c>
      <c r="AJ20" s="117">
        <f t="shared" si="23"/>
        <v>0.7407407407407407</v>
      </c>
      <c r="AK20" s="117">
        <f t="shared" si="8"/>
        <v>21.790600879105121</v>
      </c>
      <c r="AL20" s="117">
        <f t="shared" si="24"/>
        <v>0.79370755137206073</v>
      </c>
      <c r="AM20" s="117">
        <f t="shared" si="25"/>
        <v>5.2966810631320027E-2</v>
      </c>
      <c r="AP20" s="103">
        <f t="shared" si="26"/>
        <v>14</v>
      </c>
      <c r="AQ20" s="117">
        <f t="shared" si="9"/>
        <v>1.459618623917375</v>
      </c>
      <c r="AR20" s="117">
        <f t="shared" si="27"/>
        <v>0.7407407407407407</v>
      </c>
      <c r="AS20" s="117">
        <f t="shared" si="10"/>
        <v>3877.2843000163407</v>
      </c>
      <c r="AT20" s="117">
        <f t="shared" si="28"/>
        <v>0.80563361049953475</v>
      </c>
      <c r="AU20" s="117">
        <f t="shared" si="29"/>
        <v>6.4892869758794047E-2</v>
      </c>
      <c r="AY20" s="432" t="s">
        <v>868</v>
      </c>
      <c r="AZ20" t="s">
        <v>583</v>
      </c>
    </row>
    <row r="21" spans="2:60" ht="13.5" customHeight="1" x14ac:dyDescent="0.3">
      <c r="B21" s="103">
        <f>P24h_real!Q36</f>
        <v>1983</v>
      </c>
      <c r="C21" s="345">
        <f>P24h_real!S36</f>
        <v>17.288999999999998</v>
      </c>
      <c r="E21" s="103">
        <f t="shared" si="30"/>
        <v>15</v>
      </c>
      <c r="F21" s="115">
        <f>IF(C21="","",LARGE(Datos1,15))</f>
        <v>28.475999999999996</v>
      </c>
      <c r="G21" s="117">
        <f t="shared" si="0"/>
        <v>0.72222222222222221</v>
      </c>
      <c r="H21" s="4"/>
      <c r="I21" s="5"/>
      <c r="J21" s="364">
        <f t="shared" si="11"/>
        <v>15</v>
      </c>
      <c r="K21" s="364">
        <f t="shared" si="1"/>
        <v>28.475999999999996</v>
      </c>
      <c r="L21" s="117">
        <f t="shared" si="12"/>
        <v>0.72222222222222221</v>
      </c>
      <c r="M21" s="117">
        <f t="shared" si="2"/>
        <v>0.7451368764526175</v>
      </c>
      <c r="N21" s="117">
        <f t="shared" si="13"/>
        <v>0.77190551091480841</v>
      </c>
      <c r="O21" s="117">
        <f t="shared" si="14"/>
        <v>4.9683288692586203E-2</v>
      </c>
      <c r="R21" s="364">
        <f t="shared" si="15"/>
        <v>15</v>
      </c>
      <c r="S21" s="117">
        <f t="shared" si="3"/>
        <v>1.4544789842649637</v>
      </c>
      <c r="T21" s="117">
        <f t="shared" si="16"/>
        <v>0.72222222222222221</v>
      </c>
      <c r="U21" s="117">
        <f t="shared" si="4"/>
        <v>0.82905860069796511</v>
      </c>
      <c r="V21" s="117">
        <f t="shared" si="17"/>
        <v>0.7964643758248553</v>
      </c>
      <c r="W21" s="117">
        <f t="shared" si="18"/>
        <v>7.4242153602633087E-2</v>
      </c>
      <c r="Z21" s="103">
        <f t="shared" si="19"/>
        <v>15</v>
      </c>
      <c r="AA21" s="364">
        <f t="shared" si="5"/>
        <v>28.475999999999996</v>
      </c>
      <c r="AB21" s="117">
        <f t="shared" si="20"/>
        <v>0.72222222222222221</v>
      </c>
      <c r="AC21" s="117">
        <f t="shared" si="6"/>
        <v>0.8057851014562728</v>
      </c>
      <c r="AD21" s="117">
        <f t="shared" si="21"/>
        <v>8.3562879234050591E-2</v>
      </c>
      <c r="AH21" s="103">
        <f t="shared" si="22"/>
        <v>15</v>
      </c>
      <c r="AI21" s="364">
        <f t="shared" si="7"/>
        <v>28.475999999999996</v>
      </c>
      <c r="AJ21" s="117">
        <f t="shared" si="23"/>
        <v>0.72222222222222221</v>
      </c>
      <c r="AK21" s="117">
        <f t="shared" si="8"/>
        <v>21.61460865864376</v>
      </c>
      <c r="AL21" s="117">
        <f t="shared" si="24"/>
        <v>0.78307570642115942</v>
      </c>
      <c r="AM21" s="117">
        <f t="shared" si="25"/>
        <v>6.0853484198937213E-2</v>
      </c>
      <c r="AP21" s="103">
        <f t="shared" si="26"/>
        <v>15</v>
      </c>
      <c r="AQ21" s="117">
        <f t="shared" si="9"/>
        <v>1.4544789842649637</v>
      </c>
      <c r="AR21" s="117">
        <f t="shared" si="27"/>
        <v>0.72222222222222221</v>
      </c>
      <c r="AS21" s="117">
        <f t="shared" si="10"/>
        <v>3875.3404390494597</v>
      </c>
      <c r="AT21" s="117">
        <f t="shared" si="28"/>
        <v>0.7969472802537847</v>
      </c>
      <c r="AU21" s="117">
        <f t="shared" si="29"/>
        <v>7.4725058031562486E-2</v>
      </c>
      <c r="AX21" s="30" t="s">
        <v>60</v>
      </c>
    </row>
    <row r="22" spans="2:60" ht="13.5" customHeight="1" x14ac:dyDescent="0.3">
      <c r="B22" s="103">
        <f>P24h_real!Q37</f>
        <v>1984</v>
      </c>
      <c r="C22" s="345">
        <f>P24h_real!S37</f>
        <v>18.870999999999999</v>
      </c>
      <c r="E22" s="103">
        <f t="shared" si="30"/>
        <v>16</v>
      </c>
      <c r="F22" s="115">
        <f>IF(C22="","",LARGE(Datos1,16))</f>
        <v>28.249999999999996</v>
      </c>
      <c r="G22" s="117">
        <f t="shared" si="0"/>
        <v>0.70370370370370372</v>
      </c>
      <c r="H22" s="4"/>
      <c r="I22" s="5"/>
      <c r="J22" s="364">
        <f t="shared" si="11"/>
        <v>16</v>
      </c>
      <c r="K22" s="364">
        <f t="shared" si="1"/>
        <v>28.249999999999996</v>
      </c>
      <c r="L22" s="117">
        <f t="shared" si="12"/>
        <v>0.70370370370370372</v>
      </c>
      <c r="M22" s="117">
        <f t="shared" si="2"/>
        <v>0.71779713643739529</v>
      </c>
      <c r="N22" s="117">
        <f t="shared" si="13"/>
        <v>0.76355881036371809</v>
      </c>
      <c r="O22" s="117">
        <f t="shared" si="14"/>
        <v>5.9855106660014368E-2</v>
      </c>
      <c r="R22" s="364">
        <f t="shared" si="15"/>
        <v>16</v>
      </c>
      <c r="S22" s="117">
        <f t="shared" si="3"/>
        <v>1.4510184521554572</v>
      </c>
      <c r="T22" s="117">
        <f t="shared" si="16"/>
        <v>0.70370370370370372</v>
      </c>
      <c r="U22" s="117">
        <f t="shared" si="4"/>
        <v>0.80789388841987586</v>
      </c>
      <c r="V22" s="117">
        <f t="shared" si="17"/>
        <v>0.79042416507399849</v>
      </c>
      <c r="W22" s="117">
        <f t="shared" si="18"/>
        <v>8.6720461370294766E-2</v>
      </c>
      <c r="Z22" s="103">
        <f t="shared" si="19"/>
        <v>16</v>
      </c>
      <c r="AA22" s="364">
        <f t="shared" si="5"/>
        <v>28.249999999999996</v>
      </c>
      <c r="AB22" s="117">
        <f t="shared" si="20"/>
        <v>0.70370370370370372</v>
      </c>
      <c r="AC22" s="117">
        <f t="shared" si="6"/>
        <v>0.79959975022440755</v>
      </c>
      <c r="AD22" s="117">
        <f t="shared" si="21"/>
        <v>9.5896046520703826E-2</v>
      </c>
      <c r="AH22" s="103">
        <f t="shared" si="22"/>
        <v>16</v>
      </c>
      <c r="AI22" s="364">
        <f t="shared" si="7"/>
        <v>28.249999999999996</v>
      </c>
      <c r="AJ22" s="117">
        <f t="shared" si="23"/>
        <v>0.70370370370370372</v>
      </c>
      <c r="AK22" s="117">
        <f t="shared" si="8"/>
        <v>21.497280511669523</v>
      </c>
      <c r="AL22" s="117">
        <f t="shared" si="24"/>
        <v>0.77578246532907458</v>
      </c>
      <c r="AM22" s="117">
        <f t="shared" si="25"/>
        <v>7.2078761625370857E-2</v>
      </c>
      <c r="AP22" s="103">
        <f t="shared" si="26"/>
        <v>16</v>
      </c>
      <c r="AQ22" s="117">
        <f t="shared" si="9"/>
        <v>1.4510184521554572</v>
      </c>
      <c r="AR22" s="117">
        <f t="shared" si="27"/>
        <v>0.70370370370370372</v>
      </c>
      <c r="AS22" s="117">
        <f t="shared" si="10"/>
        <v>3874.0316326452685</v>
      </c>
      <c r="AT22" s="117">
        <f t="shared" si="28"/>
        <v>0.7909686260389126</v>
      </c>
      <c r="AU22" s="117">
        <f t="shared" si="29"/>
        <v>8.7264922335208883E-2</v>
      </c>
    </row>
    <row r="23" spans="2:60" ht="13.5" customHeight="1" x14ac:dyDescent="0.3">
      <c r="B23" s="103">
        <f>P24h_real!Q38</f>
        <v>1985</v>
      </c>
      <c r="C23" s="345">
        <f>P24h_real!S38</f>
        <v>11.299999999999999</v>
      </c>
      <c r="E23" s="103">
        <f t="shared" si="30"/>
        <v>17</v>
      </c>
      <c r="F23" s="115">
        <f>IF(C23="","",LARGE(Datos1,17))</f>
        <v>28.136999999999997</v>
      </c>
      <c r="G23" s="117">
        <f t="shared" si="0"/>
        <v>0.68518518518518512</v>
      </c>
      <c r="H23" s="4"/>
      <c r="I23" s="5"/>
      <c r="J23" s="364">
        <f t="shared" si="11"/>
        <v>17</v>
      </c>
      <c r="K23" s="364">
        <f t="shared" si="1"/>
        <v>28.136999999999997</v>
      </c>
      <c r="L23" s="117">
        <f t="shared" si="12"/>
        <v>0.68518518518518512</v>
      </c>
      <c r="M23" s="117">
        <f t="shared" si="2"/>
        <v>0.70412726642978418</v>
      </c>
      <c r="N23" s="117">
        <f t="shared" si="13"/>
        <v>0.75932323943170998</v>
      </c>
      <c r="O23" s="117">
        <f t="shared" si="14"/>
        <v>7.4138054246524865E-2</v>
      </c>
      <c r="R23" s="364">
        <f t="shared" si="15"/>
        <v>17</v>
      </c>
      <c r="S23" s="117">
        <f t="shared" si="3"/>
        <v>1.4492777905791561</v>
      </c>
      <c r="T23" s="117">
        <f t="shared" si="16"/>
        <v>0.68518518518518512</v>
      </c>
      <c r="U23" s="117">
        <f t="shared" si="4"/>
        <v>0.79724795297696127</v>
      </c>
      <c r="V23" s="117">
        <f t="shared" si="17"/>
        <v>0.78734647938277824</v>
      </c>
      <c r="W23" s="117">
        <f t="shared" si="18"/>
        <v>0.10216129419759312</v>
      </c>
      <c r="Z23" s="103">
        <f t="shared" si="19"/>
        <v>17</v>
      </c>
      <c r="AA23" s="364">
        <f t="shared" si="5"/>
        <v>28.136999999999997</v>
      </c>
      <c r="AB23" s="117">
        <f t="shared" si="20"/>
        <v>0.68518518518518512</v>
      </c>
      <c r="AC23" s="117">
        <f t="shared" si="6"/>
        <v>0.79644325223817858</v>
      </c>
      <c r="AD23" s="117">
        <f t="shared" si="21"/>
        <v>0.11125806705299346</v>
      </c>
      <c r="AH23" s="103">
        <f t="shared" si="22"/>
        <v>17</v>
      </c>
      <c r="AI23" s="364">
        <f t="shared" si="7"/>
        <v>28.136999999999997</v>
      </c>
      <c r="AJ23" s="117">
        <f t="shared" si="23"/>
        <v>0.68518518518518512</v>
      </c>
      <c r="AK23" s="117">
        <f t="shared" si="8"/>
        <v>21.438616438182404</v>
      </c>
      <c r="AL23" s="117">
        <f t="shared" si="24"/>
        <v>0.77207424515756973</v>
      </c>
      <c r="AM23" s="117">
        <f t="shared" si="25"/>
        <v>8.6889059972384608E-2</v>
      </c>
      <c r="AP23" s="103">
        <f t="shared" si="26"/>
        <v>17</v>
      </c>
      <c r="AQ23" s="117">
        <f t="shared" si="9"/>
        <v>1.4492777905791561</v>
      </c>
      <c r="AR23" s="117">
        <f t="shared" si="27"/>
        <v>0.68518518518518512</v>
      </c>
      <c r="AS23" s="117">
        <f t="shared" si="10"/>
        <v>3873.373297757309</v>
      </c>
      <c r="AT23" s="117">
        <f t="shared" si="28"/>
        <v>0.78792204159540746</v>
      </c>
      <c r="AU23" s="117">
        <f t="shared" si="29"/>
        <v>0.10273685641022234</v>
      </c>
      <c r="AX23" s="31" t="s">
        <v>723</v>
      </c>
      <c r="AY23" s="77"/>
    </row>
    <row r="24" spans="2:60" ht="13.5" customHeight="1" x14ac:dyDescent="0.3">
      <c r="B24" s="103">
        <f>P24h_real!Q39</f>
        <v>1986</v>
      </c>
      <c r="C24" s="345">
        <f>P24h_real!S39</f>
        <v>14.011999999999997</v>
      </c>
      <c r="E24" s="103">
        <f t="shared" si="30"/>
        <v>18</v>
      </c>
      <c r="F24" s="115">
        <f>IF(C24="","",LARGE(Datos1,18))</f>
        <v>26.216000000000001</v>
      </c>
      <c r="G24" s="117">
        <f t="shared" si="0"/>
        <v>0.66666666666666674</v>
      </c>
      <c r="H24" s="4"/>
      <c r="I24" s="5"/>
      <c r="J24" s="364">
        <f t="shared" si="11"/>
        <v>18</v>
      </c>
      <c r="K24" s="364">
        <f t="shared" si="1"/>
        <v>26.216000000000001</v>
      </c>
      <c r="L24" s="117">
        <f t="shared" si="12"/>
        <v>0.66666666666666674</v>
      </c>
      <c r="M24" s="117">
        <f t="shared" si="2"/>
        <v>0.47173947630039476</v>
      </c>
      <c r="N24" s="117">
        <f t="shared" si="13"/>
        <v>0.6814436219527652</v>
      </c>
      <c r="O24" s="117">
        <f t="shared" si="14"/>
        <v>1.4776955286098459E-2</v>
      </c>
      <c r="R24" s="364">
        <f t="shared" si="15"/>
        <v>18</v>
      </c>
      <c r="S24" s="117">
        <f t="shared" si="3"/>
        <v>1.4185664283743193</v>
      </c>
      <c r="T24" s="117">
        <f t="shared" si="16"/>
        <v>0.66666666666666674</v>
      </c>
      <c r="U24" s="117">
        <f t="shared" si="4"/>
        <v>0.60941639292643135</v>
      </c>
      <c r="V24" s="117">
        <f t="shared" si="17"/>
        <v>0.728875762586364</v>
      </c>
      <c r="W24" s="117">
        <f t="shared" si="18"/>
        <v>6.2209095919697255E-2</v>
      </c>
      <c r="Z24" s="103">
        <f t="shared" si="19"/>
        <v>18</v>
      </c>
      <c r="AA24" s="364">
        <f t="shared" si="5"/>
        <v>26.216000000000001</v>
      </c>
      <c r="AB24" s="117">
        <f t="shared" si="20"/>
        <v>0.66666666666666674</v>
      </c>
      <c r="AC24" s="117">
        <f t="shared" si="6"/>
        <v>0.7359267702736384</v>
      </c>
      <c r="AD24" s="117">
        <f t="shared" si="21"/>
        <v>6.9260103606971657E-2</v>
      </c>
      <c r="AH24" s="103">
        <f t="shared" si="22"/>
        <v>18</v>
      </c>
      <c r="AI24" s="364">
        <f t="shared" si="7"/>
        <v>26.216000000000001</v>
      </c>
      <c r="AJ24" s="117">
        <f t="shared" si="23"/>
        <v>0.66666666666666674</v>
      </c>
      <c r="AK24" s="117">
        <f t="shared" si="8"/>
        <v>20.441327188901386</v>
      </c>
      <c r="AL24" s="117">
        <f t="shared" si="24"/>
        <v>0.70283510394465676</v>
      </c>
      <c r="AM24" s="117">
        <f t="shared" si="25"/>
        <v>3.6168437277990018E-2</v>
      </c>
      <c r="AP24" s="103">
        <f t="shared" si="26"/>
        <v>18</v>
      </c>
      <c r="AQ24" s="117">
        <f t="shared" si="9"/>
        <v>1.4185664283743193</v>
      </c>
      <c r="AR24" s="117">
        <f t="shared" si="27"/>
        <v>0.66666666666666674</v>
      </c>
      <c r="AS24" s="117">
        <f t="shared" si="10"/>
        <v>3861.7579662813523</v>
      </c>
      <c r="AT24" s="117">
        <f t="shared" si="28"/>
        <v>0.72999962960720455</v>
      </c>
      <c r="AU24" s="117">
        <f t="shared" si="29"/>
        <v>6.3332962940537807E-2</v>
      </c>
      <c r="AX24" s="31" t="s">
        <v>724</v>
      </c>
      <c r="AY24" s="77"/>
    </row>
    <row r="25" spans="2:60" ht="13.5" customHeight="1" x14ac:dyDescent="0.3">
      <c r="B25" s="103">
        <f>P24h_real!Q40</f>
        <v>1987</v>
      </c>
      <c r="C25" s="345">
        <f>P24h_real!S40</f>
        <v>12.090999999999998</v>
      </c>
      <c r="E25" s="103">
        <f t="shared" si="30"/>
        <v>19</v>
      </c>
      <c r="F25" s="115">
        <f>IF(C25="","",LARGE(Datos1,19))</f>
        <v>26.102999999999998</v>
      </c>
      <c r="G25" s="117">
        <f t="shared" si="0"/>
        <v>0.64814814814814814</v>
      </c>
      <c r="H25" s="4"/>
      <c r="I25" s="5"/>
      <c r="J25" s="364">
        <f t="shared" si="11"/>
        <v>19</v>
      </c>
      <c r="K25" s="364">
        <f t="shared" si="1"/>
        <v>26.102999999999998</v>
      </c>
      <c r="L25" s="117">
        <f t="shared" si="12"/>
        <v>0.64814814814814814</v>
      </c>
      <c r="M25" s="117">
        <f t="shared" si="2"/>
        <v>0.4580696062927832</v>
      </c>
      <c r="N25" s="117">
        <f t="shared" si="13"/>
        <v>0.67654878293329734</v>
      </c>
      <c r="O25" s="117">
        <f t="shared" si="14"/>
        <v>2.8400634785149204E-2</v>
      </c>
      <c r="R25" s="364">
        <f t="shared" si="15"/>
        <v>19</v>
      </c>
      <c r="S25" s="117">
        <f t="shared" si="3"/>
        <v>1.4166904233755639</v>
      </c>
      <c r="T25" s="117">
        <f t="shared" si="16"/>
        <v>0.64814814814814814</v>
      </c>
      <c r="U25" s="117">
        <f t="shared" si="4"/>
        <v>0.59794269328300342</v>
      </c>
      <c r="V25" s="117">
        <f t="shared" si="17"/>
        <v>0.72506091423299224</v>
      </c>
      <c r="W25" s="117">
        <f t="shared" si="18"/>
        <v>7.6912766084844097E-2</v>
      </c>
      <c r="Z25" s="103">
        <f t="shared" si="19"/>
        <v>19</v>
      </c>
      <c r="AA25" s="364">
        <f t="shared" si="5"/>
        <v>26.102999999999998</v>
      </c>
      <c r="AB25" s="117">
        <f t="shared" si="20"/>
        <v>0.64814814814814814</v>
      </c>
      <c r="AC25" s="117">
        <f t="shared" si="6"/>
        <v>0.73194662537966992</v>
      </c>
      <c r="AD25" s="117">
        <f t="shared" si="21"/>
        <v>8.3798477231521784E-2</v>
      </c>
      <c r="AH25" s="103">
        <f t="shared" si="22"/>
        <v>19</v>
      </c>
      <c r="AI25" s="364">
        <f t="shared" si="7"/>
        <v>26.102999999999998</v>
      </c>
      <c r="AJ25" s="117">
        <f t="shared" si="23"/>
        <v>0.64814814814814814</v>
      </c>
      <c r="AK25" s="117">
        <f t="shared" si="8"/>
        <v>20.382663115414267</v>
      </c>
      <c r="AL25" s="117">
        <f t="shared" si="24"/>
        <v>0.69840676178649252</v>
      </c>
      <c r="AM25" s="117">
        <f t="shared" si="25"/>
        <v>5.0258613638344385E-2</v>
      </c>
      <c r="AP25" s="103">
        <f t="shared" si="26"/>
        <v>19</v>
      </c>
      <c r="AQ25" s="117">
        <f t="shared" si="9"/>
        <v>1.4166904233755639</v>
      </c>
      <c r="AR25" s="117">
        <f t="shared" si="27"/>
        <v>0.64814814814814814</v>
      </c>
      <c r="AS25" s="117">
        <f t="shared" si="10"/>
        <v>3861.0484432140993</v>
      </c>
      <c r="AT25" s="117">
        <f t="shared" si="28"/>
        <v>0.72621729369796983</v>
      </c>
      <c r="AU25" s="117">
        <f t="shared" si="29"/>
        <v>7.8069145549821695E-2</v>
      </c>
      <c r="AX25" s="31" t="s">
        <v>731</v>
      </c>
      <c r="AY25" s="77"/>
    </row>
    <row r="26" spans="2:60" ht="13.5" customHeight="1" x14ac:dyDescent="0.3">
      <c r="B26" s="103">
        <f>P24h_real!Q41</f>
        <v>1988</v>
      </c>
      <c r="C26" s="345">
        <f>P24h_real!S41</f>
        <v>15.254999999999999</v>
      </c>
      <c r="E26" s="103">
        <f t="shared" si="30"/>
        <v>20</v>
      </c>
      <c r="F26" s="115">
        <f>IF(C26="","",LARGE(Datos1,20))</f>
        <v>24.746999999999996</v>
      </c>
      <c r="G26" s="117">
        <f t="shared" si="0"/>
        <v>0.62962962962962965</v>
      </c>
      <c r="H26" s="4"/>
      <c r="I26" s="5"/>
      <c r="J26" s="364">
        <f t="shared" si="11"/>
        <v>20</v>
      </c>
      <c r="K26" s="364">
        <f t="shared" si="1"/>
        <v>24.746999999999996</v>
      </c>
      <c r="L26" s="117">
        <f t="shared" si="12"/>
        <v>0.62962962962962965</v>
      </c>
      <c r="M26" s="117">
        <f t="shared" si="2"/>
        <v>0.29403116620144892</v>
      </c>
      <c r="N26" s="117">
        <f t="shared" si="13"/>
        <v>0.61563295586956601</v>
      </c>
      <c r="O26" s="117">
        <f t="shared" si="14"/>
        <v>1.3996673760063638E-2</v>
      </c>
      <c r="R26" s="364">
        <f t="shared" si="15"/>
        <v>20</v>
      </c>
      <c r="S26" s="117">
        <f t="shared" si="3"/>
        <v>1.393522558323538</v>
      </c>
      <c r="T26" s="117">
        <f t="shared" si="16"/>
        <v>0.62962962962962965</v>
      </c>
      <c r="U26" s="117">
        <f t="shared" si="4"/>
        <v>0.45624737522000836</v>
      </c>
      <c r="V26" s="117">
        <f t="shared" si="17"/>
        <v>0.67589394923478652</v>
      </c>
      <c r="W26" s="117">
        <f t="shared" si="18"/>
        <v>4.6264319605156867E-2</v>
      </c>
      <c r="Z26" s="103">
        <f t="shared" si="19"/>
        <v>20</v>
      </c>
      <c r="AA26" s="364">
        <f t="shared" si="5"/>
        <v>24.746999999999996</v>
      </c>
      <c r="AB26" s="117">
        <f t="shared" si="20"/>
        <v>0.62962962962962965</v>
      </c>
      <c r="AC26" s="117">
        <f t="shared" si="6"/>
        <v>0.68037413987726636</v>
      </c>
      <c r="AD26" s="117">
        <f t="shared" si="21"/>
        <v>5.0744510247636709E-2</v>
      </c>
      <c r="AH26" s="103">
        <f t="shared" si="22"/>
        <v>20</v>
      </c>
      <c r="AI26" s="364">
        <f t="shared" si="7"/>
        <v>24.746999999999996</v>
      </c>
      <c r="AJ26" s="117">
        <f t="shared" si="23"/>
        <v>0.62962962962962965</v>
      </c>
      <c r="AK26" s="117">
        <f t="shared" si="8"/>
        <v>19.678694233568834</v>
      </c>
      <c r="AL26" s="117">
        <f t="shared" si="24"/>
        <v>0.642411650995381</v>
      </c>
      <c r="AM26" s="117">
        <f t="shared" si="25"/>
        <v>1.278202136575135E-2</v>
      </c>
      <c r="AP26" s="103">
        <f t="shared" si="26"/>
        <v>20</v>
      </c>
      <c r="AQ26" s="117">
        <f t="shared" si="9"/>
        <v>1.393522558323538</v>
      </c>
      <c r="AR26" s="117">
        <f t="shared" si="27"/>
        <v>0.62962962962962965</v>
      </c>
      <c r="AS26" s="117">
        <f t="shared" si="10"/>
        <v>3852.2861346465179</v>
      </c>
      <c r="AT26" s="117">
        <f t="shared" si="28"/>
        <v>0.67742747874048548</v>
      </c>
      <c r="AU26" s="117">
        <f t="shared" si="29"/>
        <v>4.7797849110855828E-2</v>
      </c>
      <c r="AW26" s="27" t="s">
        <v>59</v>
      </c>
      <c r="AY26" s="30" t="s">
        <v>902</v>
      </c>
      <c r="AZ26" s="557" t="str">
        <f>IF(BC14=1,"Normal",IF(BC15=1,"Log Normal",IF(BC16=1,"Gumbel",IF(BC17=1,"Pearson III",IF(BC18=1,"Log Pearson III","")))))</f>
        <v>Pearson III</v>
      </c>
      <c r="BA26" s="557"/>
    </row>
    <row r="27" spans="2:60" ht="13.5" customHeight="1" x14ac:dyDescent="0.3">
      <c r="B27" s="103">
        <f>P24h_real!Q42</f>
        <v>1989</v>
      </c>
      <c r="C27" s="345">
        <f>P24h_real!S42</f>
        <v>11.186999999999999</v>
      </c>
      <c r="E27" s="103">
        <f t="shared" si="30"/>
        <v>21</v>
      </c>
      <c r="F27" s="115">
        <f>IF(C27="","",LARGE(Datos1,21))</f>
        <v>23.616999999999997</v>
      </c>
      <c r="G27" s="117">
        <f t="shared" si="0"/>
        <v>0.61111111111111116</v>
      </c>
      <c r="H27" s="4"/>
      <c r="I27" s="5"/>
      <c r="J27" s="364">
        <f t="shared" si="11"/>
        <v>21</v>
      </c>
      <c r="K27" s="364">
        <f t="shared" si="1"/>
        <v>23.616999999999997</v>
      </c>
      <c r="L27" s="117">
        <f t="shared" si="12"/>
        <v>0.61111111111111116</v>
      </c>
      <c r="M27" s="117">
        <f t="shared" si="2"/>
        <v>0.15733246612533733</v>
      </c>
      <c r="N27" s="117">
        <f t="shared" si="13"/>
        <v>0.56250858269622694</v>
      </c>
      <c r="O27" s="117">
        <f t="shared" si="14"/>
        <v>4.8602528414884216E-2</v>
      </c>
      <c r="R27" s="364">
        <f t="shared" si="15"/>
        <v>21</v>
      </c>
      <c r="S27" s="117">
        <f t="shared" si="3"/>
        <v>1.3732247295944737</v>
      </c>
      <c r="T27" s="117">
        <f t="shared" si="16"/>
        <v>0.61111111111111116</v>
      </c>
      <c r="U27" s="117">
        <f t="shared" si="4"/>
        <v>0.33210528049982802</v>
      </c>
      <c r="V27" s="117">
        <f t="shared" si="17"/>
        <v>0.63009511852359035</v>
      </c>
      <c r="W27" s="117">
        <f t="shared" si="18"/>
        <v>1.8984007412479187E-2</v>
      </c>
      <c r="Z27" s="103">
        <f t="shared" si="19"/>
        <v>21</v>
      </c>
      <c r="AA27" s="364">
        <f t="shared" si="5"/>
        <v>23.616999999999997</v>
      </c>
      <c r="AB27" s="117">
        <f t="shared" si="20"/>
        <v>0.61111111111111116</v>
      </c>
      <c r="AC27" s="117">
        <f t="shared" si="6"/>
        <v>0.63197290903595604</v>
      </c>
      <c r="AD27" s="117">
        <f t="shared" si="21"/>
        <v>2.0861797924844883E-2</v>
      </c>
      <c r="AH27" s="103">
        <f t="shared" si="22"/>
        <v>21</v>
      </c>
      <c r="AI27" s="364">
        <f t="shared" si="7"/>
        <v>23.616999999999997</v>
      </c>
      <c r="AJ27" s="117">
        <f t="shared" si="23"/>
        <v>0.61111111111111116</v>
      </c>
      <c r="AK27" s="117">
        <f t="shared" si="8"/>
        <v>19.092053498697645</v>
      </c>
      <c r="AL27" s="117">
        <f t="shared" si="24"/>
        <v>0.59211491160107443</v>
      </c>
      <c r="AM27" s="117">
        <f t="shared" si="25"/>
        <v>1.8996199510036726E-2</v>
      </c>
      <c r="AP27" s="103">
        <f t="shared" si="26"/>
        <v>21</v>
      </c>
      <c r="AQ27" s="117">
        <f t="shared" si="9"/>
        <v>1.3732247295944737</v>
      </c>
      <c r="AR27" s="117">
        <f t="shared" si="27"/>
        <v>0.61111111111111116</v>
      </c>
      <c r="AS27" s="117">
        <f t="shared" si="10"/>
        <v>3844.6093013182603</v>
      </c>
      <c r="AT27" s="117">
        <f t="shared" si="28"/>
        <v>0.63190407405764637</v>
      </c>
      <c r="AU27" s="117">
        <f t="shared" si="29"/>
        <v>2.0792962946535209E-2</v>
      </c>
      <c r="AX27" s="31"/>
    </row>
    <row r="28" spans="2:60" ht="13.5" customHeight="1" x14ac:dyDescent="0.3">
      <c r="B28" s="103">
        <f>P24h_real!Q43</f>
        <v>1990</v>
      </c>
      <c r="C28" s="345">
        <f>P24h_real!S43</f>
        <v>30.735999999999997</v>
      </c>
      <c r="E28" s="103">
        <f t="shared" si="30"/>
        <v>22</v>
      </c>
      <c r="F28" s="115">
        <f>IF(C28="","",LARGE(Datos1,22))</f>
        <v>22.260999999999996</v>
      </c>
      <c r="G28" s="117">
        <f t="shared" si="0"/>
        <v>0.59259259259259256</v>
      </c>
      <c r="H28" s="4"/>
      <c r="I28" s="5"/>
      <c r="J28" s="364">
        <f t="shared" si="11"/>
        <v>22</v>
      </c>
      <c r="K28" s="364">
        <f t="shared" si="1"/>
        <v>22.260999999999996</v>
      </c>
      <c r="L28" s="117">
        <f t="shared" si="12"/>
        <v>0.59259259259259256</v>
      </c>
      <c r="M28" s="117">
        <f t="shared" si="2"/>
        <v>-6.7059739659969583E-3</v>
      </c>
      <c r="N28" s="117">
        <f t="shared" si="13"/>
        <v>0.49732472350494361</v>
      </c>
      <c r="O28" s="117">
        <f t="shared" si="14"/>
        <v>9.5267869087648949E-2</v>
      </c>
      <c r="R28" s="364">
        <f t="shared" si="15"/>
        <v>22</v>
      </c>
      <c r="S28" s="117">
        <f t="shared" si="3"/>
        <v>1.3475446696450126</v>
      </c>
      <c r="T28" s="117">
        <f t="shared" si="16"/>
        <v>0.59259259259259256</v>
      </c>
      <c r="U28" s="117">
        <f t="shared" si="4"/>
        <v>0.17504530737565457</v>
      </c>
      <c r="V28" s="117">
        <f t="shared" si="17"/>
        <v>0.56947798349927536</v>
      </c>
      <c r="W28" s="117">
        <f t="shared" si="18"/>
        <v>2.3114609093317195E-2</v>
      </c>
      <c r="Z28" s="103">
        <f t="shared" si="19"/>
        <v>22</v>
      </c>
      <c r="AA28" s="364">
        <f t="shared" si="5"/>
        <v>22.260999999999996</v>
      </c>
      <c r="AB28" s="117">
        <f t="shared" si="20"/>
        <v>0.59259259259259256</v>
      </c>
      <c r="AC28" s="117">
        <f t="shared" si="6"/>
        <v>0.56758745411602685</v>
      </c>
      <c r="AD28" s="117">
        <f t="shared" si="21"/>
        <v>2.5005138476565714E-2</v>
      </c>
      <c r="AH28" s="103">
        <f t="shared" si="22"/>
        <v>22</v>
      </c>
      <c r="AI28" s="364">
        <f t="shared" si="7"/>
        <v>22.260999999999996</v>
      </c>
      <c r="AJ28" s="117">
        <f t="shared" si="23"/>
        <v>0.59259259259259256</v>
      </c>
      <c r="AK28" s="117">
        <f t="shared" si="8"/>
        <v>18.388084616852215</v>
      </c>
      <c r="AL28" s="117">
        <f t="shared" si="24"/>
        <v>0.52833002609357549</v>
      </c>
      <c r="AM28" s="117">
        <f t="shared" si="25"/>
        <v>6.4262566499017071E-2</v>
      </c>
      <c r="AP28" s="103">
        <f t="shared" si="26"/>
        <v>22</v>
      </c>
      <c r="AQ28" s="117">
        <f t="shared" si="9"/>
        <v>1.3475446696450126</v>
      </c>
      <c r="AR28" s="117">
        <f t="shared" si="27"/>
        <v>0.59259259259259256</v>
      </c>
      <c r="AS28" s="117">
        <f t="shared" si="10"/>
        <v>3834.8968565674877</v>
      </c>
      <c r="AT28" s="117">
        <f t="shared" si="28"/>
        <v>0.5715295056650459</v>
      </c>
      <c r="AU28" s="117">
        <f t="shared" si="29"/>
        <v>2.1063086927546659E-2</v>
      </c>
      <c r="AX28" s="31" t="s">
        <v>725</v>
      </c>
    </row>
    <row r="29" spans="2:60" ht="13.5" customHeight="1" x14ac:dyDescent="0.3">
      <c r="B29" s="103">
        <f>P24h_real!Q44</f>
        <v>1991</v>
      </c>
      <c r="C29" s="345">
        <f>P24h_real!S44</f>
        <v>12.203999999999999</v>
      </c>
      <c r="E29" s="103">
        <f t="shared" si="30"/>
        <v>23</v>
      </c>
      <c r="F29" s="115">
        <f>IF(C29="","",LARGE(Datos1,23))</f>
        <v>22.260999999999996</v>
      </c>
      <c r="G29" s="117">
        <f t="shared" si="0"/>
        <v>0.57407407407407407</v>
      </c>
      <c r="H29" s="4"/>
      <c r="I29" s="5"/>
      <c r="J29" s="364">
        <f t="shared" si="11"/>
        <v>23</v>
      </c>
      <c r="K29" s="364">
        <f t="shared" si="1"/>
        <v>22.260999999999996</v>
      </c>
      <c r="L29" s="117">
        <f t="shared" si="12"/>
        <v>0.57407407407407407</v>
      </c>
      <c r="M29" s="117">
        <f t="shared" si="2"/>
        <v>-6.7059739659969583E-3</v>
      </c>
      <c r="N29" s="117">
        <f t="shared" si="13"/>
        <v>0.49732472350494361</v>
      </c>
      <c r="O29" s="117">
        <f t="shared" si="14"/>
        <v>7.6749350569130459E-2</v>
      </c>
      <c r="R29" s="364">
        <f t="shared" si="15"/>
        <v>23</v>
      </c>
      <c r="S29" s="117">
        <f t="shared" si="3"/>
        <v>1.3475446696450126</v>
      </c>
      <c r="T29" s="117">
        <f t="shared" si="16"/>
        <v>0.57407407407407407</v>
      </c>
      <c r="U29" s="117">
        <f t="shared" si="4"/>
        <v>0.17504530737565457</v>
      </c>
      <c r="V29" s="117">
        <f t="shared" si="17"/>
        <v>0.56947798349927536</v>
      </c>
      <c r="W29" s="117">
        <f t="shared" si="18"/>
        <v>4.5960905747987058E-3</v>
      </c>
      <c r="Z29" s="103">
        <f t="shared" si="19"/>
        <v>23</v>
      </c>
      <c r="AA29" s="364">
        <f t="shared" si="5"/>
        <v>22.260999999999996</v>
      </c>
      <c r="AB29" s="117">
        <f t="shared" si="20"/>
        <v>0.57407407407407407</v>
      </c>
      <c r="AC29" s="117">
        <f t="shared" si="6"/>
        <v>0.56758745411602685</v>
      </c>
      <c r="AD29" s="117">
        <f t="shared" si="21"/>
        <v>6.4866199580472239E-3</v>
      </c>
      <c r="AH29" s="103">
        <f t="shared" si="22"/>
        <v>23</v>
      </c>
      <c r="AI29" s="364">
        <f t="shared" si="7"/>
        <v>22.260999999999996</v>
      </c>
      <c r="AJ29" s="117">
        <f t="shared" si="23"/>
        <v>0.57407407407407407</v>
      </c>
      <c r="AK29" s="117">
        <f t="shared" si="8"/>
        <v>18.388084616852215</v>
      </c>
      <c r="AL29" s="117">
        <f t="shared" si="24"/>
        <v>0.52833002609357549</v>
      </c>
      <c r="AM29" s="117">
        <f t="shared" si="25"/>
        <v>4.5744047980498581E-2</v>
      </c>
      <c r="AP29" s="103">
        <f t="shared" si="26"/>
        <v>23</v>
      </c>
      <c r="AQ29" s="117">
        <f t="shared" si="9"/>
        <v>1.3475446696450126</v>
      </c>
      <c r="AR29" s="117">
        <f t="shared" si="27"/>
        <v>0.57407407407407407</v>
      </c>
      <c r="AS29" s="117">
        <f t="shared" si="10"/>
        <v>3834.8968565674877</v>
      </c>
      <c r="AT29" s="117">
        <f t="shared" si="28"/>
        <v>0.5715295056650459</v>
      </c>
      <c r="AU29" s="117">
        <f t="shared" si="29"/>
        <v>2.5445684090281695E-3</v>
      </c>
      <c r="AX29" s="31" t="s">
        <v>726</v>
      </c>
    </row>
    <row r="30" spans="2:60" ht="13.5" customHeight="1" x14ac:dyDescent="0.3">
      <c r="B30" s="103">
        <f>P24h_real!Q45</f>
        <v>1992</v>
      </c>
      <c r="C30" s="345">
        <f>P24h_real!S45</f>
        <v>11.413</v>
      </c>
      <c r="E30" s="103">
        <f t="shared" si="30"/>
        <v>24</v>
      </c>
      <c r="F30" s="115">
        <f>IF(C30="","",LARGE(Datos1,24))</f>
        <v>22.034999999999997</v>
      </c>
      <c r="G30" s="117">
        <f t="shared" si="0"/>
        <v>0.55555555555555558</v>
      </c>
      <c r="H30" s="4"/>
      <c r="I30" s="5"/>
      <c r="J30" s="364">
        <f t="shared" si="11"/>
        <v>24</v>
      </c>
      <c r="K30" s="364">
        <f t="shared" si="1"/>
        <v>22.034999999999997</v>
      </c>
      <c r="L30" s="117">
        <f t="shared" si="12"/>
        <v>0.55555555555555558</v>
      </c>
      <c r="M30" s="117">
        <f t="shared" si="2"/>
        <v>-3.4045713981219194E-2</v>
      </c>
      <c r="N30" s="117">
        <f t="shared" si="13"/>
        <v>0.48642034866349504</v>
      </c>
      <c r="O30" s="117">
        <f t="shared" si="14"/>
        <v>6.9135206892060541E-2</v>
      </c>
      <c r="R30" s="364">
        <f t="shared" si="15"/>
        <v>24</v>
      </c>
      <c r="S30" s="117">
        <f t="shared" si="3"/>
        <v>1.3431130548459376</v>
      </c>
      <c r="T30" s="117">
        <f t="shared" si="16"/>
        <v>0.55555555555555558</v>
      </c>
      <c r="U30" s="117">
        <f t="shared" si="4"/>
        <v>0.14794142589682555</v>
      </c>
      <c r="V30" s="117">
        <f t="shared" si="17"/>
        <v>0.55880550261898776</v>
      </c>
      <c r="W30" s="117">
        <f t="shared" si="18"/>
        <v>3.2499470634321792E-3</v>
      </c>
      <c r="Z30" s="103">
        <f t="shared" si="19"/>
        <v>24</v>
      </c>
      <c r="AA30" s="364">
        <f t="shared" si="5"/>
        <v>22.034999999999997</v>
      </c>
      <c r="AB30" s="117">
        <f t="shared" si="20"/>
        <v>0.55555555555555558</v>
      </c>
      <c r="AC30" s="117">
        <f t="shared" si="6"/>
        <v>0.55623127386792548</v>
      </c>
      <c r="AD30" s="117">
        <f t="shared" si="21"/>
        <v>6.7571831236989954E-4</v>
      </c>
      <c r="AH30" s="103">
        <f t="shared" si="22"/>
        <v>24</v>
      </c>
      <c r="AI30" s="364">
        <f t="shared" si="7"/>
        <v>22.034999999999997</v>
      </c>
      <c r="AJ30" s="117">
        <f t="shared" si="23"/>
        <v>0.55555555555555558</v>
      </c>
      <c r="AK30" s="117">
        <f t="shared" si="8"/>
        <v>18.270756469877977</v>
      </c>
      <c r="AL30" s="117">
        <f t="shared" si="24"/>
        <v>0.51742306617800971</v>
      </c>
      <c r="AM30" s="117">
        <f t="shared" si="25"/>
        <v>3.8132489377545875E-2</v>
      </c>
      <c r="AP30" s="103">
        <f t="shared" si="26"/>
        <v>24</v>
      </c>
      <c r="AQ30" s="117">
        <f t="shared" si="9"/>
        <v>1.3431130548459376</v>
      </c>
      <c r="AR30" s="117">
        <f t="shared" si="27"/>
        <v>0.55555555555555558</v>
      </c>
      <c r="AS30" s="117">
        <f t="shared" si="10"/>
        <v>3833.2207773847513</v>
      </c>
      <c r="AT30" s="117">
        <f t="shared" si="28"/>
        <v>0.56088481073708096</v>
      </c>
      <c r="AU30" s="117">
        <f t="shared" si="29"/>
        <v>5.329255181525383E-3</v>
      </c>
      <c r="AX30" s="31" t="s">
        <v>727</v>
      </c>
    </row>
    <row r="31" spans="2:60" ht="13.5" customHeight="1" x14ac:dyDescent="0.3">
      <c r="B31" s="103">
        <f>P24h_real!Q46</f>
        <v>1993</v>
      </c>
      <c r="C31" s="345">
        <f>P24h_real!S46</f>
        <v>17.175999999999998</v>
      </c>
      <c r="E31" s="103">
        <f t="shared" si="30"/>
        <v>25</v>
      </c>
      <c r="F31" s="115">
        <f>IF(C31="","",LARGE(Datos1,25))</f>
        <v>21.582999999999998</v>
      </c>
      <c r="G31" s="117">
        <f t="shared" si="0"/>
        <v>0.53703703703703698</v>
      </c>
      <c r="H31" s="4"/>
      <c r="I31" s="5"/>
      <c r="J31" s="364">
        <f t="shared" si="11"/>
        <v>25</v>
      </c>
      <c r="K31" s="364">
        <f t="shared" si="1"/>
        <v>21.582999999999998</v>
      </c>
      <c r="L31" s="117">
        <f t="shared" si="12"/>
        <v>0.53703703703703698</v>
      </c>
      <c r="M31" s="117">
        <f t="shared" si="2"/>
        <v>-8.8725194011663663E-2</v>
      </c>
      <c r="N31" s="117">
        <f t="shared" si="13"/>
        <v>0.46465015478444932</v>
      </c>
      <c r="O31" s="117">
        <f t="shared" si="14"/>
        <v>7.2386882252587659E-2</v>
      </c>
      <c r="R31" s="364">
        <f t="shared" si="15"/>
        <v>25</v>
      </c>
      <c r="S31" s="117">
        <f t="shared" si="3"/>
        <v>1.3341118107311472</v>
      </c>
      <c r="T31" s="117">
        <f t="shared" si="16"/>
        <v>0.53703703703703698</v>
      </c>
      <c r="U31" s="117">
        <f t="shared" si="4"/>
        <v>9.2889562251048705E-2</v>
      </c>
      <c r="V31" s="117">
        <f t="shared" si="17"/>
        <v>0.53700435099427257</v>
      </c>
      <c r="W31" s="117">
        <f t="shared" si="18"/>
        <v>3.2686042764407119E-5</v>
      </c>
      <c r="Z31" s="103">
        <f t="shared" si="19"/>
        <v>25</v>
      </c>
      <c r="AA31" s="364">
        <f t="shared" si="5"/>
        <v>21.582999999999998</v>
      </c>
      <c r="AB31" s="117">
        <f t="shared" si="20"/>
        <v>0.53703703703703698</v>
      </c>
      <c r="AC31" s="117">
        <f t="shared" si="6"/>
        <v>0.53302771402658156</v>
      </c>
      <c r="AD31" s="117">
        <f t="shared" si="21"/>
        <v>4.0093230104554234E-3</v>
      </c>
      <c r="AH31" s="103">
        <f t="shared" si="22"/>
        <v>25</v>
      </c>
      <c r="AI31" s="364">
        <f t="shared" si="7"/>
        <v>21.582999999999998</v>
      </c>
      <c r="AJ31" s="117">
        <f t="shared" si="23"/>
        <v>0.53703703703703698</v>
      </c>
      <c r="AK31" s="117">
        <f t="shared" si="8"/>
        <v>18.036100175929501</v>
      </c>
      <c r="AL31" s="117">
        <f t="shared" si="24"/>
        <v>0.49543690666632983</v>
      </c>
      <c r="AM31" s="117">
        <f t="shared" si="25"/>
        <v>4.1600130370707145E-2</v>
      </c>
      <c r="AP31" s="103">
        <f t="shared" si="26"/>
        <v>25</v>
      </c>
      <c r="AQ31" s="117">
        <f t="shared" si="9"/>
        <v>1.3341118107311472</v>
      </c>
      <c r="AR31" s="117">
        <f t="shared" si="27"/>
        <v>0.53703703703703698</v>
      </c>
      <c r="AS31" s="117">
        <f t="shared" si="10"/>
        <v>3829.8164206065667</v>
      </c>
      <c r="AT31" s="117">
        <f t="shared" si="28"/>
        <v>0.53912627574195748</v>
      </c>
      <c r="AU31" s="117">
        <f t="shared" si="29"/>
        <v>2.0892387049205041E-3</v>
      </c>
      <c r="AX31" s="31" t="s">
        <v>728</v>
      </c>
    </row>
    <row r="32" spans="2:60" ht="13.5" customHeight="1" x14ac:dyDescent="0.3">
      <c r="B32" s="103">
        <f>P24h_real!Q47</f>
        <v>1994</v>
      </c>
      <c r="C32" s="345">
        <f>P24h_real!S47</f>
        <v>20.339999999999996</v>
      </c>
      <c r="E32" s="103">
        <f t="shared" si="30"/>
        <v>26</v>
      </c>
      <c r="F32" s="115">
        <f>IF(C32="","",LARGE(Datos1,26))</f>
        <v>21.244</v>
      </c>
      <c r="G32" s="117">
        <f t="shared" si="0"/>
        <v>0.5185185185185186</v>
      </c>
      <c r="H32" s="4"/>
      <c r="I32" s="5"/>
      <c r="J32" s="364">
        <f t="shared" ref="J32:J44" si="34">E32</f>
        <v>26</v>
      </c>
      <c r="K32" s="364">
        <f t="shared" si="1"/>
        <v>21.244</v>
      </c>
      <c r="L32" s="117">
        <f t="shared" ref="L32:L44" si="35">G32</f>
        <v>0.5185185185185186</v>
      </c>
      <c r="M32" s="117">
        <f t="shared" si="2"/>
        <v>-0.12973480403449703</v>
      </c>
      <c r="N32" s="117">
        <f t="shared" ref="N32:N44" si="36">IF(M32="","",_xlfn.NORM.S.DIST(M32,TRUE))</f>
        <v>0.44838812281021856</v>
      </c>
      <c r="O32" s="117">
        <f t="shared" ref="O32:O44" si="37">IF(N32="","",ABS(N32-L32))</f>
        <v>7.0130395708300042E-2</v>
      </c>
      <c r="R32" s="364">
        <f t="shared" ref="R32:R44" si="38">E32</f>
        <v>26</v>
      </c>
      <c r="S32" s="117">
        <f t="shared" si="3"/>
        <v>1.3272362927470995</v>
      </c>
      <c r="T32" s="117">
        <f t="shared" ref="T32:T44" si="39">G32</f>
        <v>0.5185185185185186</v>
      </c>
      <c r="U32" s="117">
        <f t="shared" si="4"/>
        <v>5.0838699756393539E-2</v>
      </c>
      <c r="V32" s="117">
        <f t="shared" ref="V32:V44" si="40">IF(U32="","",_xlfn.NORM.S.DIST(U32,TRUE))</f>
        <v>0.52027297360617364</v>
      </c>
      <c r="W32" s="117">
        <f t="shared" ref="W32:W44" si="41">IF(V32="","",ABS(V32-T32))</f>
        <v>1.754455087655038E-3</v>
      </c>
      <c r="Z32" s="103">
        <f t="shared" ref="Z32:Z44" si="42">E32</f>
        <v>26</v>
      </c>
      <c r="AA32" s="364">
        <f t="shared" si="5"/>
        <v>21.244</v>
      </c>
      <c r="AB32" s="117">
        <f t="shared" ref="AB32:AB44" si="43">G32</f>
        <v>0.5185185185185186</v>
      </c>
      <c r="AC32" s="117">
        <f t="shared" si="6"/>
        <v>0.51522104586698259</v>
      </c>
      <c r="AD32" s="117">
        <f t="shared" ref="AD32:AD44" si="44">IF(AC32="","",ABS(AC32-AB32))</f>
        <v>3.2974726515360153E-3</v>
      </c>
      <c r="AH32" s="103">
        <f t="shared" si="22"/>
        <v>26</v>
      </c>
      <c r="AI32" s="364">
        <f t="shared" si="7"/>
        <v>21.244</v>
      </c>
      <c r="AJ32" s="117">
        <f t="shared" si="23"/>
        <v>0.5185185185185186</v>
      </c>
      <c r="AK32" s="117">
        <f t="shared" si="8"/>
        <v>17.860107955468145</v>
      </c>
      <c r="AL32" s="117">
        <f t="shared" si="24"/>
        <v>0.47882718278666081</v>
      </c>
      <c r="AM32" s="117">
        <f t="shared" ref="AM32:AM44" si="45">IF(AJ32="","",ABS(AL32-AJ32))</f>
        <v>3.9691335731857791E-2</v>
      </c>
      <c r="AP32" s="103">
        <f t="shared" ref="AP32:AP44" si="46">E32</f>
        <v>26</v>
      </c>
      <c r="AQ32" s="117">
        <f t="shared" si="9"/>
        <v>1.3272362927470995</v>
      </c>
      <c r="AR32" s="117">
        <f t="shared" ref="AR32:AR44" si="47">G32</f>
        <v>0.5185185185185186</v>
      </c>
      <c r="AS32" s="117">
        <f t="shared" si="10"/>
        <v>3827.2160338206945</v>
      </c>
      <c r="AT32" s="117">
        <f t="shared" si="28"/>
        <v>0.5224146440069295</v>
      </c>
      <c r="AU32" s="117">
        <f t="shared" ref="AU32:AU44" si="48">IF(AT32="","",ABS(AT32-AR32))</f>
        <v>3.8961254884108953E-3</v>
      </c>
      <c r="AX32" s="31" t="s">
        <v>730</v>
      </c>
    </row>
    <row r="33" spans="2:56" ht="13.5" customHeight="1" x14ac:dyDescent="0.3">
      <c r="B33" s="103">
        <f>P24h_real!Q48</f>
        <v>1995</v>
      </c>
      <c r="C33" s="345">
        <f>P24h_real!S48</f>
        <v>22.260999999999996</v>
      </c>
      <c r="E33" s="103">
        <f t="shared" si="30"/>
        <v>27</v>
      </c>
      <c r="F33" s="115">
        <f>IF(C33="","",LARGE(Datos1,27))</f>
        <v>20.339999999999996</v>
      </c>
      <c r="G33" s="117">
        <f t="shared" si="0"/>
        <v>0.5</v>
      </c>
      <c r="H33" s="4"/>
      <c r="I33" s="5"/>
      <c r="J33" s="364">
        <f t="shared" si="34"/>
        <v>27</v>
      </c>
      <c r="K33" s="364">
        <f t="shared" si="1"/>
        <v>20.339999999999996</v>
      </c>
      <c r="L33" s="117">
        <f t="shared" si="35"/>
        <v>0.5</v>
      </c>
      <c r="M33" s="117">
        <f t="shared" si="2"/>
        <v>-0.23909376409538682</v>
      </c>
      <c r="N33" s="117">
        <f t="shared" si="36"/>
        <v>0.40551643855098174</v>
      </c>
      <c r="O33" s="117">
        <f t="shared" si="37"/>
        <v>9.4483561449018261E-2</v>
      </c>
      <c r="R33" s="364">
        <f t="shared" si="38"/>
        <v>27</v>
      </c>
      <c r="S33" s="117">
        <f t="shared" si="3"/>
        <v>1.3083509485867257</v>
      </c>
      <c r="T33" s="117">
        <f t="shared" si="39"/>
        <v>0.5</v>
      </c>
      <c r="U33" s="117">
        <f t="shared" si="4"/>
        <v>-6.4664599383346941E-2</v>
      </c>
      <c r="V33" s="117">
        <f t="shared" si="40"/>
        <v>0.47422052470222326</v>
      </c>
      <c r="W33" s="117">
        <f t="shared" si="41"/>
        <v>2.5779475297776744E-2</v>
      </c>
      <c r="Z33" s="103">
        <f t="shared" si="42"/>
        <v>27</v>
      </c>
      <c r="AA33" s="364">
        <f t="shared" si="5"/>
        <v>20.339999999999996</v>
      </c>
      <c r="AB33" s="117">
        <f t="shared" si="43"/>
        <v>0.5</v>
      </c>
      <c r="AC33" s="117">
        <f t="shared" si="6"/>
        <v>0.46626197246130074</v>
      </c>
      <c r="AD33" s="117">
        <f t="shared" si="44"/>
        <v>3.3738027538699256E-2</v>
      </c>
      <c r="AH33" s="103">
        <f t="shared" si="22"/>
        <v>27</v>
      </c>
      <c r="AI33" s="364">
        <f t="shared" si="7"/>
        <v>20.339999999999996</v>
      </c>
      <c r="AJ33" s="117">
        <f t="shared" si="23"/>
        <v>0.5</v>
      </c>
      <c r="AK33" s="117">
        <f t="shared" si="8"/>
        <v>17.39079536757119</v>
      </c>
      <c r="AL33" s="117">
        <f t="shared" si="24"/>
        <v>0.4342565749050018</v>
      </c>
      <c r="AM33" s="117">
        <f t="shared" si="45"/>
        <v>6.5743425094998198E-2</v>
      </c>
      <c r="AP33" s="103">
        <f t="shared" si="46"/>
        <v>27</v>
      </c>
      <c r="AQ33" s="117">
        <f t="shared" si="9"/>
        <v>1.3083509485867257</v>
      </c>
      <c r="AR33" s="117">
        <f t="shared" si="47"/>
        <v>0.5</v>
      </c>
      <c r="AS33" s="117">
        <f t="shared" si="10"/>
        <v>3820.0734156913777</v>
      </c>
      <c r="AT33" s="117">
        <f t="shared" si="28"/>
        <v>0.47635804817279814</v>
      </c>
      <c r="AU33" s="117">
        <f t="shared" si="48"/>
        <v>2.3641951827201857E-2</v>
      </c>
      <c r="AX33" s="31" t="s">
        <v>729</v>
      </c>
    </row>
    <row r="34" spans="2:56" ht="13.5" customHeight="1" x14ac:dyDescent="0.3">
      <c r="B34" s="103">
        <f>P24h_real!Q49</f>
        <v>1996</v>
      </c>
      <c r="C34" s="345">
        <f>P24h_real!S49</f>
        <v>20.000999999999998</v>
      </c>
      <c r="E34" s="103">
        <f t="shared" si="30"/>
        <v>28</v>
      </c>
      <c r="F34" s="115">
        <f>IF(C34="","",LARGE(Datos1,28))</f>
        <v>20.000999999999998</v>
      </c>
      <c r="G34" s="117">
        <f t="shared" si="0"/>
        <v>0.48148148148148151</v>
      </c>
      <c r="H34" s="4"/>
      <c r="I34" s="5"/>
      <c r="J34" s="364">
        <f t="shared" si="34"/>
        <v>28</v>
      </c>
      <c r="K34" s="364">
        <f t="shared" si="1"/>
        <v>20.000999999999998</v>
      </c>
      <c r="L34" s="117">
        <f t="shared" si="35"/>
        <v>0.48148148148148151</v>
      </c>
      <c r="M34" s="117">
        <f t="shared" si="2"/>
        <v>-0.28010337411822017</v>
      </c>
      <c r="N34" s="117">
        <f t="shared" si="36"/>
        <v>0.3896990980559743</v>
      </c>
      <c r="O34" s="117">
        <f t="shared" si="37"/>
        <v>9.1782383425507208E-2</v>
      </c>
      <c r="R34" s="364">
        <f t="shared" si="38"/>
        <v>28</v>
      </c>
      <c r="S34" s="117">
        <f t="shared" si="3"/>
        <v>1.3010517098452263</v>
      </c>
      <c r="T34" s="117">
        <f t="shared" si="39"/>
        <v>0.48148148148148151</v>
      </c>
      <c r="U34" s="117">
        <f t="shared" si="4"/>
        <v>-0.10930695001737961</v>
      </c>
      <c r="V34" s="117">
        <f t="shared" si="40"/>
        <v>0.45647951715581536</v>
      </c>
      <c r="W34" s="117">
        <f t="shared" si="41"/>
        <v>2.5001964325666148E-2</v>
      </c>
      <c r="Z34" s="103">
        <f t="shared" si="42"/>
        <v>28</v>
      </c>
      <c r="AA34" s="364">
        <f t="shared" si="5"/>
        <v>20.000999999999998</v>
      </c>
      <c r="AB34" s="117">
        <f t="shared" si="43"/>
        <v>0.48148148148148151</v>
      </c>
      <c r="AC34" s="117">
        <f t="shared" si="6"/>
        <v>0.44744039218126958</v>
      </c>
      <c r="AD34" s="117">
        <f t="shared" si="44"/>
        <v>3.4041089300211935E-2</v>
      </c>
      <c r="AH34" s="103">
        <f t="shared" si="22"/>
        <v>28</v>
      </c>
      <c r="AI34" s="364">
        <f t="shared" si="7"/>
        <v>20.000999999999998</v>
      </c>
      <c r="AJ34" s="117">
        <f t="shared" si="23"/>
        <v>0.48148148148148151</v>
      </c>
      <c r="AK34" s="117">
        <f t="shared" si="8"/>
        <v>17.214803147109834</v>
      </c>
      <c r="AL34" s="117">
        <f t="shared" si="24"/>
        <v>0.41752081835918353</v>
      </c>
      <c r="AM34" s="117">
        <f t="shared" si="45"/>
        <v>6.3960663122297978E-2</v>
      </c>
      <c r="AP34" s="103">
        <f t="shared" si="46"/>
        <v>28</v>
      </c>
      <c r="AQ34" s="117">
        <f t="shared" si="9"/>
        <v>1.3010517098452263</v>
      </c>
      <c r="AR34" s="117">
        <f t="shared" si="47"/>
        <v>0.48148148148148151</v>
      </c>
      <c r="AS34" s="117">
        <f t="shared" si="10"/>
        <v>3817.3127736547535</v>
      </c>
      <c r="AT34" s="117">
        <f t="shared" si="28"/>
        <v>0.45859250789357509</v>
      </c>
      <c r="AU34" s="117">
        <f t="shared" si="48"/>
        <v>2.2888973587906425E-2</v>
      </c>
    </row>
    <row r="35" spans="2:56" ht="13.5" customHeight="1" x14ac:dyDescent="0.3">
      <c r="B35" s="103">
        <f>P24h_real!Q50</f>
        <v>1997</v>
      </c>
      <c r="C35" s="345">
        <f>P24h_real!S50</f>
        <v>29.606000000000002</v>
      </c>
      <c r="E35" s="103">
        <f t="shared" si="30"/>
        <v>29</v>
      </c>
      <c r="F35" s="115">
        <f>IF(C35="","",LARGE(Datos1,29))</f>
        <v>19.774999999999999</v>
      </c>
      <c r="G35" s="117">
        <f t="shared" si="0"/>
        <v>0.46296296296296291</v>
      </c>
      <c r="H35" s="4"/>
      <c r="I35" s="5"/>
      <c r="J35" s="364">
        <f t="shared" si="34"/>
        <v>29</v>
      </c>
      <c r="K35" s="364">
        <f t="shared" si="1"/>
        <v>19.774999999999999</v>
      </c>
      <c r="L35" s="117">
        <f t="shared" si="35"/>
        <v>0.46296296296296291</v>
      </c>
      <c r="M35" s="117">
        <f t="shared" si="2"/>
        <v>-0.30744311413344244</v>
      </c>
      <c r="N35" s="117">
        <f t="shared" si="36"/>
        <v>0.37925305791027591</v>
      </c>
      <c r="O35" s="117">
        <f t="shared" si="37"/>
        <v>8.3709905052686995E-2</v>
      </c>
      <c r="R35" s="364">
        <f t="shared" si="38"/>
        <v>29</v>
      </c>
      <c r="S35" s="117">
        <f t="shared" si="3"/>
        <v>1.2961164921697141</v>
      </c>
      <c r="T35" s="117">
        <f t="shared" si="39"/>
        <v>0.46296296296296291</v>
      </c>
      <c r="U35" s="117">
        <f t="shared" si="4"/>
        <v>-0.13949088093511708</v>
      </c>
      <c r="V35" s="117">
        <f t="shared" si="40"/>
        <v>0.44453113072632888</v>
      </c>
      <c r="W35" s="117">
        <f t="shared" si="41"/>
        <v>1.8431832236634027E-2</v>
      </c>
      <c r="Z35" s="103">
        <f t="shared" si="42"/>
        <v>29</v>
      </c>
      <c r="AA35" s="364">
        <f t="shared" si="5"/>
        <v>19.774999999999999</v>
      </c>
      <c r="AB35" s="117">
        <f t="shared" si="43"/>
        <v>0.46296296296296291</v>
      </c>
      <c r="AC35" s="117">
        <f t="shared" si="6"/>
        <v>0.43478205363075773</v>
      </c>
      <c r="AD35" s="117">
        <f t="shared" si="44"/>
        <v>2.8180909332205184E-2</v>
      </c>
      <c r="AH35" s="103">
        <f t="shared" si="22"/>
        <v>29</v>
      </c>
      <c r="AI35" s="364">
        <f t="shared" si="7"/>
        <v>19.774999999999999</v>
      </c>
      <c r="AJ35" s="117">
        <f t="shared" si="23"/>
        <v>0.46296296296296291</v>
      </c>
      <c r="AK35" s="117">
        <f t="shared" si="8"/>
        <v>17.097475000135596</v>
      </c>
      <c r="AL35" s="117">
        <f t="shared" si="24"/>
        <v>0.40638098116737897</v>
      </c>
      <c r="AM35" s="117">
        <f t="shared" si="45"/>
        <v>5.6581981795583935E-2</v>
      </c>
      <c r="AP35" s="103">
        <f t="shared" si="46"/>
        <v>29</v>
      </c>
      <c r="AQ35" s="117">
        <f t="shared" si="9"/>
        <v>1.2961164921697141</v>
      </c>
      <c r="AR35" s="117">
        <f t="shared" si="47"/>
        <v>0.46296296296296291</v>
      </c>
      <c r="AS35" s="117">
        <f t="shared" si="10"/>
        <v>3815.4462270383988</v>
      </c>
      <c r="AT35" s="117">
        <f t="shared" si="28"/>
        <v>0.44662042570249688</v>
      </c>
      <c r="AU35" s="117">
        <f t="shared" si="48"/>
        <v>1.6342537260466028E-2</v>
      </c>
      <c r="AY35" s="27" t="s">
        <v>59</v>
      </c>
      <c r="AZ35" s="561" t="str">
        <f>G3</f>
        <v>YANTAC</v>
      </c>
      <c r="BA35" s="561"/>
      <c r="BB35" s="343" t="s">
        <v>10</v>
      </c>
      <c r="BC35" s="558" t="s">
        <v>23</v>
      </c>
      <c r="BD35" s="558"/>
    </row>
    <row r="36" spans="2:56" ht="13.5" customHeight="1" x14ac:dyDescent="0.3">
      <c r="B36" s="103">
        <f>P24h_real!Q51</f>
        <v>1998</v>
      </c>
      <c r="C36" s="345">
        <f>P24h_real!S51</f>
        <v>32.317999999999998</v>
      </c>
      <c r="E36" s="103">
        <f t="shared" si="30"/>
        <v>30</v>
      </c>
      <c r="F36" s="115">
        <f>IF(C36="","",LARGE(Datos1,30))</f>
        <v>18.870999999999999</v>
      </c>
      <c r="G36" s="117">
        <f t="shared" si="0"/>
        <v>0.44444444444444442</v>
      </c>
      <c r="H36" s="4"/>
      <c r="I36" s="5"/>
      <c r="J36" s="364">
        <f t="shared" si="34"/>
        <v>30</v>
      </c>
      <c r="K36" s="364">
        <f t="shared" si="1"/>
        <v>18.870999999999999</v>
      </c>
      <c r="L36" s="117">
        <f t="shared" si="35"/>
        <v>0.44444444444444442</v>
      </c>
      <c r="M36" s="117">
        <f t="shared" si="2"/>
        <v>-0.4168020741943318</v>
      </c>
      <c r="N36" s="117">
        <f t="shared" si="36"/>
        <v>0.3384115925761797</v>
      </c>
      <c r="O36" s="117">
        <f t="shared" si="37"/>
        <v>0.10603285186826472</v>
      </c>
      <c r="R36" s="364">
        <f t="shared" si="38"/>
        <v>30</v>
      </c>
      <c r="S36" s="117">
        <f t="shared" si="3"/>
        <v>1.275794914631003</v>
      </c>
      <c r="T36" s="117">
        <f t="shared" si="39"/>
        <v>0.44444444444444442</v>
      </c>
      <c r="U36" s="117">
        <f t="shared" si="4"/>
        <v>-0.2637782240469369</v>
      </c>
      <c r="V36" s="117">
        <f t="shared" si="40"/>
        <v>0.3959754075790573</v>
      </c>
      <c r="W36" s="117">
        <f t="shared" si="41"/>
        <v>4.8469036865387116E-2</v>
      </c>
      <c r="Z36" s="103">
        <f t="shared" si="42"/>
        <v>30</v>
      </c>
      <c r="AA36" s="364">
        <f t="shared" si="5"/>
        <v>18.870999999999999</v>
      </c>
      <c r="AB36" s="117">
        <f t="shared" si="43"/>
        <v>0.44444444444444442</v>
      </c>
      <c r="AC36" s="117">
        <f t="shared" si="6"/>
        <v>0.38353772032309563</v>
      </c>
      <c r="AD36" s="117">
        <f t="shared" si="44"/>
        <v>6.0906724121348788E-2</v>
      </c>
      <c r="AH36" s="103">
        <f t="shared" si="22"/>
        <v>30</v>
      </c>
      <c r="AI36" s="364">
        <f t="shared" si="7"/>
        <v>18.870999999999999</v>
      </c>
      <c r="AJ36" s="117">
        <f t="shared" si="23"/>
        <v>0.44444444444444442</v>
      </c>
      <c r="AK36" s="117">
        <f t="shared" si="8"/>
        <v>16.628162412238645</v>
      </c>
      <c r="AL36" s="117">
        <f t="shared" si="24"/>
        <v>0.36215682739345983</v>
      </c>
      <c r="AM36" s="117">
        <f t="shared" si="45"/>
        <v>8.2287617050984585E-2</v>
      </c>
      <c r="AP36" s="103">
        <f t="shared" si="46"/>
        <v>30</v>
      </c>
      <c r="AQ36" s="117">
        <f t="shared" si="9"/>
        <v>1.275794914631003</v>
      </c>
      <c r="AR36" s="117">
        <f t="shared" si="47"/>
        <v>0.44444444444444442</v>
      </c>
      <c r="AS36" s="117">
        <f t="shared" si="10"/>
        <v>3807.7604116827611</v>
      </c>
      <c r="AT36" s="117">
        <f t="shared" si="28"/>
        <v>0.39790946768880414</v>
      </c>
      <c r="AU36" s="117">
        <f t="shared" si="48"/>
        <v>4.6534976755640278E-2</v>
      </c>
    </row>
    <row r="37" spans="2:56" ht="13.5" customHeight="1" x14ac:dyDescent="0.3">
      <c r="B37" s="103">
        <f>P24h_real!Q52</f>
        <v>1999</v>
      </c>
      <c r="C37" s="345">
        <f>P24h_real!S52</f>
        <v>28.136999999999997</v>
      </c>
      <c r="E37" s="103">
        <f t="shared" si="30"/>
        <v>31</v>
      </c>
      <c r="F37" s="115">
        <f>IF(C37="","",LARGE(Datos1,31))</f>
        <v>18.645</v>
      </c>
      <c r="G37" s="117">
        <f t="shared" si="0"/>
        <v>0.42592592592592593</v>
      </c>
      <c r="H37" s="4"/>
      <c r="I37" s="5"/>
      <c r="J37" s="364">
        <f t="shared" si="34"/>
        <v>31</v>
      </c>
      <c r="K37" s="364">
        <f t="shared" si="1"/>
        <v>18.645</v>
      </c>
      <c r="L37" s="117">
        <f t="shared" si="35"/>
        <v>0.42592592592592593</v>
      </c>
      <c r="M37" s="117">
        <f t="shared" si="2"/>
        <v>-0.44414181420955401</v>
      </c>
      <c r="N37" s="117">
        <f t="shared" si="36"/>
        <v>0.32847002841486056</v>
      </c>
      <c r="O37" s="117">
        <f t="shared" si="37"/>
        <v>9.745589751106537E-2</v>
      </c>
      <c r="R37" s="364">
        <f t="shared" si="38"/>
        <v>31</v>
      </c>
      <c r="S37" s="117">
        <f t="shared" si="3"/>
        <v>1.270562387697326</v>
      </c>
      <c r="T37" s="117">
        <f t="shared" si="39"/>
        <v>0.42592592592592593</v>
      </c>
      <c r="U37" s="117">
        <f t="shared" si="4"/>
        <v>-0.29578050679830858</v>
      </c>
      <c r="V37" s="117">
        <f t="shared" si="40"/>
        <v>0.38369885529705283</v>
      </c>
      <c r="W37" s="117">
        <f t="shared" si="41"/>
        <v>4.2227070628873098E-2</v>
      </c>
      <c r="Z37" s="103">
        <f t="shared" si="42"/>
        <v>31</v>
      </c>
      <c r="AA37" s="364">
        <f t="shared" si="5"/>
        <v>18.645</v>
      </c>
      <c r="AB37" s="117">
        <f t="shared" si="43"/>
        <v>0.42592592592592593</v>
      </c>
      <c r="AC37" s="117">
        <f t="shared" si="6"/>
        <v>0.37064333881020511</v>
      </c>
      <c r="AD37" s="117">
        <f t="shared" si="44"/>
        <v>5.5282587115720816E-2</v>
      </c>
      <c r="AH37" s="103">
        <f t="shared" si="22"/>
        <v>31</v>
      </c>
      <c r="AI37" s="364">
        <f t="shared" si="7"/>
        <v>18.645</v>
      </c>
      <c r="AJ37" s="117">
        <f t="shared" si="23"/>
        <v>0.42592592592592593</v>
      </c>
      <c r="AK37" s="117">
        <f t="shared" si="8"/>
        <v>16.510834265264407</v>
      </c>
      <c r="AL37" s="117">
        <f t="shared" si="24"/>
        <v>0.35123033034659934</v>
      </c>
      <c r="AM37" s="117">
        <f t="shared" si="45"/>
        <v>7.469559557932659E-2</v>
      </c>
      <c r="AP37" s="103">
        <f t="shared" si="46"/>
        <v>31</v>
      </c>
      <c r="AQ37" s="117">
        <f t="shared" si="9"/>
        <v>1.270562387697326</v>
      </c>
      <c r="AR37" s="117">
        <f t="shared" si="47"/>
        <v>0.42592592592592593</v>
      </c>
      <c r="AS37" s="117">
        <f t="shared" si="10"/>
        <v>3805.7814198560177</v>
      </c>
      <c r="AT37" s="117">
        <f t="shared" si="28"/>
        <v>0.3855788583544405</v>
      </c>
      <c r="AU37" s="117">
        <f t="shared" si="48"/>
        <v>4.0347067571485429E-2</v>
      </c>
    </row>
    <row r="38" spans="2:56" ht="13.5" customHeight="1" x14ac:dyDescent="0.3">
      <c r="B38" s="103">
        <f>P24h_real!Q53</f>
        <v>2000</v>
      </c>
      <c r="C38" s="345">
        <f>P24h_real!S53</f>
        <v>40.227999999999987</v>
      </c>
      <c r="E38" s="103">
        <f t="shared" si="30"/>
        <v>32</v>
      </c>
      <c r="F38" s="115">
        <f>IF(C38="","",LARGE(Datos1,32))</f>
        <v>18.645</v>
      </c>
      <c r="G38" s="117">
        <f t="shared" si="0"/>
        <v>0.40740740740740744</v>
      </c>
      <c r="H38" s="4"/>
      <c r="I38" s="5"/>
      <c r="J38" s="364">
        <f t="shared" si="34"/>
        <v>32</v>
      </c>
      <c r="K38" s="364">
        <f t="shared" si="1"/>
        <v>18.645</v>
      </c>
      <c r="L38" s="117">
        <f t="shared" si="35"/>
        <v>0.40740740740740744</v>
      </c>
      <c r="M38" s="117">
        <f t="shared" si="2"/>
        <v>-0.44414181420955401</v>
      </c>
      <c r="N38" s="117">
        <f t="shared" si="36"/>
        <v>0.32847002841486056</v>
      </c>
      <c r="O38" s="117">
        <f t="shared" si="37"/>
        <v>7.8937378992546881E-2</v>
      </c>
      <c r="R38" s="364">
        <f t="shared" si="38"/>
        <v>32</v>
      </c>
      <c r="S38" s="117">
        <f t="shared" si="3"/>
        <v>1.270562387697326</v>
      </c>
      <c r="T38" s="117">
        <f t="shared" si="39"/>
        <v>0.40740740740740744</v>
      </c>
      <c r="U38" s="117">
        <f t="shared" si="4"/>
        <v>-0.29578050679830858</v>
      </c>
      <c r="V38" s="117">
        <f t="shared" si="40"/>
        <v>0.38369885529705283</v>
      </c>
      <c r="W38" s="117">
        <f t="shared" si="41"/>
        <v>2.3708552110354608E-2</v>
      </c>
      <c r="Z38" s="103">
        <f t="shared" si="42"/>
        <v>32</v>
      </c>
      <c r="AA38" s="364">
        <f t="shared" si="5"/>
        <v>18.645</v>
      </c>
      <c r="AB38" s="117">
        <f t="shared" si="43"/>
        <v>0.40740740740740744</v>
      </c>
      <c r="AC38" s="117">
        <f t="shared" si="6"/>
        <v>0.37064333881020511</v>
      </c>
      <c r="AD38" s="117">
        <f t="shared" si="44"/>
        <v>3.6764068597202326E-2</v>
      </c>
      <c r="AH38" s="103">
        <f t="shared" si="22"/>
        <v>32</v>
      </c>
      <c r="AI38" s="364">
        <f t="shared" si="7"/>
        <v>18.645</v>
      </c>
      <c r="AJ38" s="117">
        <f t="shared" si="23"/>
        <v>0.40740740740740744</v>
      </c>
      <c r="AK38" s="117">
        <f t="shared" si="8"/>
        <v>16.510834265264407</v>
      </c>
      <c r="AL38" s="117">
        <f t="shared" si="24"/>
        <v>0.35123033034659934</v>
      </c>
      <c r="AM38" s="117">
        <f t="shared" si="45"/>
        <v>5.61770770608081E-2</v>
      </c>
      <c r="AP38" s="103">
        <f t="shared" si="46"/>
        <v>32</v>
      </c>
      <c r="AQ38" s="117">
        <f t="shared" si="9"/>
        <v>1.270562387697326</v>
      </c>
      <c r="AR38" s="117">
        <f t="shared" si="47"/>
        <v>0.40740740740740744</v>
      </c>
      <c r="AS38" s="117">
        <f t="shared" si="10"/>
        <v>3805.7814198560177</v>
      </c>
      <c r="AT38" s="117">
        <f t="shared" si="28"/>
        <v>0.3855788583544405</v>
      </c>
      <c r="AU38" s="117">
        <f t="shared" si="48"/>
        <v>2.1828549052966939E-2</v>
      </c>
    </row>
    <row r="39" spans="2:56" ht="13.5" customHeight="1" x14ac:dyDescent="0.3">
      <c r="B39" s="103">
        <f>P24h_real!Q54</f>
        <v>2001</v>
      </c>
      <c r="C39" s="345">
        <f>P24h_real!S54</f>
        <v>31.753</v>
      </c>
      <c r="E39" s="103">
        <f t="shared" si="30"/>
        <v>33</v>
      </c>
      <c r="F39" s="115">
        <f>IF(C39="","",LARGE(Datos1,33))</f>
        <v>17.853999999999999</v>
      </c>
      <c r="G39" s="117">
        <f t="shared" si="0"/>
        <v>0.38888888888888884</v>
      </c>
      <c r="H39" s="4"/>
      <c r="I39" s="5"/>
      <c r="J39" s="364">
        <f t="shared" si="34"/>
        <v>33</v>
      </c>
      <c r="K39" s="364">
        <f t="shared" ref="K39:K44" si="49">IF(F39="","",F39)</f>
        <v>17.853999999999999</v>
      </c>
      <c r="L39" s="117">
        <f t="shared" si="35"/>
        <v>0.38888888888888884</v>
      </c>
      <c r="M39" s="117">
        <f t="shared" si="2"/>
        <v>-0.53983090426283231</v>
      </c>
      <c r="N39" s="117">
        <f t="shared" si="36"/>
        <v>0.2946568261317104</v>
      </c>
      <c r="O39" s="117">
        <f t="shared" si="37"/>
        <v>9.4232062757178436E-2</v>
      </c>
      <c r="R39" s="364">
        <f t="shared" si="38"/>
        <v>33</v>
      </c>
      <c r="S39" s="117">
        <f t="shared" ref="S39:S44" si="50">IF(F39="","",LOG10(F39))</f>
        <v>1.2517355304378424</v>
      </c>
      <c r="T39" s="117">
        <f t="shared" si="39"/>
        <v>0.38888888888888884</v>
      </c>
      <c r="U39" s="117">
        <f t="shared" si="4"/>
        <v>-0.41092609839764599</v>
      </c>
      <c r="V39" s="117">
        <f t="shared" si="40"/>
        <v>0.34056336239036245</v>
      </c>
      <c r="W39" s="117">
        <f t="shared" si="41"/>
        <v>4.8325526498526394E-2</v>
      </c>
      <c r="Z39" s="103">
        <f t="shared" si="42"/>
        <v>33</v>
      </c>
      <c r="AA39" s="364">
        <f t="shared" ref="AA39:AA44" si="51">IF(F39="","",F39)</f>
        <v>17.853999999999999</v>
      </c>
      <c r="AB39" s="117">
        <f t="shared" si="43"/>
        <v>0.38888888888888884</v>
      </c>
      <c r="AC39" s="117">
        <f t="shared" si="6"/>
        <v>0.32559305898846685</v>
      </c>
      <c r="AD39" s="117">
        <f t="shared" si="44"/>
        <v>6.3295829900421985E-2</v>
      </c>
      <c r="AH39" s="103">
        <f t="shared" si="22"/>
        <v>33</v>
      </c>
      <c r="AI39" s="364">
        <f t="shared" ref="AI39:AI44" si="52">IF(F39="","",F39)</f>
        <v>17.853999999999999</v>
      </c>
      <c r="AJ39" s="117">
        <f t="shared" si="23"/>
        <v>0.38888888888888884</v>
      </c>
      <c r="AK39" s="117">
        <f t="shared" si="8"/>
        <v>16.100185750854575</v>
      </c>
      <c r="AL39" s="117">
        <f t="shared" si="24"/>
        <v>0.31359939681664184</v>
      </c>
      <c r="AM39" s="117">
        <f t="shared" si="45"/>
        <v>7.5289492072247E-2</v>
      </c>
      <c r="AP39" s="103">
        <f t="shared" si="46"/>
        <v>33</v>
      </c>
      <c r="AQ39" s="117">
        <f t="shared" ref="AQ39:AQ44" si="53">IF(F39="","",LOG10(F39))</f>
        <v>1.2517355304378424</v>
      </c>
      <c r="AR39" s="117">
        <f t="shared" si="47"/>
        <v>0.38888888888888884</v>
      </c>
      <c r="AS39" s="117">
        <f t="shared" si="10"/>
        <v>3798.6609220330656</v>
      </c>
      <c r="AT39" s="117">
        <f t="shared" si="28"/>
        <v>0.34220728068582423</v>
      </c>
      <c r="AU39" s="117">
        <f t="shared" si="48"/>
        <v>4.6681608203064606E-2</v>
      </c>
    </row>
    <row r="40" spans="2:56" ht="13.5" customHeight="1" x14ac:dyDescent="0.3">
      <c r="B40" s="103">
        <f>P24h_real!Q55</f>
        <v>2002</v>
      </c>
      <c r="C40" s="345">
        <f>P24h_real!S55</f>
        <v>22.034999999999997</v>
      </c>
      <c r="E40" s="103">
        <f t="shared" si="30"/>
        <v>34</v>
      </c>
      <c r="F40" s="364">
        <f>IF(C40="","",LARGE(Datos1,34))</f>
        <v>17.740999999999996</v>
      </c>
      <c r="G40" s="117">
        <f t="shared" si="0"/>
        <v>0.37037037037037035</v>
      </c>
      <c r="H40" s="4"/>
      <c r="I40" s="5"/>
      <c r="J40" s="364">
        <f t="shared" si="34"/>
        <v>34</v>
      </c>
      <c r="K40" s="364">
        <f t="shared" si="49"/>
        <v>17.740999999999996</v>
      </c>
      <c r="L40" s="117">
        <f t="shared" si="35"/>
        <v>0.37037037037037035</v>
      </c>
      <c r="M40" s="117">
        <f t="shared" si="2"/>
        <v>-0.55350077427044386</v>
      </c>
      <c r="N40" s="117">
        <f t="shared" si="36"/>
        <v>0.2899602752750593</v>
      </c>
      <c r="O40" s="117">
        <f t="shared" si="37"/>
        <v>8.0410095095311052E-2</v>
      </c>
      <c r="R40" s="364">
        <f t="shared" si="38"/>
        <v>34</v>
      </c>
      <c r="S40" s="117">
        <f t="shared" si="50"/>
        <v>1.2489780958926533</v>
      </c>
      <c r="T40" s="117">
        <f t="shared" si="39"/>
        <v>0.37037037037037035</v>
      </c>
      <c r="U40" s="117">
        <f t="shared" si="4"/>
        <v>-0.42779064608216766</v>
      </c>
      <c r="V40" s="117">
        <f t="shared" si="40"/>
        <v>0.33440177383575886</v>
      </c>
      <c r="W40" s="117">
        <f t="shared" si="41"/>
        <v>3.5968596534611486E-2</v>
      </c>
      <c r="Z40" s="103">
        <f t="shared" si="42"/>
        <v>34</v>
      </c>
      <c r="AA40" s="364">
        <f t="shared" si="51"/>
        <v>17.740999999999996</v>
      </c>
      <c r="AB40" s="117">
        <f t="shared" si="43"/>
        <v>0.37037037037037035</v>
      </c>
      <c r="AC40" s="117">
        <f t="shared" si="6"/>
        <v>0.31919510189769945</v>
      </c>
      <c r="AD40" s="117">
        <f t="shared" si="44"/>
        <v>5.1175268472670898E-2</v>
      </c>
      <c r="AH40" s="103">
        <f t="shared" si="22"/>
        <v>34</v>
      </c>
      <c r="AI40" s="364">
        <f t="shared" si="52"/>
        <v>17.740999999999996</v>
      </c>
      <c r="AJ40" s="117">
        <f t="shared" si="23"/>
        <v>0.37037037037037035</v>
      </c>
      <c r="AK40" s="117">
        <f t="shared" si="8"/>
        <v>16.041521677367452</v>
      </c>
      <c r="AL40" s="117">
        <f t="shared" si="24"/>
        <v>0.30831625820938141</v>
      </c>
      <c r="AM40" s="117">
        <f t="shared" si="45"/>
        <v>6.2054112160988939E-2</v>
      </c>
      <c r="AP40" s="103">
        <f t="shared" si="46"/>
        <v>34</v>
      </c>
      <c r="AQ40" s="117">
        <f t="shared" si="53"/>
        <v>1.2489780958926533</v>
      </c>
      <c r="AR40" s="117">
        <f t="shared" si="47"/>
        <v>0.37037037037037035</v>
      </c>
      <c r="AS40" s="117">
        <f t="shared" si="10"/>
        <v>3797.6180338650965</v>
      </c>
      <c r="AT40" s="117">
        <f t="shared" si="28"/>
        <v>0.33600623756143261</v>
      </c>
      <c r="AU40" s="117">
        <f t="shared" si="48"/>
        <v>3.4364132808937742E-2</v>
      </c>
    </row>
    <row r="41" spans="2:56" ht="13.5" customHeight="1" x14ac:dyDescent="0.3">
      <c r="B41" s="103">
        <f>P24h_real!Q56</f>
        <v>2003</v>
      </c>
      <c r="C41" s="345">
        <f>P24h_real!S56</f>
        <v>33.108999999999995</v>
      </c>
      <c r="E41" s="103">
        <f t="shared" si="30"/>
        <v>35</v>
      </c>
      <c r="F41" s="364">
        <f>IF(C41="","",LARGE(Datos1,35))</f>
        <v>17.288999999999998</v>
      </c>
      <c r="G41" s="117">
        <f t="shared" si="0"/>
        <v>0.35185185185185186</v>
      </c>
      <c r="H41" s="4"/>
      <c r="I41" s="5"/>
      <c r="J41" s="364">
        <f t="shared" si="34"/>
        <v>35</v>
      </c>
      <c r="K41" s="364">
        <f t="shared" si="49"/>
        <v>17.288999999999998</v>
      </c>
      <c r="L41" s="117">
        <f t="shared" si="35"/>
        <v>0.35185185185185186</v>
      </c>
      <c r="M41" s="117">
        <f t="shared" si="2"/>
        <v>-0.60818025430088829</v>
      </c>
      <c r="N41" s="117">
        <f t="shared" si="36"/>
        <v>0.27153396459037726</v>
      </c>
      <c r="O41" s="117">
        <f t="shared" si="37"/>
        <v>8.0317887261474596E-2</v>
      </c>
      <c r="R41" s="364">
        <f t="shared" si="38"/>
        <v>35</v>
      </c>
      <c r="S41" s="117">
        <f t="shared" si="50"/>
        <v>1.2377698743010184</v>
      </c>
      <c r="T41" s="117">
        <f t="shared" si="39"/>
        <v>0.35185185185185186</v>
      </c>
      <c r="U41" s="117">
        <f t="shared" si="4"/>
        <v>-0.49634044641037534</v>
      </c>
      <c r="V41" s="117">
        <f t="shared" si="40"/>
        <v>0.30982711723985379</v>
      </c>
      <c r="W41" s="117">
        <f t="shared" si="41"/>
        <v>4.2024734611998071E-2</v>
      </c>
      <c r="Z41" s="103">
        <f t="shared" si="42"/>
        <v>35</v>
      </c>
      <c r="AA41" s="364">
        <f t="shared" si="51"/>
        <v>17.288999999999998</v>
      </c>
      <c r="AB41" s="117">
        <f t="shared" si="43"/>
        <v>0.35185185185185186</v>
      </c>
      <c r="AC41" s="117">
        <f t="shared" si="6"/>
        <v>0.29378457001478214</v>
      </c>
      <c r="AD41" s="117">
        <f t="shared" si="44"/>
        <v>5.8067281837069717E-2</v>
      </c>
      <c r="AH41" s="103">
        <f t="shared" si="22"/>
        <v>35</v>
      </c>
      <c r="AI41" s="364">
        <f t="shared" si="52"/>
        <v>17.288999999999998</v>
      </c>
      <c r="AJ41" s="117">
        <f t="shared" si="23"/>
        <v>0.35185185185185186</v>
      </c>
      <c r="AK41" s="117">
        <f t="shared" si="8"/>
        <v>15.806865383418977</v>
      </c>
      <c r="AL41" s="117">
        <f t="shared" si="24"/>
        <v>0.28745960918522784</v>
      </c>
      <c r="AM41" s="117">
        <f t="shared" si="45"/>
        <v>6.4392242666624022E-2</v>
      </c>
      <c r="AP41" s="103">
        <f t="shared" si="46"/>
        <v>35</v>
      </c>
      <c r="AQ41" s="117">
        <f t="shared" si="53"/>
        <v>1.2377698743010184</v>
      </c>
      <c r="AR41" s="117">
        <f t="shared" si="47"/>
        <v>0.35185185185185186</v>
      </c>
      <c r="AS41" s="117">
        <f t="shared" si="10"/>
        <v>3793.3789770569188</v>
      </c>
      <c r="AT41" s="117">
        <f t="shared" si="28"/>
        <v>0.31126048016240299</v>
      </c>
      <c r="AU41" s="117">
        <f t="shared" si="48"/>
        <v>4.0591371689448874E-2</v>
      </c>
    </row>
    <row r="42" spans="2:56" ht="13.5" customHeight="1" x14ac:dyDescent="0.3">
      <c r="B42" s="103">
        <f>P24h_real!Q57</f>
        <v>2004</v>
      </c>
      <c r="C42" s="345">
        <f>P24h_real!S57</f>
        <v>18.645</v>
      </c>
      <c r="E42" s="103">
        <f t="shared" si="30"/>
        <v>36</v>
      </c>
      <c r="F42" s="364">
        <f>IF(C42="","",LARGE(Datos1,36))</f>
        <v>17.288999999999998</v>
      </c>
      <c r="G42" s="117">
        <f t="shared" si="0"/>
        <v>0.33333333333333337</v>
      </c>
      <c r="H42" s="4"/>
      <c r="I42" s="5"/>
      <c r="J42" s="364">
        <f t="shared" si="34"/>
        <v>36</v>
      </c>
      <c r="K42" s="364">
        <f t="shared" si="49"/>
        <v>17.288999999999998</v>
      </c>
      <c r="L42" s="117">
        <f t="shared" si="35"/>
        <v>0.33333333333333337</v>
      </c>
      <c r="M42" s="117">
        <f t="shared" si="2"/>
        <v>-0.60818025430088829</v>
      </c>
      <c r="N42" s="117">
        <f t="shared" si="36"/>
        <v>0.27153396459037726</v>
      </c>
      <c r="O42" s="117">
        <f t="shared" si="37"/>
        <v>6.1799368742956107E-2</v>
      </c>
      <c r="R42" s="364">
        <f t="shared" si="38"/>
        <v>36</v>
      </c>
      <c r="S42" s="117">
        <f t="shared" si="50"/>
        <v>1.2377698743010184</v>
      </c>
      <c r="T42" s="117">
        <f t="shared" si="39"/>
        <v>0.33333333333333337</v>
      </c>
      <c r="U42" s="117">
        <f t="shared" si="4"/>
        <v>-0.49634044641037534</v>
      </c>
      <c r="V42" s="117">
        <f t="shared" si="40"/>
        <v>0.30982711723985379</v>
      </c>
      <c r="W42" s="117">
        <f t="shared" si="41"/>
        <v>2.3506216093479582E-2</v>
      </c>
      <c r="Z42" s="103">
        <f t="shared" si="42"/>
        <v>36</v>
      </c>
      <c r="AA42" s="364">
        <f t="shared" si="51"/>
        <v>17.288999999999998</v>
      </c>
      <c r="AB42" s="117">
        <f t="shared" si="43"/>
        <v>0.33333333333333337</v>
      </c>
      <c r="AC42" s="117">
        <f t="shared" si="6"/>
        <v>0.29378457001478214</v>
      </c>
      <c r="AD42" s="117">
        <f t="shared" si="44"/>
        <v>3.9548763318551228E-2</v>
      </c>
      <c r="AH42" s="103">
        <f t="shared" si="22"/>
        <v>36</v>
      </c>
      <c r="AI42" s="364">
        <f t="shared" si="52"/>
        <v>17.288999999999998</v>
      </c>
      <c r="AJ42" s="117">
        <f t="shared" si="23"/>
        <v>0.33333333333333337</v>
      </c>
      <c r="AK42" s="117">
        <f t="shared" si="8"/>
        <v>15.806865383418977</v>
      </c>
      <c r="AL42" s="117">
        <f t="shared" si="24"/>
        <v>0.28745960918522784</v>
      </c>
      <c r="AM42" s="117">
        <f t="shared" si="45"/>
        <v>4.5873724148105532E-2</v>
      </c>
      <c r="AP42" s="103">
        <f t="shared" si="46"/>
        <v>36</v>
      </c>
      <c r="AQ42" s="117">
        <f t="shared" si="53"/>
        <v>1.2377698743010184</v>
      </c>
      <c r="AR42" s="117">
        <f t="shared" si="47"/>
        <v>0.33333333333333337</v>
      </c>
      <c r="AS42" s="117">
        <f t="shared" si="10"/>
        <v>3793.3789770569188</v>
      </c>
      <c r="AT42" s="117">
        <f t="shared" si="28"/>
        <v>0.31126048016240299</v>
      </c>
      <c r="AU42" s="117">
        <f t="shared" si="48"/>
        <v>2.2072853170930384E-2</v>
      </c>
    </row>
    <row r="43" spans="2:56" ht="13.5" customHeight="1" x14ac:dyDescent="0.3">
      <c r="B43" s="103">
        <f>P24h_real!Q58</f>
        <v>2005</v>
      </c>
      <c r="C43" s="345">
        <f>P24h_real!S58</f>
        <v>13.898999999999999</v>
      </c>
      <c r="E43" s="103">
        <f t="shared" si="30"/>
        <v>37</v>
      </c>
      <c r="F43" s="364">
        <f>IF(C43="","",LARGE(Datos1,37))</f>
        <v>17.175999999999998</v>
      </c>
      <c r="G43" s="117">
        <f t="shared" si="0"/>
        <v>0.31481481481481477</v>
      </c>
      <c r="H43" s="4"/>
      <c r="I43" s="5"/>
      <c r="J43" s="364">
        <f t="shared" si="34"/>
        <v>37</v>
      </c>
      <c r="K43" s="364">
        <f t="shared" si="49"/>
        <v>17.175999999999998</v>
      </c>
      <c r="L43" s="117">
        <f t="shared" si="35"/>
        <v>0.31481481481481477</v>
      </c>
      <c r="M43" s="117">
        <f t="shared" si="2"/>
        <v>-0.6218501243084994</v>
      </c>
      <c r="N43" s="117">
        <f t="shared" si="36"/>
        <v>0.2670202117377114</v>
      </c>
      <c r="O43" s="117">
        <f t="shared" si="37"/>
        <v>4.779460307710337E-2</v>
      </c>
      <c r="R43" s="364">
        <f t="shared" si="38"/>
        <v>37</v>
      </c>
      <c r="S43" s="117">
        <f t="shared" si="50"/>
        <v>1.2349220314281921</v>
      </c>
      <c r="T43" s="117">
        <f t="shared" si="39"/>
        <v>0.31481481481481477</v>
      </c>
      <c r="U43" s="117">
        <f t="shared" si="4"/>
        <v>-0.51375793398432257</v>
      </c>
      <c r="V43" s="117">
        <f t="shared" si="40"/>
        <v>0.30371062087655687</v>
      </c>
      <c r="W43" s="117">
        <f t="shared" si="41"/>
        <v>1.11041939382579E-2</v>
      </c>
      <c r="Z43" s="103">
        <f t="shared" si="42"/>
        <v>37</v>
      </c>
      <c r="AA43" s="364">
        <f t="shared" si="51"/>
        <v>17.175999999999998</v>
      </c>
      <c r="AB43" s="117">
        <f t="shared" si="43"/>
        <v>0.31481481481481477</v>
      </c>
      <c r="AC43" s="117">
        <f t="shared" si="6"/>
        <v>0.28748847712822795</v>
      </c>
      <c r="AD43" s="117">
        <f t="shared" si="44"/>
        <v>2.7326337686586821E-2</v>
      </c>
      <c r="AH43" s="103">
        <f t="shared" si="22"/>
        <v>37</v>
      </c>
      <c r="AI43" s="364">
        <f t="shared" si="52"/>
        <v>17.175999999999998</v>
      </c>
      <c r="AJ43" s="117">
        <f t="shared" si="23"/>
        <v>0.31481481481481477</v>
      </c>
      <c r="AK43" s="117">
        <f t="shared" si="8"/>
        <v>15.748201309931858</v>
      </c>
      <c r="AL43" s="117">
        <f t="shared" si="24"/>
        <v>0.2823197956895398</v>
      </c>
      <c r="AM43" s="117">
        <f t="shared" si="45"/>
        <v>3.2495019125274971E-2</v>
      </c>
      <c r="AP43" s="103">
        <f t="shared" si="46"/>
        <v>37</v>
      </c>
      <c r="AQ43" s="117">
        <f t="shared" si="53"/>
        <v>1.2349220314281921</v>
      </c>
      <c r="AR43" s="117">
        <f t="shared" si="47"/>
        <v>0.31481481481481477</v>
      </c>
      <c r="AS43" s="117">
        <f t="shared" si="10"/>
        <v>3792.3018955931047</v>
      </c>
      <c r="AT43" s="117">
        <f t="shared" si="28"/>
        <v>0.30509806183942301</v>
      </c>
      <c r="AU43" s="117">
        <f t="shared" si="48"/>
        <v>9.7167529753917625E-3</v>
      </c>
    </row>
    <row r="44" spans="2:56" ht="13.5" customHeight="1" x14ac:dyDescent="0.3">
      <c r="B44" s="103">
        <f>P24h_real!Q59</f>
        <v>2006</v>
      </c>
      <c r="C44" s="345">
        <f>P24h_real!S59</f>
        <v>35.707999999999998</v>
      </c>
      <c r="E44" s="103">
        <f t="shared" si="30"/>
        <v>38</v>
      </c>
      <c r="F44" s="364">
        <f>IF(C44="","",LARGE(Datos1,38))</f>
        <v>17.062999999999999</v>
      </c>
      <c r="G44" s="117">
        <f t="shared" si="0"/>
        <v>0.29629629629629628</v>
      </c>
      <c r="H44" s="4"/>
      <c r="I44" s="5"/>
      <c r="J44" s="364">
        <f t="shared" si="34"/>
        <v>38</v>
      </c>
      <c r="K44" s="364">
        <f t="shared" si="49"/>
        <v>17.062999999999999</v>
      </c>
      <c r="L44" s="117">
        <f t="shared" si="35"/>
        <v>0.29629629629629628</v>
      </c>
      <c r="M44" s="117">
        <f t="shared" si="2"/>
        <v>-0.6355199943161105</v>
      </c>
      <c r="N44" s="117">
        <f t="shared" si="36"/>
        <v>0.26254466532526882</v>
      </c>
      <c r="O44" s="117">
        <f t="shared" si="37"/>
        <v>3.3751630971027458E-2</v>
      </c>
      <c r="R44" s="364">
        <f t="shared" si="38"/>
        <v>38</v>
      </c>
      <c r="S44" s="117">
        <f t="shared" si="50"/>
        <v>1.2320553907765892</v>
      </c>
      <c r="T44" s="117">
        <f t="shared" si="39"/>
        <v>0.29629629629629628</v>
      </c>
      <c r="U44" s="117">
        <f t="shared" si="4"/>
        <v>-0.53129038930504568</v>
      </c>
      <c r="V44" s="117">
        <f t="shared" si="40"/>
        <v>0.29760878213214492</v>
      </c>
      <c r="W44" s="117">
        <f t="shared" si="41"/>
        <v>1.3124858358486424E-3</v>
      </c>
      <c r="Z44" s="103">
        <f t="shared" si="42"/>
        <v>38</v>
      </c>
      <c r="AA44" s="364">
        <f t="shared" si="51"/>
        <v>17.062999999999999</v>
      </c>
      <c r="AB44" s="117">
        <f t="shared" si="43"/>
        <v>0.29629629629629628</v>
      </c>
      <c r="AC44" s="117">
        <f t="shared" si="6"/>
        <v>0.28121954497221002</v>
      </c>
      <c r="AD44" s="117">
        <f t="shared" si="44"/>
        <v>1.5076751324086257E-2</v>
      </c>
      <c r="AH44" s="103">
        <f t="shared" si="22"/>
        <v>38</v>
      </c>
      <c r="AI44" s="364">
        <f t="shared" si="52"/>
        <v>17.062999999999999</v>
      </c>
      <c r="AJ44" s="117">
        <f t="shared" si="23"/>
        <v>0.29629629629629628</v>
      </c>
      <c r="AK44" s="117">
        <f t="shared" si="8"/>
        <v>15.689537236444739</v>
      </c>
      <c r="AL44" s="117">
        <f t="shared" si="24"/>
        <v>0.2772118322071741</v>
      </c>
      <c r="AM44" s="117">
        <f t="shared" si="45"/>
        <v>1.9084464089122177E-2</v>
      </c>
      <c r="AP44" s="103">
        <f t="shared" si="46"/>
        <v>38</v>
      </c>
      <c r="AQ44" s="117">
        <f t="shared" si="53"/>
        <v>1.2320553907765892</v>
      </c>
      <c r="AR44" s="117">
        <f t="shared" si="47"/>
        <v>0.29629629629629628</v>
      </c>
      <c r="AS44" s="117">
        <f t="shared" si="10"/>
        <v>3791.2177046292281</v>
      </c>
      <c r="AT44" s="117">
        <f t="shared" si="28"/>
        <v>0.298949121808264</v>
      </c>
      <c r="AU44" s="117">
        <f t="shared" si="48"/>
        <v>2.6528255119677158E-3</v>
      </c>
    </row>
    <row r="45" spans="2:56" ht="13.5" customHeight="1" x14ac:dyDescent="0.3">
      <c r="B45" s="103">
        <f>P24h_real!Q60</f>
        <v>2007</v>
      </c>
      <c r="C45" s="345">
        <f>P24h_real!S60</f>
        <v>15.932999999999998</v>
      </c>
      <c r="E45" s="103">
        <f t="shared" si="30"/>
        <v>39</v>
      </c>
      <c r="F45" s="364">
        <f>IF(C45="","",LARGE(Datos1,39))</f>
        <v>16.724</v>
      </c>
      <c r="G45" s="117">
        <f t="shared" ref="G45:G66" si="54">IF(F45="","",(1-(E45/($C$68+1))))</f>
        <v>0.27777777777777779</v>
      </c>
      <c r="H45" s="4"/>
      <c r="I45" s="5"/>
      <c r="J45" s="364">
        <f t="shared" ref="J45:J66" si="55">E45</f>
        <v>39</v>
      </c>
      <c r="K45" s="364">
        <f t="shared" ref="K45:K66" si="56">IF(F45="","",F45)</f>
        <v>16.724</v>
      </c>
      <c r="L45" s="117">
        <f t="shared" ref="L45:L66" si="57">G45</f>
        <v>0.27777777777777779</v>
      </c>
      <c r="M45" s="117">
        <f t="shared" ref="M45:M66" si="58">IF(L45="","",(K45-$K$69)/$K$70)</f>
        <v>-0.67652960433894394</v>
      </c>
      <c r="N45" s="117">
        <f t="shared" ref="N45:N66" si="59">IF(M45="","",_xlfn.NORM.S.DIST(M45,TRUE))</f>
        <v>0.24935222831508164</v>
      </c>
      <c r="O45" s="117">
        <f t="shared" ref="O45:O66" si="60">IF(N45="","",ABS(N45-L45))</f>
        <v>2.8425549462696154E-2</v>
      </c>
      <c r="R45" s="364">
        <f t="shared" ref="R45:R66" si="61">E45</f>
        <v>39</v>
      </c>
      <c r="S45" s="117">
        <f t="shared" ref="S45:S66" si="62">IF(F45="","",LOG10(F45))</f>
        <v>1.2233401588783772</v>
      </c>
      <c r="T45" s="117">
        <f t="shared" ref="T45:T66" si="63">G45</f>
        <v>0.27777777777777779</v>
      </c>
      <c r="U45" s="117">
        <f t="shared" ref="U45:U66" si="64">IF(T45="","",(S45-$S$69)/$S$70)</f>
        <v>-0.58459299414311727</v>
      </c>
      <c r="V45" s="117">
        <f t="shared" ref="V45:V66" si="65">IF(U45="","",_xlfn.NORM.S.DIST(U45,TRUE))</f>
        <v>0.27941070976841575</v>
      </c>
      <c r="W45" s="117">
        <f t="shared" ref="W45:W66" si="66">IF(V45="","",ABS(V45-T45))</f>
        <v>1.6329319906379647E-3</v>
      </c>
      <c r="Z45" s="103">
        <f t="shared" ref="Z45:Z66" si="67">E45</f>
        <v>39</v>
      </c>
      <c r="AA45" s="364">
        <f t="shared" ref="AA45:AA66" si="68">IF(F45="","",F45)</f>
        <v>16.724</v>
      </c>
      <c r="AB45" s="117">
        <f t="shared" ref="AB45:AB66" si="69">G45</f>
        <v>0.27777777777777779</v>
      </c>
      <c r="AC45" s="117">
        <f t="shared" ref="AC45:AC66" si="70">IF(AB45="","",EXP(-1*EXP(-1*$AF$70*(AA45-$AF$71))))</f>
        <v>0.26259870450939105</v>
      </c>
      <c r="AD45" s="117">
        <f t="shared" ref="AD45:AD66" si="71">IF(AC45="","",ABS(AC45-AB45))</f>
        <v>1.5179073268386745E-2</v>
      </c>
      <c r="AH45" s="103">
        <f t="shared" ref="AH45:AH66" si="72">E45</f>
        <v>39</v>
      </c>
      <c r="AI45" s="364">
        <f t="shared" ref="AI45:AI66" si="73">IF(F45="","",F45)</f>
        <v>16.724</v>
      </c>
      <c r="AJ45" s="117">
        <f t="shared" ref="AJ45:AJ66" si="74">G45</f>
        <v>0.27777777777777779</v>
      </c>
      <c r="AK45" s="117">
        <f t="shared" ref="AK45:AK66" si="75">IF(AJ45="","",(AI45-$AN$71)/$AN$70)</f>
        <v>15.513545015983382</v>
      </c>
      <c r="AL45" s="117">
        <f t="shared" si="24"/>
        <v>0.26208931348277209</v>
      </c>
      <c r="AM45" s="117">
        <f t="shared" ref="AM45:AM66" si="76">IF(AJ45="","",ABS(AL45-AJ45))</f>
        <v>1.56884642950057E-2</v>
      </c>
      <c r="AP45" s="103">
        <f t="shared" ref="AP45:AP66" si="77">E45</f>
        <v>39</v>
      </c>
      <c r="AQ45" s="117">
        <f t="shared" ref="AQ45:AQ66" si="78">IF(F45="","",LOG10(F45))</f>
        <v>1.2233401588783772</v>
      </c>
      <c r="AR45" s="117">
        <f t="shared" ref="AR45:AR66" si="79">G45</f>
        <v>0.27777777777777779</v>
      </c>
      <c r="AS45" s="117">
        <f t="shared" ref="AS45:AS66" si="80">IF(AR45="","",(AQ45-$AV$71)/$AV$70)</f>
        <v>3787.9215204120519</v>
      </c>
      <c r="AT45" s="117">
        <f t="shared" si="28"/>
        <v>0.28060313047081947</v>
      </c>
      <c r="AU45" s="117">
        <f t="shared" ref="AU45:AU66" si="81">IF(AT45="","",ABS(AT45-AR45))</f>
        <v>2.8253526930416828E-3</v>
      </c>
    </row>
    <row r="46" spans="2:56" ht="13.5" customHeight="1" x14ac:dyDescent="0.3">
      <c r="B46" s="103">
        <f>P24h_real!Q61</f>
        <v>2008</v>
      </c>
      <c r="C46" s="345">
        <f>P24h_real!S61</f>
        <v>19.774999999999999</v>
      </c>
      <c r="E46" s="103">
        <f t="shared" si="30"/>
        <v>40</v>
      </c>
      <c r="F46" s="364">
        <f>IF(C46="","",LARGE(Datos1,40))</f>
        <v>15.932999999999998</v>
      </c>
      <c r="G46" s="117">
        <f t="shared" si="54"/>
        <v>0.2592592592592593</v>
      </c>
      <c r="H46" s="4"/>
      <c r="I46" s="5"/>
      <c r="J46" s="364">
        <f t="shared" si="55"/>
        <v>40</v>
      </c>
      <c r="K46" s="364">
        <f t="shared" si="56"/>
        <v>15.932999999999998</v>
      </c>
      <c r="L46" s="117">
        <f t="shared" si="57"/>
        <v>0.2592592592592593</v>
      </c>
      <c r="M46" s="117">
        <f t="shared" si="58"/>
        <v>-0.77221869439222235</v>
      </c>
      <c r="N46" s="117">
        <f t="shared" si="59"/>
        <v>0.21999245554944119</v>
      </c>
      <c r="O46" s="117">
        <f t="shared" si="60"/>
        <v>3.926680370981811E-2</v>
      </c>
      <c r="R46" s="364">
        <f t="shared" si="61"/>
        <v>40</v>
      </c>
      <c r="S46" s="117">
        <f t="shared" si="62"/>
        <v>1.2022975561387996</v>
      </c>
      <c r="T46" s="117">
        <f t="shared" si="63"/>
        <v>0.2592592592592593</v>
      </c>
      <c r="U46" s="117">
        <f t="shared" si="64"/>
        <v>-0.71329014778080069</v>
      </c>
      <c r="V46" s="117">
        <f t="shared" si="65"/>
        <v>0.23783311637284812</v>
      </c>
      <c r="W46" s="117">
        <f t="shared" si="66"/>
        <v>2.1426142886411176E-2</v>
      </c>
      <c r="Z46" s="103">
        <f t="shared" si="67"/>
        <v>40</v>
      </c>
      <c r="AA46" s="364">
        <f t="shared" si="68"/>
        <v>15.932999999999998</v>
      </c>
      <c r="AB46" s="117">
        <f t="shared" si="69"/>
        <v>0.2592592592592593</v>
      </c>
      <c r="AC46" s="117">
        <f t="shared" si="70"/>
        <v>0.22053120612403487</v>
      </c>
      <c r="AD46" s="117">
        <f t="shared" si="71"/>
        <v>3.8728053135224427E-2</v>
      </c>
      <c r="AH46" s="103">
        <f t="shared" si="72"/>
        <v>40</v>
      </c>
      <c r="AI46" s="364">
        <f t="shared" si="73"/>
        <v>15.932999999999998</v>
      </c>
      <c r="AJ46" s="117">
        <f t="shared" si="74"/>
        <v>0.2592592592592593</v>
      </c>
      <c r="AK46" s="117">
        <f t="shared" si="75"/>
        <v>15.10289650157355</v>
      </c>
      <c r="AL46" s="117">
        <f t="shared" si="24"/>
        <v>0.22810421293947225</v>
      </c>
      <c r="AM46" s="117">
        <f t="shared" si="76"/>
        <v>3.115504631978705E-2</v>
      </c>
      <c r="AP46" s="103">
        <f t="shared" si="77"/>
        <v>40</v>
      </c>
      <c r="AQ46" s="117">
        <f t="shared" si="78"/>
        <v>1.2022975561387996</v>
      </c>
      <c r="AR46" s="117">
        <f t="shared" si="79"/>
        <v>0.2592592592592593</v>
      </c>
      <c r="AS46" s="117">
        <f t="shared" si="80"/>
        <v>3779.9630064162588</v>
      </c>
      <c r="AT46" s="117">
        <f t="shared" si="28"/>
        <v>0.23864881149203629</v>
      </c>
      <c r="AU46" s="117">
        <f t="shared" si="81"/>
        <v>2.0610447767223011E-2</v>
      </c>
    </row>
    <row r="47" spans="2:56" ht="13.5" customHeight="1" x14ac:dyDescent="0.3">
      <c r="B47" s="103">
        <f>P24h_real!Q62</f>
        <v>2009</v>
      </c>
      <c r="C47" s="345">
        <f>P24h_real!S62</f>
        <v>28.814999999999998</v>
      </c>
      <c r="E47" s="103">
        <f t="shared" si="30"/>
        <v>41</v>
      </c>
      <c r="F47" s="364">
        <f>IF(C47="","",LARGE(Datos1,41))</f>
        <v>15.254999999999999</v>
      </c>
      <c r="G47" s="117">
        <f t="shared" si="54"/>
        <v>0.2407407407407407</v>
      </c>
      <c r="H47" s="4"/>
      <c r="I47" s="5"/>
      <c r="J47" s="364">
        <f t="shared" si="55"/>
        <v>41</v>
      </c>
      <c r="K47" s="364">
        <f t="shared" si="56"/>
        <v>15.254999999999999</v>
      </c>
      <c r="L47" s="117">
        <f t="shared" si="57"/>
        <v>0.2407407407407407</v>
      </c>
      <c r="M47" s="117">
        <f t="shared" si="58"/>
        <v>-0.85423791443788932</v>
      </c>
      <c r="N47" s="117">
        <f t="shared" si="59"/>
        <v>0.19648658978061787</v>
      </c>
      <c r="O47" s="117">
        <f t="shared" si="60"/>
        <v>4.4254150960122834E-2</v>
      </c>
      <c r="R47" s="364">
        <f t="shared" si="61"/>
        <v>41</v>
      </c>
      <c r="S47" s="117">
        <f t="shared" si="62"/>
        <v>1.1834122119784258</v>
      </c>
      <c r="T47" s="117">
        <f t="shared" si="63"/>
        <v>0.2407407407407407</v>
      </c>
      <c r="U47" s="117">
        <f t="shared" si="64"/>
        <v>-0.82879344692054113</v>
      </c>
      <c r="V47" s="117">
        <f t="shared" si="65"/>
        <v>0.20361064848851348</v>
      </c>
      <c r="W47" s="117">
        <f t="shared" si="66"/>
        <v>3.7130092252227215E-2</v>
      </c>
      <c r="Z47" s="103">
        <f t="shared" si="67"/>
        <v>41</v>
      </c>
      <c r="AA47" s="364">
        <f t="shared" si="68"/>
        <v>15.254999999999999</v>
      </c>
      <c r="AB47" s="117">
        <f t="shared" si="69"/>
        <v>0.2407407407407407</v>
      </c>
      <c r="AC47" s="117">
        <f t="shared" si="70"/>
        <v>0.18648629169838657</v>
      </c>
      <c r="AD47" s="117">
        <f t="shared" si="71"/>
        <v>5.425444904235413E-2</v>
      </c>
      <c r="AH47" s="103">
        <f t="shared" si="72"/>
        <v>41</v>
      </c>
      <c r="AI47" s="364">
        <f t="shared" si="73"/>
        <v>15.254999999999999</v>
      </c>
      <c r="AJ47" s="117">
        <f t="shared" si="74"/>
        <v>0.2407407407407407</v>
      </c>
      <c r="AK47" s="117">
        <f t="shared" si="75"/>
        <v>14.750912060650835</v>
      </c>
      <c r="AL47" s="117">
        <f t="shared" si="24"/>
        <v>0.20061259919856991</v>
      </c>
      <c r="AM47" s="117">
        <f t="shared" si="76"/>
        <v>4.0128141542170787E-2</v>
      </c>
      <c r="AP47" s="103">
        <f t="shared" si="77"/>
        <v>41</v>
      </c>
      <c r="AQ47" s="117">
        <f t="shared" si="78"/>
        <v>1.1834122119784258</v>
      </c>
      <c r="AR47" s="117">
        <f t="shared" si="79"/>
        <v>0.2407407407407407</v>
      </c>
      <c r="AS47" s="117">
        <f t="shared" si="80"/>
        <v>3772.820388286942</v>
      </c>
      <c r="AT47" s="117">
        <f t="shared" si="28"/>
        <v>0.20408201229396425</v>
      </c>
      <c r="AU47" s="117">
        <f t="shared" si="81"/>
        <v>3.6658728446776451E-2</v>
      </c>
    </row>
    <row r="48" spans="2:56" ht="13.5" customHeight="1" x14ac:dyDescent="0.3">
      <c r="B48" s="103">
        <f>P24h_real!Q63</f>
        <v>2010</v>
      </c>
      <c r="C48" s="345">
        <f>P24h_real!S63</f>
        <v>21.582999999999998</v>
      </c>
      <c r="E48" s="103">
        <f t="shared" si="30"/>
        <v>42</v>
      </c>
      <c r="F48" s="364">
        <f>IF(C48="","",LARGE(Datos1,42))</f>
        <v>14.011999999999997</v>
      </c>
      <c r="G48" s="117">
        <f t="shared" si="54"/>
        <v>0.22222222222222221</v>
      </c>
      <c r="H48" s="4"/>
      <c r="I48" s="5"/>
      <c r="J48" s="364">
        <f t="shared" si="55"/>
        <v>42</v>
      </c>
      <c r="K48" s="364">
        <f t="shared" si="56"/>
        <v>14.011999999999997</v>
      </c>
      <c r="L48" s="117">
        <f t="shared" si="57"/>
        <v>0.22222222222222221</v>
      </c>
      <c r="M48" s="117">
        <f t="shared" si="58"/>
        <v>-1.0046064845216125</v>
      </c>
      <c r="N48" s="117">
        <f t="shared" si="59"/>
        <v>0.15754318679825413</v>
      </c>
      <c r="O48" s="117">
        <f t="shared" si="60"/>
        <v>6.4679035423968079E-2</v>
      </c>
      <c r="R48" s="364">
        <f t="shared" si="61"/>
        <v>42</v>
      </c>
      <c r="S48" s="117">
        <f t="shared" si="62"/>
        <v>1.1465001286456546</v>
      </c>
      <c r="T48" s="117">
        <f t="shared" si="63"/>
        <v>0.22222222222222221</v>
      </c>
      <c r="U48" s="117">
        <f t="shared" si="64"/>
        <v>-1.0545487928041457</v>
      </c>
      <c r="V48" s="117">
        <f t="shared" si="65"/>
        <v>0.14581586699100191</v>
      </c>
      <c r="W48" s="117">
        <f t="shared" si="66"/>
        <v>7.6406355231220302E-2</v>
      </c>
      <c r="Z48" s="103">
        <f t="shared" si="67"/>
        <v>42</v>
      </c>
      <c r="AA48" s="364">
        <f t="shared" si="68"/>
        <v>14.011999999999997</v>
      </c>
      <c r="AB48" s="117">
        <f t="shared" si="69"/>
        <v>0.22222222222222221</v>
      </c>
      <c r="AC48" s="117">
        <f t="shared" si="70"/>
        <v>0.13047127775294248</v>
      </c>
      <c r="AD48" s="117">
        <f t="shared" si="71"/>
        <v>9.1750944469279727E-2</v>
      </c>
      <c r="AH48" s="103">
        <f t="shared" si="72"/>
        <v>42</v>
      </c>
      <c r="AI48" s="364">
        <f t="shared" si="73"/>
        <v>14.011999999999997</v>
      </c>
      <c r="AJ48" s="117">
        <f t="shared" si="74"/>
        <v>0.22222222222222221</v>
      </c>
      <c r="AK48" s="117">
        <f t="shared" si="75"/>
        <v>14.105607252292524</v>
      </c>
      <c r="AL48" s="117">
        <f t="shared" si="24"/>
        <v>0.15471325487159029</v>
      </c>
      <c r="AM48" s="117">
        <f t="shared" si="76"/>
        <v>6.7508967350631915E-2</v>
      </c>
      <c r="AP48" s="103">
        <f t="shared" si="77"/>
        <v>42</v>
      </c>
      <c r="AQ48" s="117">
        <f t="shared" si="78"/>
        <v>1.1465001286456546</v>
      </c>
      <c r="AR48" s="117">
        <f t="shared" si="79"/>
        <v>0.22222222222222221</v>
      </c>
      <c r="AS48" s="117">
        <f t="shared" si="80"/>
        <v>3758.8598846623004</v>
      </c>
      <c r="AT48" s="117">
        <f t="shared" si="28"/>
        <v>0.14566567082790111</v>
      </c>
      <c r="AU48" s="117">
        <f t="shared" si="81"/>
        <v>7.6556551394321104E-2</v>
      </c>
    </row>
    <row r="49" spans="2:53" ht="13.5" customHeight="1" x14ac:dyDescent="0.3">
      <c r="B49" s="103">
        <f>P24h_real!Q64</f>
        <v>2011</v>
      </c>
      <c r="C49" s="345">
        <f>P24h_real!S64</f>
        <v>17.853999999999999</v>
      </c>
      <c r="E49" s="103">
        <f t="shared" si="30"/>
        <v>43</v>
      </c>
      <c r="F49" s="364">
        <f>IF(C49="","",LARGE(Datos1,43))</f>
        <v>13.898999999999999</v>
      </c>
      <c r="G49" s="117">
        <f t="shared" si="54"/>
        <v>0.20370370370370372</v>
      </c>
      <c r="H49" s="4"/>
      <c r="I49" s="5"/>
      <c r="J49" s="364">
        <f t="shared" si="55"/>
        <v>43</v>
      </c>
      <c r="K49" s="364">
        <f t="shared" si="56"/>
        <v>13.898999999999999</v>
      </c>
      <c r="L49" s="117">
        <f t="shared" si="57"/>
        <v>0.20370370370370372</v>
      </c>
      <c r="M49" s="117">
        <f t="shared" si="58"/>
        <v>-1.0182763545292233</v>
      </c>
      <c r="N49" s="117">
        <f t="shared" si="59"/>
        <v>0.15427332109491829</v>
      </c>
      <c r="O49" s="117">
        <f t="shared" si="60"/>
        <v>4.9430382608785434E-2</v>
      </c>
      <c r="R49" s="364">
        <f t="shared" si="61"/>
        <v>43</v>
      </c>
      <c r="S49" s="117">
        <f t="shared" si="62"/>
        <v>1.1429835549228176</v>
      </c>
      <c r="T49" s="117">
        <f t="shared" si="63"/>
        <v>0.20370370370370372</v>
      </c>
      <c r="U49" s="117">
        <f t="shared" si="64"/>
        <v>-1.0760562571747481</v>
      </c>
      <c r="V49" s="117">
        <f t="shared" si="65"/>
        <v>0.14095104859634325</v>
      </c>
      <c r="W49" s="117">
        <f t="shared" si="66"/>
        <v>6.2752655107360472E-2</v>
      </c>
      <c r="Z49" s="103">
        <f t="shared" si="67"/>
        <v>43</v>
      </c>
      <c r="AA49" s="364">
        <f t="shared" si="68"/>
        <v>13.898999999999999</v>
      </c>
      <c r="AB49" s="117">
        <f t="shared" si="69"/>
        <v>0.20370370370370372</v>
      </c>
      <c r="AC49" s="117">
        <f t="shared" si="70"/>
        <v>0.12585536840928985</v>
      </c>
      <c r="AD49" s="117">
        <f t="shared" si="71"/>
        <v>7.7848335294413873E-2</v>
      </c>
      <c r="AH49" s="103">
        <f t="shared" si="72"/>
        <v>43</v>
      </c>
      <c r="AI49" s="364">
        <f t="shared" si="73"/>
        <v>13.898999999999999</v>
      </c>
      <c r="AJ49" s="117">
        <f t="shared" si="74"/>
        <v>0.20370370370370372</v>
      </c>
      <c r="AK49" s="117">
        <f t="shared" si="75"/>
        <v>14.046943178805407</v>
      </c>
      <c r="AL49" s="117">
        <f t="shared" si="24"/>
        <v>0.15085165843647108</v>
      </c>
      <c r="AM49" s="117">
        <f t="shared" si="76"/>
        <v>5.2852045267232639E-2</v>
      </c>
      <c r="AP49" s="103">
        <f t="shared" si="77"/>
        <v>43</v>
      </c>
      <c r="AQ49" s="117">
        <f t="shared" si="78"/>
        <v>1.1429835549228176</v>
      </c>
      <c r="AR49" s="117">
        <f t="shared" si="79"/>
        <v>0.20370370370370372</v>
      </c>
      <c r="AS49" s="117">
        <f t="shared" si="80"/>
        <v>3757.5298827829329</v>
      </c>
      <c r="AT49" s="117">
        <f t="shared" si="28"/>
        <v>0.14074826091201401</v>
      </c>
      <c r="AU49" s="117">
        <f t="shared" si="81"/>
        <v>6.2955442791689714E-2</v>
      </c>
    </row>
    <row r="50" spans="2:53" ht="13.5" customHeight="1" x14ac:dyDescent="0.3">
      <c r="B50" s="103">
        <f>P24h_real!Q65</f>
        <v>2012</v>
      </c>
      <c r="C50" s="345">
        <f>P24h_real!S65</f>
        <v>11.186999999999999</v>
      </c>
      <c r="E50" s="103">
        <f t="shared" si="30"/>
        <v>44</v>
      </c>
      <c r="F50" s="364">
        <f>IF(C50="","",LARGE(Datos1,44))</f>
        <v>13.898999999999999</v>
      </c>
      <c r="G50" s="117">
        <f t="shared" si="54"/>
        <v>0.18518518518518523</v>
      </c>
      <c r="H50" s="4"/>
      <c r="I50" s="5"/>
      <c r="J50" s="364">
        <f t="shared" si="55"/>
        <v>44</v>
      </c>
      <c r="K50" s="364">
        <f t="shared" si="56"/>
        <v>13.898999999999999</v>
      </c>
      <c r="L50" s="117">
        <f t="shared" si="57"/>
        <v>0.18518518518518523</v>
      </c>
      <c r="M50" s="117">
        <f t="shared" si="58"/>
        <v>-1.0182763545292233</v>
      </c>
      <c r="N50" s="117">
        <f t="shared" si="59"/>
        <v>0.15427332109491829</v>
      </c>
      <c r="O50" s="117">
        <f t="shared" si="60"/>
        <v>3.0911864090266944E-2</v>
      </c>
      <c r="R50" s="364">
        <f t="shared" si="61"/>
        <v>44</v>
      </c>
      <c r="S50" s="117">
        <f t="shared" si="62"/>
        <v>1.1429835549228176</v>
      </c>
      <c r="T50" s="117">
        <f t="shared" si="63"/>
        <v>0.18518518518518523</v>
      </c>
      <c r="U50" s="117">
        <f t="shared" si="64"/>
        <v>-1.0760562571747481</v>
      </c>
      <c r="V50" s="117">
        <f t="shared" si="65"/>
        <v>0.14095104859634325</v>
      </c>
      <c r="W50" s="117">
        <f t="shared" si="66"/>
        <v>4.4234136588841982E-2</v>
      </c>
      <c r="Z50" s="103">
        <f t="shared" si="67"/>
        <v>44</v>
      </c>
      <c r="AA50" s="364">
        <f t="shared" si="68"/>
        <v>13.898999999999999</v>
      </c>
      <c r="AB50" s="117">
        <f t="shared" si="69"/>
        <v>0.18518518518518523</v>
      </c>
      <c r="AC50" s="117">
        <f t="shared" si="70"/>
        <v>0.12585536840928985</v>
      </c>
      <c r="AD50" s="117">
        <f t="shared" si="71"/>
        <v>5.9329816775895383E-2</v>
      </c>
      <c r="AH50" s="103">
        <f t="shared" si="72"/>
        <v>44</v>
      </c>
      <c r="AI50" s="364">
        <f t="shared" si="73"/>
        <v>13.898999999999999</v>
      </c>
      <c r="AJ50" s="117">
        <f t="shared" si="74"/>
        <v>0.18518518518518523</v>
      </c>
      <c r="AK50" s="117">
        <f t="shared" si="75"/>
        <v>14.046943178805407</v>
      </c>
      <c r="AL50" s="117">
        <f t="shared" si="24"/>
        <v>0.15085165843647108</v>
      </c>
      <c r="AM50" s="117">
        <f t="shared" si="76"/>
        <v>3.4333526748714149E-2</v>
      </c>
      <c r="AP50" s="103">
        <f t="shared" si="77"/>
        <v>44</v>
      </c>
      <c r="AQ50" s="117">
        <f t="shared" si="78"/>
        <v>1.1429835549228176</v>
      </c>
      <c r="AR50" s="117">
        <f t="shared" si="79"/>
        <v>0.18518518518518523</v>
      </c>
      <c r="AS50" s="117">
        <f t="shared" si="80"/>
        <v>3757.5298827829329</v>
      </c>
      <c r="AT50" s="117">
        <f t="shared" si="28"/>
        <v>0.14074826091201401</v>
      </c>
      <c r="AU50" s="117">
        <f t="shared" si="81"/>
        <v>4.4436924273171224E-2</v>
      </c>
    </row>
    <row r="51" spans="2:53" ht="13.5" customHeight="1" x14ac:dyDescent="0.3">
      <c r="B51" s="103">
        <f>P24h_real!Q66</f>
        <v>2013</v>
      </c>
      <c r="C51" s="345">
        <f>P24h_real!S66</f>
        <v>12.090999999999998</v>
      </c>
      <c r="E51" s="103">
        <f t="shared" si="30"/>
        <v>45</v>
      </c>
      <c r="F51" s="364">
        <f>IF(C51="","",LARGE(Datos1,45))</f>
        <v>13.898999999999999</v>
      </c>
      <c r="G51" s="117">
        <f t="shared" si="54"/>
        <v>0.16666666666666663</v>
      </c>
      <c r="H51" s="4"/>
      <c r="I51" s="5"/>
      <c r="J51" s="364">
        <f t="shared" si="55"/>
        <v>45</v>
      </c>
      <c r="K51" s="364">
        <f t="shared" si="56"/>
        <v>13.898999999999999</v>
      </c>
      <c r="L51" s="117">
        <f t="shared" si="57"/>
        <v>0.16666666666666663</v>
      </c>
      <c r="M51" s="117">
        <f t="shared" si="58"/>
        <v>-1.0182763545292233</v>
      </c>
      <c r="N51" s="117">
        <f t="shared" si="59"/>
        <v>0.15427332109491829</v>
      </c>
      <c r="O51" s="117">
        <f t="shared" si="60"/>
        <v>1.2393345571748343E-2</v>
      </c>
      <c r="R51" s="364">
        <f t="shared" si="61"/>
        <v>45</v>
      </c>
      <c r="S51" s="117">
        <f t="shared" si="62"/>
        <v>1.1429835549228176</v>
      </c>
      <c r="T51" s="117">
        <f t="shared" si="63"/>
        <v>0.16666666666666663</v>
      </c>
      <c r="U51" s="117">
        <f t="shared" si="64"/>
        <v>-1.0760562571747481</v>
      </c>
      <c r="V51" s="117">
        <f t="shared" si="65"/>
        <v>0.14095104859634325</v>
      </c>
      <c r="W51" s="117">
        <f t="shared" si="66"/>
        <v>2.5715618070323382E-2</v>
      </c>
      <c r="Z51" s="103">
        <f t="shared" si="67"/>
        <v>45</v>
      </c>
      <c r="AA51" s="364">
        <f t="shared" si="68"/>
        <v>13.898999999999999</v>
      </c>
      <c r="AB51" s="117">
        <f t="shared" si="69"/>
        <v>0.16666666666666663</v>
      </c>
      <c r="AC51" s="117">
        <f t="shared" si="70"/>
        <v>0.12585536840928985</v>
      </c>
      <c r="AD51" s="117">
        <f t="shared" si="71"/>
        <v>4.0811298257376782E-2</v>
      </c>
      <c r="AH51" s="103">
        <f t="shared" si="72"/>
        <v>45</v>
      </c>
      <c r="AI51" s="364">
        <f t="shared" si="73"/>
        <v>13.898999999999999</v>
      </c>
      <c r="AJ51" s="117">
        <f t="shared" si="74"/>
        <v>0.16666666666666663</v>
      </c>
      <c r="AK51" s="117">
        <f t="shared" si="75"/>
        <v>14.046943178805407</v>
      </c>
      <c r="AL51" s="117">
        <f t="shared" si="24"/>
        <v>0.15085165843647108</v>
      </c>
      <c r="AM51" s="117">
        <f t="shared" si="76"/>
        <v>1.5815008230195549E-2</v>
      </c>
      <c r="AP51" s="103">
        <f t="shared" si="77"/>
        <v>45</v>
      </c>
      <c r="AQ51" s="117">
        <f t="shared" si="78"/>
        <v>1.1429835549228176</v>
      </c>
      <c r="AR51" s="117">
        <f t="shared" si="79"/>
        <v>0.16666666666666663</v>
      </c>
      <c r="AS51" s="117">
        <f t="shared" si="80"/>
        <v>3757.5298827829329</v>
      </c>
      <c r="AT51" s="117">
        <f t="shared" si="28"/>
        <v>0.14074826091201401</v>
      </c>
      <c r="AU51" s="117">
        <f t="shared" si="81"/>
        <v>2.5918405754652624E-2</v>
      </c>
    </row>
    <row r="52" spans="2:53" ht="13.5" customHeight="1" x14ac:dyDescent="0.3">
      <c r="B52" s="103">
        <f>P24h_real!Q67</f>
        <v>2014</v>
      </c>
      <c r="C52" s="345">
        <f>P24h_real!S67</f>
        <v>13.898999999999999</v>
      </c>
      <c r="E52" s="103">
        <f t="shared" si="30"/>
        <v>46</v>
      </c>
      <c r="F52" s="364">
        <f>IF(C52="","",LARGE(Datos1,46))</f>
        <v>13.220999999999998</v>
      </c>
      <c r="G52" s="117">
        <f t="shared" si="54"/>
        <v>0.14814814814814814</v>
      </c>
      <c r="H52" s="4"/>
      <c r="I52" s="5"/>
      <c r="J52" s="364">
        <f t="shared" si="55"/>
        <v>46</v>
      </c>
      <c r="K52" s="364">
        <f t="shared" si="56"/>
        <v>13.220999999999998</v>
      </c>
      <c r="L52" s="117">
        <f t="shared" si="57"/>
        <v>0.14814814814814814</v>
      </c>
      <c r="M52" s="117">
        <f t="shared" si="58"/>
        <v>-1.1002955745748906</v>
      </c>
      <c r="N52" s="117">
        <f t="shared" si="59"/>
        <v>0.13560167984945037</v>
      </c>
      <c r="O52" s="117">
        <f t="shared" si="60"/>
        <v>1.2546468298697766E-2</v>
      </c>
      <c r="R52" s="364">
        <f t="shared" si="61"/>
        <v>46</v>
      </c>
      <c r="S52" s="117">
        <f t="shared" si="62"/>
        <v>1.1212643052295812</v>
      </c>
      <c r="T52" s="117">
        <f t="shared" si="63"/>
        <v>0.14814814814814814</v>
      </c>
      <c r="U52" s="117">
        <f t="shared" si="64"/>
        <v>-1.2088918027229389</v>
      </c>
      <c r="V52" s="117">
        <f t="shared" si="65"/>
        <v>0.11335220791751313</v>
      </c>
      <c r="W52" s="117">
        <f t="shared" si="66"/>
        <v>3.4795940230635009E-2</v>
      </c>
      <c r="Z52" s="103">
        <f t="shared" si="67"/>
        <v>46</v>
      </c>
      <c r="AA52" s="364">
        <f t="shared" si="68"/>
        <v>13.220999999999998</v>
      </c>
      <c r="AB52" s="117">
        <f t="shared" si="69"/>
        <v>0.14814814814814814</v>
      </c>
      <c r="AC52" s="117">
        <f t="shared" si="70"/>
        <v>0.10000653275164061</v>
      </c>
      <c r="AD52" s="117">
        <f t="shared" si="71"/>
        <v>4.8141615396507534E-2</v>
      </c>
      <c r="AH52" s="103">
        <f t="shared" si="72"/>
        <v>46</v>
      </c>
      <c r="AI52" s="364">
        <f t="shared" si="73"/>
        <v>13.220999999999998</v>
      </c>
      <c r="AJ52" s="117">
        <f t="shared" si="74"/>
        <v>0.14814814814814814</v>
      </c>
      <c r="AK52" s="117">
        <f t="shared" si="75"/>
        <v>13.69495873788269</v>
      </c>
      <c r="AL52" s="117">
        <f t="shared" si="24"/>
        <v>0.12882802726743728</v>
      </c>
      <c r="AM52" s="117">
        <f t="shared" si="76"/>
        <v>1.9320120880710862E-2</v>
      </c>
      <c r="AP52" s="103">
        <f t="shared" si="77"/>
        <v>46</v>
      </c>
      <c r="AQ52" s="117">
        <f t="shared" si="78"/>
        <v>1.1212643052295812</v>
      </c>
      <c r="AR52" s="117">
        <f t="shared" si="79"/>
        <v>0.14814814814814814</v>
      </c>
      <c r="AS52" s="117">
        <f t="shared" si="80"/>
        <v>3749.3154544253302</v>
      </c>
      <c r="AT52" s="117">
        <f t="shared" si="28"/>
        <v>0.11285934623126244</v>
      </c>
      <c r="AU52" s="117">
        <f t="shared" si="81"/>
        <v>3.5288801916885701E-2</v>
      </c>
    </row>
    <row r="53" spans="2:53" ht="13.5" customHeight="1" x14ac:dyDescent="0.3">
      <c r="B53" s="103">
        <f>P24h_real!Q68</f>
        <v>2015</v>
      </c>
      <c r="C53" s="345">
        <f>P24h_real!S68</f>
        <v>17.740999999999996</v>
      </c>
      <c r="E53" s="103">
        <f t="shared" si="30"/>
        <v>47</v>
      </c>
      <c r="F53" s="364">
        <f>IF(C53="","",LARGE(Datos1,47))</f>
        <v>12.203999999999999</v>
      </c>
      <c r="G53" s="117">
        <f t="shared" si="54"/>
        <v>0.12962962962962965</v>
      </c>
      <c r="H53" s="4"/>
      <c r="I53" s="5"/>
      <c r="J53" s="364">
        <f t="shared" si="55"/>
        <v>47</v>
      </c>
      <c r="K53" s="364">
        <f t="shared" si="56"/>
        <v>12.203999999999999</v>
      </c>
      <c r="L53" s="117">
        <f t="shared" si="57"/>
        <v>0.12962962962962965</v>
      </c>
      <c r="M53" s="117">
        <f t="shared" si="58"/>
        <v>-1.2233244046433909</v>
      </c>
      <c r="N53" s="117">
        <f t="shared" si="59"/>
        <v>0.11060359653262661</v>
      </c>
      <c r="O53" s="117">
        <f t="shared" si="60"/>
        <v>1.9026033097003042E-2</v>
      </c>
      <c r="R53" s="364">
        <f t="shared" si="61"/>
        <v>47</v>
      </c>
      <c r="S53" s="117">
        <f t="shared" si="62"/>
        <v>1.0865021989703694</v>
      </c>
      <c r="T53" s="117">
        <f t="shared" si="63"/>
        <v>0.12962962962962965</v>
      </c>
      <c r="U53" s="117">
        <f t="shared" si="64"/>
        <v>-1.4214978280031116</v>
      </c>
      <c r="V53" s="117">
        <f t="shared" si="65"/>
        <v>7.7586042279177786E-2</v>
      </c>
      <c r="W53" s="117">
        <f t="shared" si="66"/>
        <v>5.2043587350451864E-2</v>
      </c>
      <c r="Z53" s="103">
        <f t="shared" si="67"/>
        <v>47</v>
      </c>
      <c r="AA53" s="364">
        <f t="shared" si="68"/>
        <v>12.203999999999999</v>
      </c>
      <c r="AB53" s="117">
        <f t="shared" si="69"/>
        <v>0.12962962962962965</v>
      </c>
      <c r="AC53" s="117">
        <f t="shared" si="70"/>
        <v>6.7471352133781762E-2</v>
      </c>
      <c r="AD53" s="117">
        <f t="shared" si="71"/>
        <v>6.2158277495847888E-2</v>
      </c>
      <c r="AH53" s="103">
        <f t="shared" si="72"/>
        <v>47</v>
      </c>
      <c r="AI53" s="364">
        <f t="shared" si="73"/>
        <v>12.203999999999999</v>
      </c>
      <c r="AJ53" s="117">
        <f t="shared" si="74"/>
        <v>0.12962962962962965</v>
      </c>
      <c r="AK53" s="117">
        <f t="shared" si="75"/>
        <v>13.16698207649862</v>
      </c>
      <c r="AL53" s="117">
        <f t="shared" si="24"/>
        <v>9.9569060472896348E-2</v>
      </c>
      <c r="AM53" s="117">
        <f t="shared" si="76"/>
        <v>3.0060569156733302E-2</v>
      </c>
      <c r="AP53" s="103">
        <f t="shared" si="77"/>
        <v>47</v>
      </c>
      <c r="AQ53" s="117">
        <f t="shared" si="78"/>
        <v>1.0865021989703694</v>
      </c>
      <c r="AR53" s="117">
        <f t="shared" si="79"/>
        <v>0.12962962962962965</v>
      </c>
      <c r="AS53" s="117">
        <f t="shared" si="80"/>
        <v>3736.1680927319567</v>
      </c>
      <c r="AT53" s="117">
        <f t="shared" si="28"/>
        <v>7.6770132723715204E-2</v>
      </c>
      <c r="AU53" s="117">
        <f t="shared" si="81"/>
        <v>5.2859496905914446E-2</v>
      </c>
    </row>
    <row r="54" spans="2:53" ht="13.5" customHeight="1" x14ac:dyDescent="0.3">
      <c r="B54" s="103">
        <f>P24h_real!Q69</f>
        <v>2016</v>
      </c>
      <c r="C54" s="345">
        <f>P24h_real!S69</f>
        <v>17.288999999999998</v>
      </c>
      <c r="E54" s="103">
        <f t="shared" si="30"/>
        <v>48</v>
      </c>
      <c r="F54" s="364">
        <f>IF(C54="","",LARGE(Datos1,48))</f>
        <v>12.090999999999998</v>
      </c>
      <c r="G54" s="117">
        <f t="shared" si="54"/>
        <v>0.11111111111111116</v>
      </c>
      <c r="J54" s="364">
        <f t="shared" si="55"/>
        <v>48</v>
      </c>
      <c r="K54" s="364">
        <f t="shared" si="56"/>
        <v>12.090999999999998</v>
      </c>
      <c r="L54" s="117">
        <f t="shared" si="57"/>
        <v>0.11111111111111116</v>
      </c>
      <c r="M54" s="117">
        <f t="shared" si="58"/>
        <v>-1.2369942746510023</v>
      </c>
      <c r="N54" s="117">
        <f t="shared" si="59"/>
        <v>0.10804460408941344</v>
      </c>
      <c r="O54" s="117">
        <f t="shared" si="60"/>
        <v>3.066507021697723E-3</v>
      </c>
      <c r="R54" s="364">
        <f t="shared" si="61"/>
        <v>48</v>
      </c>
      <c r="S54" s="117">
        <f t="shared" si="62"/>
        <v>1.0824622211686292</v>
      </c>
      <c r="T54" s="117">
        <f t="shared" si="63"/>
        <v>0.11111111111111116</v>
      </c>
      <c r="U54" s="117">
        <f t="shared" si="64"/>
        <v>-1.4462064465270679</v>
      </c>
      <c r="V54" s="117">
        <f t="shared" si="65"/>
        <v>7.4059653066524123E-2</v>
      </c>
      <c r="W54" s="117">
        <f t="shared" si="66"/>
        <v>3.7051458044587038E-2</v>
      </c>
      <c r="Z54" s="103">
        <f t="shared" si="67"/>
        <v>48</v>
      </c>
      <c r="AA54" s="364">
        <f t="shared" si="68"/>
        <v>12.090999999999998</v>
      </c>
      <c r="AB54" s="117">
        <f t="shared" si="69"/>
        <v>0.11111111111111116</v>
      </c>
      <c r="AC54" s="117">
        <f t="shared" si="70"/>
        <v>6.4329621815902072E-2</v>
      </c>
      <c r="AD54" s="117">
        <f t="shared" si="71"/>
        <v>4.6781489295209089E-2</v>
      </c>
      <c r="AH54" s="103">
        <f t="shared" si="72"/>
        <v>48</v>
      </c>
      <c r="AI54" s="364">
        <f t="shared" si="73"/>
        <v>12.090999999999998</v>
      </c>
      <c r="AJ54" s="117">
        <f t="shared" si="74"/>
        <v>0.11111111111111116</v>
      </c>
      <c r="AK54" s="117">
        <f t="shared" si="75"/>
        <v>13.108318003011499</v>
      </c>
      <c r="AL54" s="117">
        <f t="shared" si="24"/>
        <v>9.6601329941920777E-2</v>
      </c>
      <c r="AM54" s="117">
        <f t="shared" si="76"/>
        <v>1.4509781169190383E-2</v>
      </c>
      <c r="AP54" s="103">
        <f t="shared" si="77"/>
        <v>48</v>
      </c>
      <c r="AQ54" s="117">
        <f t="shared" si="78"/>
        <v>1.0824622211686292</v>
      </c>
      <c r="AR54" s="117">
        <f t="shared" si="79"/>
        <v>0.11111111111111116</v>
      </c>
      <c r="AS54" s="117">
        <f t="shared" si="80"/>
        <v>3734.6401344144538</v>
      </c>
      <c r="AT54" s="117">
        <f t="shared" si="28"/>
        <v>7.321802600407451E-2</v>
      </c>
      <c r="AU54" s="117">
        <f t="shared" si="81"/>
        <v>3.789308510703665E-2</v>
      </c>
    </row>
    <row r="55" spans="2:53" ht="13.5" customHeight="1" x14ac:dyDescent="0.3">
      <c r="B55" s="103">
        <f>P24h_real!Q70</f>
        <v>2017</v>
      </c>
      <c r="C55" s="345">
        <f>P24h_real!S70</f>
        <v>16.724</v>
      </c>
      <c r="E55" s="103">
        <f t="shared" si="30"/>
        <v>49</v>
      </c>
      <c r="F55" s="364">
        <f>IF(C55="","",LARGE(Datos1,49))</f>
        <v>12.090999999999998</v>
      </c>
      <c r="G55" s="117">
        <f t="shared" si="54"/>
        <v>9.259259259259256E-2</v>
      </c>
      <c r="J55" s="364">
        <f t="shared" si="55"/>
        <v>49</v>
      </c>
      <c r="K55" s="364">
        <f t="shared" si="56"/>
        <v>12.090999999999998</v>
      </c>
      <c r="L55" s="117">
        <f t="shared" si="57"/>
        <v>9.259259259259256E-2</v>
      </c>
      <c r="M55" s="117">
        <f t="shared" si="58"/>
        <v>-1.2369942746510023</v>
      </c>
      <c r="N55" s="117">
        <f t="shared" si="59"/>
        <v>0.10804460408941344</v>
      </c>
      <c r="O55" s="117">
        <f t="shared" si="60"/>
        <v>1.5452011496820878E-2</v>
      </c>
      <c r="R55" s="364">
        <f t="shared" si="61"/>
        <v>49</v>
      </c>
      <c r="S55" s="117">
        <f t="shared" si="62"/>
        <v>1.0824622211686292</v>
      </c>
      <c r="T55" s="117">
        <f t="shared" si="63"/>
        <v>9.259259259259256E-2</v>
      </c>
      <c r="U55" s="117">
        <f t="shared" si="64"/>
        <v>-1.4462064465270679</v>
      </c>
      <c r="V55" s="117">
        <f t="shared" si="65"/>
        <v>7.4059653066524123E-2</v>
      </c>
      <c r="W55" s="117">
        <f t="shared" si="66"/>
        <v>1.8532939526068437E-2</v>
      </c>
      <c r="Z55" s="103">
        <f t="shared" si="67"/>
        <v>49</v>
      </c>
      <c r="AA55" s="364">
        <f t="shared" si="68"/>
        <v>12.090999999999998</v>
      </c>
      <c r="AB55" s="117">
        <f t="shared" si="69"/>
        <v>9.259259259259256E-2</v>
      </c>
      <c r="AC55" s="117">
        <f t="shared" si="70"/>
        <v>6.4329621815902072E-2</v>
      </c>
      <c r="AD55" s="117">
        <f t="shared" si="71"/>
        <v>2.8262970776690488E-2</v>
      </c>
      <c r="AH55" s="103">
        <f t="shared" si="72"/>
        <v>49</v>
      </c>
      <c r="AI55" s="364">
        <f t="shared" si="73"/>
        <v>12.090999999999998</v>
      </c>
      <c r="AJ55" s="117">
        <f t="shared" si="74"/>
        <v>9.259259259259256E-2</v>
      </c>
      <c r="AK55" s="117">
        <f t="shared" si="75"/>
        <v>13.108318003011499</v>
      </c>
      <c r="AL55" s="117">
        <f t="shared" si="24"/>
        <v>9.6601329941920777E-2</v>
      </c>
      <c r="AM55" s="117">
        <f t="shared" si="76"/>
        <v>4.0087373493282175E-3</v>
      </c>
      <c r="AP55" s="103">
        <f t="shared" si="77"/>
        <v>49</v>
      </c>
      <c r="AQ55" s="117">
        <f t="shared" si="78"/>
        <v>1.0824622211686292</v>
      </c>
      <c r="AR55" s="117">
        <f t="shared" si="79"/>
        <v>9.259259259259256E-2</v>
      </c>
      <c r="AS55" s="117">
        <f t="shared" si="80"/>
        <v>3734.6401344144538</v>
      </c>
      <c r="AT55" s="117">
        <f t="shared" si="28"/>
        <v>7.321802600407451E-2</v>
      </c>
      <c r="AU55" s="117">
        <f t="shared" si="81"/>
        <v>1.937456658851805E-2</v>
      </c>
    </row>
    <row r="56" spans="2:53" ht="13.5" customHeight="1" x14ac:dyDescent="0.3">
      <c r="B56" s="103">
        <f>P24h_real!Q71</f>
        <v>2018</v>
      </c>
      <c r="C56" s="345">
        <f>P24h_real!S71</f>
        <v>21.244</v>
      </c>
      <c r="D56" s="2"/>
      <c r="E56" s="103">
        <f t="shared" si="30"/>
        <v>50</v>
      </c>
      <c r="F56" s="364">
        <f>IF(C56="","",LARGE(Datos1,50))</f>
        <v>11.413</v>
      </c>
      <c r="G56" s="117">
        <f t="shared" si="54"/>
        <v>7.407407407407407E-2</v>
      </c>
      <c r="J56" s="364">
        <f t="shared" si="55"/>
        <v>50</v>
      </c>
      <c r="K56" s="364">
        <f t="shared" si="56"/>
        <v>11.413</v>
      </c>
      <c r="L56" s="117">
        <f t="shared" si="57"/>
        <v>7.407407407407407E-2</v>
      </c>
      <c r="M56" s="117">
        <f t="shared" si="58"/>
        <v>-1.319013494696669</v>
      </c>
      <c r="N56" s="117">
        <f t="shared" si="59"/>
        <v>9.3582300515154468E-2</v>
      </c>
      <c r="O56" s="117">
        <f t="shared" si="60"/>
        <v>1.9508226441080398E-2</v>
      </c>
      <c r="R56" s="364">
        <f t="shared" si="61"/>
        <v>50</v>
      </c>
      <c r="S56" s="117">
        <f t="shared" si="62"/>
        <v>1.0573998172660624</v>
      </c>
      <c r="T56" s="117">
        <f t="shared" si="63"/>
        <v>7.407407407407407E-2</v>
      </c>
      <c r="U56" s="117">
        <f t="shared" si="64"/>
        <v>-1.5994888177953226</v>
      </c>
      <c r="V56" s="117">
        <f t="shared" si="65"/>
        <v>5.485601564776043E-2</v>
      </c>
      <c r="W56" s="117">
        <f t="shared" si="66"/>
        <v>1.921805842631364E-2</v>
      </c>
      <c r="Z56" s="103">
        <f t="shared" si="67"/>
        <v>50</v>
      </c>
      <c r="AA56" s="364">
        <f t="shared" si="68"/>
        <v>11.413</v>
      </c>
      <c r="AB56" s="117">
        <f t="shared" si="69"/>
        <v>7.407407407407407E-2</v>
      </c>
      <c r="AC56" s="117">
        <f t="shared" si="70"/>
        <v>4.7450241309761103E-2</v>
      </c>
      <c r="AD56" s="117">
        <f t="shared" si="71"/>
        <v>2.6623832764312967E-2</v>
      </c>
      <c r="AH56" s="103">
        <f t="shared" si="72"/>
        <v>50</v>
      </c>
      <c r="AI56" s="364">
        <f t="shared" si="73"/>
        <v>11.413</v>
      </c>
      <c r="AJ56" s="117">
        <f t="shared" si="74"/>
        <v>7.407407407407407E-2</v>
      </c>
      <c r="AK56" s="117">
        <f t="shared" si="75"/>
        <v>12.756333562088788</v>
      </c>
      <c r="AL56" s="117">
        <f t="shared" si="24"/>
        <v>7.9981254496340193E-2</v>
      </c>
      <c r="AM56" s="117">
        <f t="shared" si="76"/>
        <v>5.9071804222661228E-3</v>
      </c>
      <c r="AP56" s="103">
        <f t="shared" si="77"/>
        <v>50</v>
      </c>
      <c r="AQ56" s="117">
        <f t="shared" si="78"/>
        <v>1.0573998172660624</v>
      </c>
      <c r="AR56" s="117">
        <f t="shared" si="79"/>
        <v>7.407407407407407E-2</v>
      </c>
      <c r="AS56" s="117">
        <f t="shared" si="80"/>
        <v>3725.1612930992746</v>
      </c>
      <c r="AT56" s="117">
        <f t="shared" si="28"/>
        <v>5.3907836877375659E-2</v>
      </c>
      <c r="AU56" s="117">
        <f t="shared" si="81"/>
        <v>2.0166237196698411E-2</v>
      </c>
      <c r="AX56" s="6"/>
      <c r="AY56" s="6"/>
      <c r="AZ56" s="6"/>
      <c r="BA56" s="8"/>
    </row>
    <row r="57" spans="2:53" ht="13.5" customHeight="1" x14ac:dyDescent="0.3">
      <c r="B57" s="103">
        <f>P24h_real!Q72</f>
        <v>2019</v>
      </c>
      <c r="C57" s="345">
        <f>P24h_real!S72</f>
        <v>13.220999999999998</v>
      </c>
      <c r="D57" s="2"/>
      <c r="E57" s="103">
        <f t="shared" si="30"/>
        <v>51</v>
      </c>
      <c r="F57" s="364">
        <f>IF(C57="","",LARGE(Datos1,51))</f>
        <v>11.299999999999999</v>
      </c>
      <c r="G57" s="117">
        <f t="shared" si="54"/>
        <v>5.555555555555558E-2</v>
      </c>
      <c r="J57" s="364">
        <f t="shared" si="55"/>
        <v>51</v>
      </c>
      <c r="K57" s="364">
        <f t="shared" si="56"/>
        <v>11.299999999999999</v>
      </c>
      <c r="L57" s="117">
        <f t="shared" si="57"/>
        <v>5.555555555555558E-2</v>
      </c>
      <c r="M57" s="117">
        <f t="shared" si="58"/>
        <v>-1.3326833647042804</v>
      </c>
      <c r="N57" s="117">
        <f t="shared" si="59"/>
        <v>9.131786732680372E-2</v>
      </c>
      <c r="O57" s="117">
        <f t="shared" si="60"/>
        <v>3.576231177124814E-2</v>
      </c>
      <c r="R57" s="364">
        <f t="shared" si="61"/>
        <v>51</v>
      </c>
      <c r="S57" s="117">
        <f t="shared" si="62"/>
        <v>1.0530784434834197</v>
      </c>
      <c r="T57" s="117">
        <f t="shared" si="63"/>
        <v>5.555555555555558E-2</v>
      </c>
      <c r="U57" s="117">
        <f t="shared" si="64"/>
        <v>-1.6259184620989995</v>
      </c>
      <c r="V57" s="117">
        <f t="shared" si="65"/>
        <v>5.198350105289886E-2</v>
      </c>
      <c r="W57" s="117">
        <f t="shared" si="66"/>
        <v>3.5720545026567199E-3</v>
      </c>
      <c r="Z57" s="103">
        <f t="shared" si="67"/>
        <v>51</v>
      </c>
      <c r="AA57" s="364">
        <f t="shared" si="68"/>
        <v>11.299999999999999</v>
      </c>
      <c r="AB57" s="117">
        <f t="shared" si="69"/>
        <v>5.555555555555558E-2</v>
      </c>
      <c r="AC57" s="117">
        <f t="shared" si="70"/>
        <v>4.4959981933353495E-2</v>
      </c>
      <c r="AD57" s="117">
        <f t="shared" si="71"/>
        <v>1.0595573622202085E-2</v>
      </c>
      <c r="AH57" s="103">
        <f t="shared" si="72"/>
        <v>51</v>
      </c>
      <c r="AI57" s="364">
        <f t="shared" si="73"/>
        <v>11.299999999999999</v>
      </c>
      <c r="AJ57" s="117">
        <f t="shared" si="74"/>
        <v>5.555555555555558E-2</v>
      </c>
      <c r="AK57" s="117">
        <f t="shared" si="75"/>
        <v>12.697669488601667</v>
      </c>
      <c r="AL57" s="117">
        <f t="shared" si="24"/>
        <v>7.7407530331589591E-2</v>
      </c>
      <c r="AM57" s="117">
        <f t="shared" si="76"/>
        <v>2.1851974776034011E-2</v>
      </c>
      <c r="AP57" s="103">
        <f t="shared" si="77"/>
        <v>51</v>
      </c>
      <c r="AQ57" s="117">
        <f t="shared" si="78"/>
        <v>1.0530784434834197</v>
      </c>
      <c r="AR57" s="117">
        <f t="shared" si="79"/>
        <v>5.555555555555558E-2</v>
      </c>
      <c r="AS57" s="117">
        <f t="shared" si="80"/>
        <v>3723.5269081253318</v>
      </c>
      <c r="AT57" s="117">
        <f t="shared" si="28"/>
        <v>5.1025701284745352E-2</v>
      </c>
      <c r="AU57" s="117">
        <f t="shared" si="81"/>
        <v>4.5298542708102282E-3</v>
      </c>
      <c r="AV57" s="15"/>
      <c r="AW57" s="15"/>
      <c r="AX57" s="15"/>
      <c r="AY57" s="15"/>
      <c r="AZ57" s="15"/>
      <c r="BA57" s="15"/>
    </row>
    <row r="58" spans="2:53" ht="13.5" customHeight="1" x14ac:dyDescent="0.3">
      <c r="B58" s="103">
        <f>P24h_real!Q73</f>
        <v>2020</v>
      </c>
      <c r="C58" s="345">
        <f>P24h_real!S73</f>
        <v>23.616999999999997</v>
      </c>
      <c r="E58" s="103">
        <f t="shared" si="30"/>
        <v>52</v>
      </c>
      <c r="F58" s="364">
        <f>IF(C58="","",LARGE(Datos1,52))</f>
        <v>11.186999999999999</v>
      </c>
      <c r="G58" s="117">
        <f t="shared" si="54"/>
        <v>3.703703703703709E-2</v>
      </c>
      <c r="J58" s="364">
        <f t="shared" si="55"/>
        <v>52</v>
      </c>
      <c r="K58" s="364">
        <f t="shared" si="56"/>
        <v>11.186999999999999</v>
      </c>
      <c r="L58" s="117">
        <f t="shared" si="57"/>
        <v>3.703703703703709E-2</v>
      </c>
      <c r="M58" s="117">
        <f t="shared" si="58"/>
        <v>-1.3463532347118914</v>
      </c>
      <c r="N58" s="117">
        <f t="shared" si="59"/>
        <v>8.9094312574650489E-2</v>
      </c>
      <c r="O58" s="117">
        <f t="shared" si="60"/>
        <v>5.2057275537613398E-2</v>
      </c>
      <c r="R58" s="364">
        <f t="shared" si="61"/>
        <v>52</v>
      </c>
      <c r="S58" s="117">
        <f t="shared" si="62"/>
        <v>1.0487136380809696</v>
      </c>
      <c r="T58" s="117">
        <f t="shared" si="63"/>
        <v>3.703703703703709E-2</v>
      </c>
      <c r="U58" s="117">
        <f t="shared" si="64"/>
        <v>-1.6526137354180732</v>
      </c>
      <c r="V58" s="117">
        <f t="shared" si="65"/>
        <v>4.9204750427327318E-2</v>
      </c>
      <c r="W58" s="117">
        <f t="shared" si="66"/>
        <v>1.2167713390290227E-2</v>
      </c>
      <c r="Z58" s="103">
        <f t="shared" si="67"/>
        <v>52</v>
      </c>
      <c r="AA58" s="364">
        <f t="shared" si="68"/>
        <v>11.186999999999999</v>
      </c>
      <c r="AB58" s="117">
        <f t="shared" si="69"/>
        <v>3.703703703703709E-2</v>
      </c>
      <c r="AC58" s="117">
        <f t="shared" si="70"/>
        <v>4.2559817439895606E-2</v>
      </c>
      <c r="AD58" s="117">
        <f t="shared" si="71"/>
        <v>5.5227804028585153E-3</v>
      </c>
      <c r="AH58" s="103">
        <f t="shared" si="72"/>
        <v>52</v>
      </c>
      <c r="AI58" s="364">
        <f t="shared" si="73"/>
        <v>11.186999999999999</v>
      </c>
      <c r="AJ58" s="117">
        <f t="shared" si="74"/>
        <v>3.703703703703709E-2</v>
      </c>
      <c r="AK58" s="117">
        <f t="shared" si="75"/>
        <v>12.639005415114548</v>
      </c>
      <c r="AL58" s="117">
        <f t="shared" si="24"/>
        <v>7.4889312748055686E-2</v>
      </c>
      <c r="AM58" s="117">
        <f t="shared" si="76"/>
        <v>3.7852275711018596E-2</v>
      </c>
      <c r="AP58" s="103">
        <f t="shared" si="77"/>
        <v>52</v>
      </c>
      <c r="AQ58" s="117">
        <f t="shared" si="78"/>
        <v>1.0487136380809696</v>
      </c>
      <c r="AR58" s="117">
        <f t="shared" si="79"/>
        <v>3.703703703703709E-2</v>
      </c>
      <c r="AS58" s="117">
        <f t="shared" si="80"/>
        <v>3721.8760968965967</v>
      </c>
      <c r="AT58" s="117">
        <f t="shared" si="28"/>
        <v>4.8239664344896044E-2</v>
      </c>
      <c r="AU58" s="117">
        <f t="shared" si="81"/>
        <v>1.1202627307858953E-2</v>
      </c>
    </row>
    <row r="59" spans="2:53" ht="13.5" customHeight="1" x14ac:dyDescent="0.3">
      <c r="B59" s="103">
        <f>P24h_real!Q74</f>
        <v>2023</v>
      </c>
      <c r="C59" s="345">
        <f>P24h_real!S74</f>
        <v>18.645</v>
      </c>
      <c r="E59" s="103">
        <f t="shared" si="30"/>
        <v>53</v>
      </c>
      <c r="F59" s="364">
        <f>IF(C59="","",LARGE(Datos1,53))</f>
        <v>11.186999999999999</v>
      </c>
      <c r="G59" s="117">
        <f t="shared" si="54"/>
        <v>1.851851851851849E-2</v>
      </c>
      <c r="J59" s="364">
        <f t="shared" si="55"/>
        <v>53</v>
      </c>
      <c r="K59" s="364">
        <f t="shared" si="56"/>
        <v>11.186999999999999</v>
      </c>
      <c r="L59" s="117">
        <f t="shared" si="57"/>
        <v>1.851851851851849E-2</v>
      </c>
      <c r="M59" s="117">
        <f t="shared" si="58"/>
        <v>-1.3463532347118914</v>
      </c>
      <c r="N59" s="117">
        <f t="shared" si="59"/>
        <v>8.9094312574650489E-2</v>
      </c>
      <c r="O59" s="117">
        <f t="shared" si="60"/>
        <v>7.0575794056131999E-2</v>
      </c>
      <c r="R59" s="364">
        <f t="shared" si="61"/>
        <v>53</v>
      </c>
      <c r="S59" s="117">
        <f t="shared" si="62"/>
        <v>1.0487136380809696</v>
      </c>
      <c r="T59" s="117">
        <f t="shared" si="63"/>
        <v>1.851851851851849E-2</v>
      </c>
      <c r="U59" s="117">
        <f t="shared" si="64"/>
        <v>-1.6526137354180732</v>
      </c>
      <c r="V59" s="117">
        <f t="shared" si="65"/>
        <v>4.9204750427327318E-2</v>
      </c>
      <c r="W59" s="117">
        <f t="shared" si="66"/>
        <v>3.0686231908808828E-2</v>
      </c>
      <c r="Z59" s="103">
        <f t="shared" si="67"/>
        <v>53</v>
      </c>
      <c r="AA59" s="364">
        <f t="shared" si="68"/>
        <v>11.186999999999999</v>
      </c>
      <c r="AB59" s="117">
        <f t="shared" si="69"/>
        <v>1.851851851851849E-2</v>
      </c>
      <c r="AC59" s="117">
        <f t="shared" si="70"/>
        <v>4.2559817439895606E-2</v>
      </c>
      <c r="AD59" s="117">
        <f t="shared" si="71"/>
        <v>2.4041298921377116E-2</v>
      </c>
      <c r="AH59" s="103">
        <f t="shared" si="72"/>
        <v>53</v>
      </c>
      <c r="AI59" s="364">
        <f t="shared" si="73"/>
        <v>11.186999999999999</v>
      </c>
      <c r="AJ59" s="117">
        <f t="shared" si="74"/>
        <v>1.851851851851849E-2</v>
      </c>
      <c r="AK59" s="117">
        <f t="shared" si="75"/>
        <v>12.639005415114548</v>
      </c>
      <c r="AL59" s="117">
        <f t="shared" si="24"/>
        <v>7.4889312748055686E-2</v>
      </c>
      <c r="AM59" s="117">
        <f t="shared" si="76"/>
        <v>5.6370794229537197E-2</v>
      </c>
      <c r="AP59" s="103">
        <f t="shared" si="77"/>
        <v>53</v>
      </c>
      <c r="AQ59" s="117">
        <f t="shared" si="78"/>
        <v>1.0487136380809696</v>
      </c>
      <c r="AR59" s="117">
        <f t="shared" si="79"/>
        <v>1.851851851851849E-2</v>
      </c>
      <c r="AS59" s="117">
        <f t="shared" si="80"/>
        <v>3721.8760968965967</v>
      </c>
      <c r="AT59" s="117">
        <f t="shared" si="28"/>
        <v>4.8239664344896044E-2</v>
      </c>
      <c r="AU59" s="117">
        <f t="shared" si="81"/>
        <v>2.9721145826377554E-2</v>
      </c>
    </row>
    <row r="60" spans="2:53" ht="13.5" customHeight="1" x14ac:dyDescent="0.3">
      <c r="B60" s="103" t="str">
        <f>P24h_real!Q75</f>
        <v/>
      </c>
      <c r="C60" s="345" t="str">
        <f>P24h_real!S75</f>
        <v/>
      </c>
      <c r="E60" s="103" t="str">
        <f t="shared" si="30"/>
        <v/>
      </c>
      <c r="F60" s="364" t="str">
        <f>IF(C60="","",LARGE(Datos1,54))</f>
        <v/>
      </c>
      <c r="G60" s="117" t="str">
        <f t="shared" si="54"/>
        <v/>
      </c>
      <c r="J60" s="364" t="str">
        <f t="shared" si="55"/>
        <v/>
      </c>
      <c r="K60" s="364" t="str">
        <f t="shared" si="56"/>
        <v/>
      </c>
      <c r="L60" s="117" t="str">
        <f t="shared" si="57"/>
        <v/>
      </c>
      <c r="M60" s="117" t="str">
        <f t="shared" si="58"/>
        <v/>
      </c>
      <c r="N60" s="117" t="str">
        <f t="shared" si="59"/>
        <v/>
      </c>
      <c r="O60" s="117" t="str">
        <f t="shared" si="60"/>
        <v/>
      </c>
      <c r="R60" s="364" t="str">
        <f t="shared" si="61"/>
        <v/>
      </c>
      <c r="S60" s="117" t="str">
        <f t="shared" si="62"/>
        <v/>
      </c>
      <c r="T60" s="117" t="str">
        <f t="shared" si="63"/>
        <v/>
      </c>
      <c r="U60" s="117" t="str">
        <f t="shared" si="64"/>
        <v/>
      </c>
      <c r="V60" s="117" t="str">
        <f t="shared" si="65"/>
        <v/>
      </c>
      <c r="W60" s="117" t="str">
        <f t="shared" si="66"/>
        <v/>
      </c>
      <c r="Z60" s="103" t="str">
        <f t="shared" si="67"/>
        <v/>
      </c>
      <c r="AA60" s="364" t="str">
        <f t="shared" si="68"/>
        <v/>
      </c>
      <c r="AB60" s="117" t="str">
        <f t="shared" si="69"/>
        <v/>
      </c>
      <c r="AC60" s="117" t="str">
        <f t="shared" si="70"/>
        <v/>
      </c>
      <c r="AD60" s="117" t="str">
        <f t="shared" si="71"/>
        <v/>
      </c>
      <c r="AH60" s="103" t="str">
        <f t="shared" si="72"/>
        <v/>
      </c>
      <c r="AI60" s="364" t="str">
        <f t="shared" si="73"/>
        <v/>
      </c>
      <c r="AJ60" s="117" t="str">
        <f t="shared" si="74"/>
        <v/>
      </c>
      <c r="AK60" s="117" t="str">
        <f t="shared" si="75"/>
        <v/>
      </c>
      <c r="AL60" s="117" t="str">
        <f t="shared" si="24"/>
        <v/>
      </c>
      <c r="AM60" s="117" t="str">
        <f t="shared" si="76"/>
        <v/>
      </c>
      <c r="AP60" s="103" t="str">
        <f t="shared" si="77"/>
        <v/>
      </c>
      <c r="AQ60" s="117" t="str">
        <f t="shared" si="78"/>
        <v/>
      </c>
      <c r="AR60" s="117" t="str">
        <f t="shared" si="79"/>
        <v/>
      </c>
      <c r="AS60" s="117" t="str">
        <f t="shared" si="80"/>
        <v/>
      </c>
      <c r="AT60" s="117" t="str">
        <f t="shared" si="28"/>
        <v/>
      </c>
      <c r="AU60" s="117" t="str">
        <f t="shared" si="81"/>
        <v/>
      </c>
    </row>
    <row r="61" spans="2:53" ht="13.5" customHeight="1" x14ac:dyDescent="0.3">
      <c r="B61" s="103" t="str">
        <f>P24h_real!Q76</f>
        <v/>
      </c>
      <c r="C61" s="345" t="str">
        <f>P24h_real!S76</f>
        <v/>
      </c>
      <c r="E61" s="103" t="str">
        <f t="shared" si="30"/>
        <v/>
      </c>
      <c r="F61" s="364" t="str">
        <f>IF(C61="","",LARGE(Datos1,55))</f>
        <v/>
      </c>
      <c r="G61" s="117" t="str">
        <f t="shared" si="54"/>
        <v/>
      </c>
      <c r="J61" s="364" t="str">
        <f t="shared" si="55"/>
        <v/>
      </c>
      <c r="K61" s="364" t="str">
        <f t="shared" si="56"/>
        <v/>
      </c>
      <c r="L61" s="117" t="str">
        <f t="shared" si="57"/>
        <v/>
      </c>
      <c r="M61" s="117" t="str">
        <f t="shared" si="58"/>
        <v/>
      </c>
      <c r="N61" s="117" t="str">
        <f t="shared" si="59"/>
        <v/>
      </c>
      <c r="O61" s="117" t="str">
        <f t="shared" si="60"/>
        <v/>
      </c>
      <c r="R61" s="364" t="str">
        <f t="shared" si="61"/>
        <v/>
      </c>
      <c r="S61" s="117" t="str">
        <f t="shared" si="62"/>
        <v/>
      </c>
      <c r="T61" s="117" t="str">
        <f t="shared" si="63"/>
        <v/>
      </c>
      <c r="U61" s="117" t="str">
        <f t="shared" si="64"/>
        <v/>
      </c>
      <c r="V61" s="117" t="str">
        <f t="shared" si="65"/>
        <v/>
      </c>
      <c r="W61" s="117" t="str">
        <f t="shared" si="66"/>
        <v/>
      </c>
      <c r="Z61" s="103" t="str">
        <f t="shared" si="67"/>
        <v/>
      </c>
      <c r="AA61" s="364" t="str">
        <f t="shared" si="68"/>
        <v/>
      </c>
      <c r="AB61" s="117" t="str">
        <f t="shared" si="69"/>
        <v/>
      </c>
      <c r="AC61" s="117" t="str">
        <f t="shared" si="70"/>
        <v/>
      </c>
      <c r="AD61" s="117" t="str">
        <f t="shared" si="71"/>
        <v/>
      </c>
      <c r="AH61" s="103" t="str">
        <f t="shared" si="72"/>
        <v/>
      </c>
      <c r="AI61" s="364" t="str">
        <f t="shared" si="73"/>
        <v/>
      </c>
      <c r="AJ61" s="117" t="str">
        <f t="shared" si="74"/>
        <v/>
      </c>
      <c r="AK61" s="117" t="str">
        <f t="shared" si="75"/>
        <v/>
      </c>
      <c r="AL61" s="117" t="str">
        <f t="shared" si="24"/>
        <v/>
      </c>
      <c r="AM61" s="117" t="str">
        <f t="shared" si="76"/>
        <v/>
      </c>
      <c r="AP61" s="103" t="str">
        <f t="shared" si="77"/>
        <v/>
      </c>
      <c r="AQ61" s="117" t="str">
        <f t="shared" si="78"/>
        <v/>
      </c>
      <c r="AR61" s="117" t="str">
        <f t="shared" si="79"/>
        <v/>
      </c>
      <c r="AS61" s="117" t="str">
        <f t="shared" si="80"/>
        <v/>
      </c>
      <c r="AT61" s="117" t="str">
        <f t="shared" si="28"/>
        <v/>
      </c>
      <c r="AU61" s="117" t="str">
        <f t="shared" si="81"/>
        <v/>
      </c>
    </row>
    <row r="62" spans="2:53" ht="13.5" customHeight="1" x14ac:dyDescent="0.3">
      <c r="B62" s="103" t="str">
        <f>P24h_real!Q77</f>
        <v/>
      </c>
      <c r="C62" s="345" t="str">
        <f>P24h_real!S77</f>
        <v/>
      </c>
      <c r="E62" s="103" t="str">
        <f t="shared" si="30"/>
        <v/>
      </c>
      <c r="F62" s="364" t="str">
        <f>IF(C62="","",LARGE(Datos1,56))</f>
        <v/>
      </c>
      <c r="G62" s="117" t="str">
        <f t="shared" si="54"/>
        <v/>
      </c>
      <c r="J62" s="364" t="str">
        <f t="shared" si="55"/>
        <v/>
      </c>
      <c r="K62" s="364" t="str">
        <f t="shared" si="56"/>
        <v/>
      </c>
      <c r="L62" s="117" t="str">
        <f t="shared" si="57"/>
        <v/>
      </c>
      <c r="M62" s="117" t="str">
        <f t="shared" si="58"/>
        <v/>
      </c>
      <c r="N62" s="117" t="str">
        <f t="shared" si="59"/>
        <v/>
      </c>
      <c r="O62" s="117" t="str">
        <f t="shared" si="60"/>
        <v/>
      </c>
      <c r="R62" s="364" t="str">
        <f t="shared" si="61"/>
        <v/>
      </c>
      <c r="S62" s="117" t="str">
        <f t="shared" si="62"/>
        <v/>
      </c>
      <c r="T62" s="117" t="str">
        <f t="shared" si="63"/>
        <v/>
      </c>
      <c r="U62" s="117" t="str">
        <f t="shared" si="64"/>
        <v/>
      </c>
      <c r="V62" s="117" t="str">
        <f t="shared" si="65"/>
        <v/>
      </c>
      <c r="W62" s="117" t="str">
        <f t="shared" si="66"/>
        <v/>
      </c>
      <c r="Z62" s="103" t="str">
        <f t="shared" si="67"/>
        <v/>
      </c>
      <c r="AA62" s="364" t="str">
        <f t="shared" si="68"/>
        <v/>
      </c>
      <c r="AB62" s="117" t="str">
        <f t="shared" si="69"/>
        <v/>
      </c>
      <c r="AC62" s="117" t="str">
        <f t="shared" si="70"/>
        <v/>
      </c>
      <c r="AD62" s="117" t="str">
        <f t="shared" si="71"/>
        <v/>
      </c>
      <c r="AH62" s="103" t="str">
        <f t="shared" si="72"/>
        <v/>
      </c>
      <c r="AI62" s="364" t="str">
        <f t="shared" si="73"/>
        <v/>
      </c>
      <c r="AJ62" s="117" t="str">
        <f t="shared" si="74"/>
        <v/>
      </c>
      <c r="AK62" s="117" t="str">
        <f t="shared" si="75"/>
        <v/>
      </c>
      <c r="AL62" s="117" t="str">
        <f t="shared" si="24"/>
        <v/>
      </c>
      <c r="AM62" s="117" t="str">
        <f t="shared" si="76"/>
        <v/>
      </c>
      <c r="AP62" s="103" t="str">
        <f t="shared" si="77"/>
        <v/>
      </c>
      <c r="AQ62" s="117" t="str">
        <f t="shared" si="78"/>
        <v/>
      </c>
      <c r="AR62" s="117" t="str">
        <f t="shared" si="79"/>
        <v/>
      </c>
      <c r="AS62" s="117" t="str">
        <f t="shared" si="80"/>
        <v/>
      </c>
      <c r="AT62" s="117" t="str">
        <f t="shared" si="28"/>
        <v/>
      </c>
      <c r="AU62" s="117" t="str">
        <f t="shared" si="81"/>
        <v/>
      </c>
    </row>
    <row r="63" spans="2:53" ht="13.5" customHeight="1" x14ac:dyDescent="0.3">
      <c r="B63" s="103" t="str">
        <f>P24h_real!Q78</f>
        <v/>
      </c>
      <c r="C63" s="345" t="str">
        <f>P24h_real!S78</f>
        <v/>
      </c>
      <c r="E63" s="103" t="str">
        <f t="shared" si="30"/>
        <v/>
      </c>
      <c r="F63" s="364" t="str">
        <f>IF(C63="","",LARGE(Datos1,57))</f>
        <v/>
      </c>
      <c r="G63" s="117" t="str">
        <f t="shared" si="54"/>
        <v/>
      </c>
      <c r="J63" s="364" t="str">
        <f t="shared" si="55"/>
        <v/>
      </c>
      <c r="K63" s="364" t="str">
        <f t="shared" si="56"/>
        <v/>
      </c>
      <c r="L63" s="117" t="str">
        <f t="shared" si="57"/>
        <v/>
      </c>
      <c r="M63" s="117" t="str">
        <f t="shared" si="58"/>
        <v/>
      </c>
      <c r="N63" s="117" t="str">
        <f t="shared" si="59"/>
        <v/>
      </c>
      <c r="O63" s="117" t="str">
        <f t="shared" si="60"/>
        <v/>
      </c>
      <c r="R63" s="364" t="str">
        <f t="shared" si="61"/>
        <v/>
      </c>
      <c r="S63" s="117" t="str">
        <f t="shared" si="62"/>
        <v/>
      </c>
      <c r="T63" s="117" t="str">
        <f t="shared" si="63"/>
        <v/>
      </c>
      <c r="U63" s="117" t="str">
        <f t="shared" si="64"/>
        <v/>
      </c>
      <c r="V63" s="117" t="str">
        <f t="shared" si="65"/>
        <v/>
      </c>
      <c r="W63" s="117" t="str">
        <f t="shared" si="66"/>
        <v/>
      </c>
      <c r="Z63" s="103" t="str">
        <f t="shared" si="67"/>
        <v/>
      </c>
      <c r="AA63" s="364" t="str">
        <f t="shared" si="68"/>
        <v/>
      </c>
      <c r="AB63" s="117" t="str">
        <f t="shared" si="69"/>
        <v/>
      </c>
      <c r="AC63" s="117" t="str">
        <f t="shared" si="70"/>
        <v/>
      </c>
      <c r="AD63" s="117" t="str">
        <f t="shared" si="71"/>
        <v/>
      </c>
      <c r="AH63" s="103" t="str">
        <f t="shared" si="72"/>
        <v/>
      </c>
      <c r="AI63" s="364" t="str">
        <f t="shared" si="73"/>
        <v/>
      </c>
      <c r="AJ63" s="117" t="str">
        <f t="shared" si="74"/>
        <v/>
      </c>
      <c r="AK63" s="117" t="str">
        <f t="shared" si="75"/>
        <v/>
      </c>
      <c r="AL63" s="117" t="str">
        <f t="shared" si="24"/>
        <v/>
      </c>
      <c r="AM63" s="117" t="str">
        <f t="shared" si="76"/>
        <v/>
      </c>
      <c r="AP63" s="103" t="str">
        <f t="shared" si="77"/>
        <v/>
      </c>
      <c r="AQ63" s="117" t="str">
        <f t="shared" si="78"/>
        <v/>
      </c>
      <c r="AR63" s="117" t="str">
        <f t="shared" si="79"/>
        <v/>
      </c>
      <c r="AS63" s="117" t="str">
        <f t="shared" si="80"/>
        <v/>
      </c>
      <c r="AT63" s="117" t="str">
        <f t="shared" si="28"/>
        <v/>
      </c>
      <c r="AU63" s="117" t="str">
        <f t="shared" si="81"/>
        <v/>
      </c>
    </row>
    <row r="64" spans="2:53" ht="13.5" customHeight="1" x14ac:dyDescent="0.3">
      <c r="B64" s="103" t="str">
        <f>P24h_real!Q79</f>
        <v/>
      </c>
      <c r="C64" s="345" t="str">
        <f>P24h_real!S79</f>
        <v/>
      </c>
      <c r="E64" s="103" t="str">
        <f t="shared" si="30"/>
        <v/>
      </c>
      <c r="F64" s="364" t="str">
        <f>IF(C64="","",LARGE(Datos1,58))</f>
        <v/>
      </c>
      <c r="G64" s="117" t="str">
        <f t="shared" si="54"/>
        <v/>
      </c>
      <c r="J64" s="364" t="str">
        <f t="shared" si="55"/>
        <v/>
      </c>
      <c r="K64" s="364" t="str">
        <f t="shared" si="56"/>
        <v/>
      </c>
      <c r="L64" s="117" t="str">
        <f t="shared" si="57"/>
        <v/>
      </c>
      <c r="M64" s="117" t="str">
        <f t="shared" si="58"/>
        <v/>
      </c>
      <c r="N64" s="117" t="str">
        <f t="shared" si="59"/>
        <v/>
      </c>
      <c r="O64" s="117" t="str">
        <f t="shared" si="60"/>
        <v/>
      </c>
      <c r="R64" s="364" t="str">
        <f t="shared" si="61"/>
        <v/>
      </c>
      <c r="S64" s="117" t="str">
        <f t="shared" si="62"/>
        <v/>
      </c>
      <c r="T64" s="117" t="str">
        <f t="shared" si="63"/>
        <v/>
      </c>
      <c r="U64" s="117" t="str">
        <f t="shared" si="64"/>
        <v/>
      </c>
      <c r="V64" s="117" t="str">
        <f t="shared" si="65"/>
        <v/>
      </c>
      <c r="W64" s="117" t="str">
        <f t="shared" si="66"/>
        <v/>
      </c>
      <c r="Z64" s="103" t="str">
        <f t="shared" si="67"/>
        <v/>
      </c>
      <c r="AA64" s="364" t="str">
        <f t="shared" si="68"/>
        <v/>
      </c>
      <c r="AB64" s="117" t="str">
        <f t="shared" si="69"/>
        <v/>
      </c>
      <c r="AC64" s="117" t="str">
        <f t="shared" si="70"/>
        <v/>
      </c>
      <c r="AD64" s="117" t="str">
        <f t="shared" si="71"/>
        <v/>
      </c>
      <c r="AH64" s="103" t="str">
        <f t="shared" si="72"/>
        <v/>
      </c>
      <c r="AI64" s="364" t="str">
        <f t="shared" si="73"/>
        <v/>
      </c>
      <c r="AJ64" s="117" t="str">
        <f t="shared" si="74"/>
        <v/>
      </c>
      <c r="AK64" s="117" t="str">
        <f t="shared" si="75"/>
        <v/>
      </c>
      <c r="AL64" s="117" t="str">
        <f t="shared" si="24"/>
        <v/>
      </c>
      <c r="AM64" s="117" t="str">
        <f t="shared" si="76"/>
        <v/>
      </c>
      <c r="AP64" s="103" t="str">
        <f t="shared" si="77"/>
        <v/>
      </c>
      <c r="AQ64" s="117" t="str">
        <f t="shared" si="78"/>
        <v/>
      </c>
      <c r="AR64" s="117" t="str">
        <f t="shared" si="79"/>
        <v/>
      </c>
      <c r="AS64" s="117" t="str">
        <f t="shared" si="80"/>
        <v/>
      </c>
      <c r="AT64" s="117" t="str">
        <f t="shared" si="28"/>
        <v/>
      </c>
      <c r="AU64" s="117" t="str">
        <f t="shared" si="81"/>
        <v/>
      </c>
    </row>
    <row r="65" spans="2:48" ht="13.5" customHeight="1" x14ac:dyDescent="0.3">
      <c r="B65" s="103" t="str">
        <f>P24h_real!Q80</f>
        <v/>
      </c>
      <c r="C65" s="345" t="str">
        <f>P24h_real!S80</f>
        <v/>
      </c>
      <c r="E65" s="103" t="str">
        <f t="shared" si="30"/>
        <v/>
      </c>
      <c r="F65" s="364" t="str">
        <f>IF(C65="","",LARGE(Datos1,59))</f>
        <v/>
      </c>
      <c r="G65" s="117" t="str">
        <f t="shared" si="54"/>
        <v/>
      </c>
      <c r="J65" s="364" t="str">
        <f t="shared" si="55"/>
        <v/>
      </c>
      <c r="K65" s="364" t="str">
        <f t="shared" si="56"/>
        <v/>
      </c>
      <c r="L65" s="117" t="str">
        <f t="shared" si="57"/>
        <v/>
      </c>
      <c r="M65" s="117" t="str">
        <f t="shared" si="58"/>
        <v/>
      </c>
      <c r="N65" s="117" t="str">
        <f t="shared" si="59"/>
        <v/>
      </c>
      <c r="O65" s="117" t="str">
        <f t="shared" si="60"/>
        <v/>
      </c>
      <c r="R65" s="364" t="str">
        <f t="shared" si="61"/>
        <v/>
      </c>
      <c r="S65" s="117" t="str">
        <f t="shared" si="62"/>
        <v/>
      </c>
      <c r="T65" s="117" t="str">
        <f t="shared" si="63"/>
        <v/>
      </c>
      <c r="U65" s="117" t="str">
        <f t="shared" si="64"/>
        <v/>
      </c>
      <c r="V65" s="117" t="str">
        <f t="shared" si="65"/>
        <v/>
      </c>
      <c r="W65" s="117" t="str">
        <f t="shared" si="66"/>
        <v/>
      </c>
      <c r="Z65" s="103" t="str">
        <f t="shared" si="67"/>
        <v/>
      </c>
      <c r="AA65" s="364" t="str">
        <f t="shared" si="68"/>
        <v/>
      </c>
      <c r="AB65" s="117" t="str">
        <f t="shared" si="69"/>
        <v/>
      </c>
      <c r="AC65" s="117" t="str">
        <f t="shared" si="70"/>
        <v/>
      </c>
      <c r="AD65" s="117" t="str">
        <f t="shared" si="71"/>
        <v/>
      </c>
      <c r="AH65" s="103" t="str">
        <f t="shared" si="72"/>
        <v/>
      </c>
      <c r="AI65" s="364" t="str">
        <f t="shared" si="73"/>
        <v/>
      </c>
      <c r="AJ65" s="117" t="str">
        <f t="shared" si="74"/>
        <v/>
      </c>
      <c r="AK65" s="117" t="str">
        <f t="shared" si="75"/>
        <v/>
      </c>
      <c r="AL65" s="117" t="str">
        <f t="shared" si="24"/>
        <v/>
      </c>
      <c r="AM65" s="117" t="str">
        <f t="shared" si="76"/>
        <v/>
      </c>
      <c r="AP65" s="103" t="str">
        <f t="shared" si="77"/>
        <v/>
      </c>
      <c r="AQ65" s="117" t="str">
        <f t="shared" si="78"/>
        <v/>
      </c>
      <c r="AR65" s="117" t="str">
        <f t="shared" si="79"/>
        <v/>
      </c>
      <c r="AS65" s="117" t="str">
        <f t="shared" si="80"/>
        <v/>
      </c>
      <c r="AT65" s="117" t="str">
        <f t="shared" si="28"/>
        <v/>
      </c>
      <c r="AU65" s="117" t="str">
        <f t="shared" si="81"/>
        <v/>
      </c>
    </row>
    <row r="66" spans="2:48" ht="13.5" customHeight="1" x14ac:dyDescent="0.3">
      <c r="B66" s="103" t="str">
        <f>P24h_real!Q81</f>
        <v/>
      </c>
      <c r="C66" s="345" t="str">
        <f>P24h_real!S81</f>
        <v/>
      </c>
      <c r="E66" s="103" t="str">
        <f t="shared" si="30"/>
        <v/>
      </c>
      <c r="F66" s="364" t="str">
        <f>IF(C66="","",LARGE(Datos1,60))</f>
        <v/>
      </c>
      <c r="G66" s="117" t="str">
        <f t="shared" si="54"/>
        <v/>
      </c>
      <c r="J66" s="364" t="str">
        <f t="shared" si="55"/>
        <v/>
      </c>
      <c r="K66" s="364" t="str">
        <f t="shared" si="56"/>
        <v/>
      </c>
      <c r="L66" s="117" t="str">
        <f t="shared" si="57"/>
        <v/>
      </c>
      <c r="M66" s="117" t="str">
        <f t="shared" si="58"/>
        <v/>
      </c>
      <c r="N66" s="117" t="str">
        <f t="shared" si="59"/>
        <v/>
      </c>
      <c r="O66" s="117" t="str">
        <f t="shared" si="60"/>
        <v/>
      </c>
      <c r="R66" s="364" t="str">
        <f t="shared" si="61"/>
        <v/>
      </c>
      <c r="S66" s="117" t="str">
        <f t="shared" si="62"/>
        <v/>
      </c>
      <c r="T66" s="117" t="str">
        <f t="shared" si="63"/>
        <v/>
      </c>
      <c r="U66" s="117" t="str">
        <f t="shared" si="64"/>
        <v/>
      </c>
      <c r="V66" s="117" t="str">
        <f t="shared" si="65"/>
        <v/>
      </c>
      <c r="W66" s="117" t="str">
        <f t="shared" si="66"/>
        <v/>
      </c>
      <c r="Z66" s="103" t="str">
        <f t="shared" si="67"/>
        <v/>
      </c>
      <c r="AA66" s="364" t="str">
        <f t="shared" si="68"/>
        <v/>
      </c>
      <c r="AB66" s="117" t="str">
        <f t="shared" si="69"/>
        <v/>
      </c>
      <c r="AC66" s="117" t="str">
        <f t="shared" si="70"/>
        <v/>
      </c>
      <c r="AD66" s="117" t="str">
        <f t="shared" si="71"/>
        <v/>
      </c>
      <c r="AH66" s="103" t="str">
        <f t="shared" si="72"/>
        <v/>
      </c>
      <c r="AI66" s="364" t="str">
        <f t="shared" si="73"/>
        <v/>
      </c>
      <c r="AJ66" s="117" t="str">
        <f t="shared" si="74"/>
        <v/>
      </c>
      <c r="AK66" s="117" t="str">
        <f t="shared" si="75"/>
        <v/>
      </c>
      <c r="AL66" s="117" t="str">
        <f t="shared" si="24"/>
        <v/>
      </c>
      <c r="AM66" s="117" t="str">
        <f t="shared" si="76"/>
        <v/>
      </c>
      <c r="AP66" s="103" t="str">
        <f t="shared" si="77"/>
        <v/>
      </c>
      <c r="AQ66" s="117" t="str">
        <f t="shared" si="78"/>
        <v/>
      </c>
      <c r="AR66" s="117" t="str">
        <f t="shared" si="79"/>
        <v/>
      </c>
      <c r="AS66" s="117" t="str">
        <f t="shared" si="80"/>
        <v/>
      </c>
      <c r="AT66" s="117" t="str">
        <f t="shared" si="28"/>
        <v/>
      </c>
      <c r="AU66" s="117" t="str">
        <f t="shared" si="81"/>
        <v/>
      </c>
    </row>
    <row r="67" spans="2:48" ht="13.5" customHeight="1" x14ac:dyDescent="0.3">
      <c r="B67" s="103" t="str">
        <f>P24h_real!Q82</f>
        <v/>
      </c>
      <c r="C67" s="345" t="str">
        <f>P24h_real!S82</f>
        <v/>
      </c>
      <c r="E67" s="103" t="str">
        <f t="shared" ref="E67" si="82">IF(F67="","",E66+1)</f>
        <v/>
      </c>
      <c r="F67" s="364" t="str">
        <f>IF(C67="","",LARGE(Datos1,60))</f>
        <v/>
      </c>
      <c r="G67" s="117" t="str">
        <f t="shared" ref="G67" si="83">IF(F67="","",(1-(E67/($C$68+1))))</f>
        <v/>
      </c>
      <c r="J67" s="364" t="str">
        <f t="shared" ref="J67" si="84">E67</f>
        <v/>
      </c>
      <c r="K67" s="364" t="str">
        <f t="shared" ref="K67" si="85">IF(F67="","",F67)</f>
        <v/>
      </c>
      <c r="L67" s="117" t="str">
        <f t="shared" ref="L67" si="86">G67</f>
        <v/>
      </c>
      <c r="M67" s="117" t="str">
        <f t="shared" ref="M67" si="87">IF(L67="","",(K67-$K$69)/$K$70)</f>
        <v/>
      </c>
      <c r="N67" s="117" t="str">
        <f t="shared" ref="N67" si="88">IF(M67="","",_xlfn.NORM.S.DIST(M67,TRUE))</f>
        <v/>
      </c>
      <c r="O67" s="117" t="str">
        <f t="shared" ref="O67" si="89">IF(N67="","",ABS(N67-L67))</f>
        <v/>
      </c>
      <c r="R67" s="364" t="str">
        <f t="shared" ref="R67" si="90">E67</f>
        <v/>
      </c>
      <c r="S67" s="117" t="str">
        <f t="shared" ref="S67" si="91">IF(F67="","",LOG10(F67))</f>
        <v/>
      </c>
      <c r="T67" s="117" t="str">
        <f t="shared" ref="T67" si="92">G67</f>
        <v/>
      </c>
      <c r="U67" s="117" t="str">
        <f t="shared" ref="U67" si="93">IF(T67="","",(S67-$S$69)/$S$70)</f>
        <v/>
      </c>
      <c r="V67" s="117" t="str">
        <f t="shared" ref="V67" si="94">IF(U67="","",_xlfn.NORM.S.DIST(U67,TRUE))</f>
        <v/>
      </c>
      <c r="W67" s="117" t="str">
        <f t="shared" ref="W67" si="95">IF(V67="","",ABS(V67-T67))</f>
        <v/>
      </c>
      <c r="Z67" s="103" t="str">
        <f t="shared" ref="Z67" si="96">E67</f>
        <v/>
      </c>
      <c r="AA67" s="364" t="str">
        <f t="shared" ref="AA67" si="97">IF(F67="","",F67)</f>
        <v/>
      </c>
      <c r="AB67" s="117" t="str">
        <f t="shared" ref="AB67" si="98">G67</f>
        <v/>
      </c>
      <c r="AC67" s="117" t="str">
        <f t="shared" ref="AC67" si="99">IF(AB67="","",EXP(-1*EXP(-1*$AF$70*(AA67-$AF$71))))</f>
        <v/>
      </c>
      <c r="AD67" s="117" t="str">
        <f t="shared" ref="AD67" si="100">IF(AC67="","",ABS(AC67-AB67))</f>
        <v/>
      </c>
      <c r="AH67" s="103" t="str">
        <f t="shared" ref="AH67" si="101">E67</f>
        <v/>
      </c>
      <c r="AI67" s="364" t="str">
        <f t="shared" ref="AI67" si="102">IF(F67="","",F67)</f>
        <v/>
      </c>
      <c r="AJ67" s="117" t="str">
        <f t="shared" ref="AJ67" si="103">G67</f>
        <v/>
      </c>
      <c r="AK67" s="117" t="str">
        <f t="shared" ref="AK67" si="104">IF(AJ67="","",(AI67-$AN$71)/$AN$70)</f>
        <v/>
      </c>
      <c r="AL67" s="117" t="str">
        <f t="shared" ref="AL67" si="105">IF(AK67="","",IF(AK67&lt;0,0,_xlfn.GAMMA.DIST(AI67-$AN$71,$AN$69,$AN$70,TRUE)))</f>
        <v/>
      </c>
      <c r="AM67" s="117" t="str">
        <f t="shared" ref="AM67" si="106">IF(AJ67="","",ABS(AL67-AJ67))</f>
        <v/>
      </c>
      <c r="AP67" s="103" t="str">
        <f t="shared" ref="AP67" si="107">E67</f>
        <v/>
      </c>
      <c r="AQ67" s="117" t="str">
        <f t="shared" ref="AQ67" si="108">IF(F67="","",LOG10(F67))</f>
        <v/>
      </c>
      <c r="AR67" s="117" t="str">
        <f t="shared" ref="AR67" si="109">G67</f>
        <v/>
      </c>
      <c r="AS67" s="117" t="str">
        <f t="shared" ref="AS67" si="110">IF(AR67="","",(AQ67-$AV$71)/$AV$70)</f>
        <v/>
      </c>
      <c r="AT67" s="117" t="str">
        <f t="shared" ref="AT67" si="111">IF(AS67="","",IF(AS67&lt;0,0,_xlfn.GAMMA.DIST(AQ67-$AV$71,$AV$69,$AV$70,TRUE)))</f>
        <v/>
      </c>
      <c r="AU67" s="117" t="str">
        <f t="shared" ref="AU67" si="112">IF(AT67="","",ABS(AT67-AR67))</f>
        <v/>
      </c>
    </row>
    <row r="68" spans="2:48" ht="13.5" customHeight="1" x14ac:dyDescent="0.3">
      <c r="B68" s="70" t="s">
        <v>28</v>
      </c>
      <c r="C68" s="27">
        <f>COUNT(C7:C67)</f>
        <v>53</v>
      </c>
      <c r="D68" s="31" t="s">
        <v>33</v>
      </c>
      <c r="E68" s="77"/>
      <c r="G68" s="6"/>
      <c r="I68" s="21"/>
      <c r="J68" s="25" t="s">
        <v>28</v>
      </c>
      <c r="K68" s="19">
        <f>$C$68</f>
        <v>53</v>
      </c>
      <c r="L68" s="22"/>
      <c r="M68" s="22" t="s">
        <v>33</v>
      </c>
      <c r="N68" s="21"/>
      <c r="O68" s="21"/>
      <c r="P68" s="21"/>
      <c r="Q68" s="21"/>
      <c r="R68" s="25" t="s">
        <v>28</v>
      </c>
      <c r="S68" s="19">
        <f>$C$68</f>
        <v>53</v>
      </c>
      <c r="T68" s="22"/>
      <c r="U68" s="22" t="s">
        <v>33</v>
      </c>
      <c r="V68" s="21"/>
      <c r="W68" s="21"/>
      <c r="Y68" s="21"/>
      <c r="Z68" s="25" t="s">
        <v>28</v>
      </c>
      <c r="AA68" s="19">
        <f>$C$68</f>
        <v>53</v>
      </c>
      <c r="AB68" s="22"/>
      <c r="AC68" s="22" t="s">
        <v>33</v>
      </c>
      <c r="AD68" s="21"/>
      <c r="AE68" s="27" t="s">
        <v>12</v>
      </c>
      <c r="AF68" s="68">
        <f>AA112</f>
        <v>0.54963999999999991</v>
      </c>
      <c r="AG68" s="21"/>
      <c r="AH68" s="25" t="s">
        <v>28</v>
      </c>
      <c r="AI68" s="19">
        <f>$C$68</f>
        <v>53</v>
      </c>
      <c r="AJ68" s="22"/>
      <c r="AK68" s="22" t="s">
        <v>33</v>
      </c>
      <c r="AL68" s="21"/>
      <c r="AM68" s="70" t="s">
        <v>17</v>
      </c>
      <c r="AN68" s="71">
        <f>SKEW(AI7:AI67)</f>
        <v>0.46603889552990668</v>
      </c>
      <c r="AO68" s="21"/>
      <c r="AP68" s="25" t="s">
        <v>28</v>
      </c>
      <c r="AQ68" s="19">
        <f>$C$68</f>
        <v>53</v>
      </c>
      <c r="AR68" s="22"/>
      <c r="AS68" s="22" t="s">
        <v>33</v>
      </c>
      <c r="AT68" s="21"/>
      <c r="AU68" s="70" t="s">
        <v>17</v>
      </c>
      <c r="AV68" s="71">
        <f>SKEW(AQ7:AQ67)</f>
        <v>-3.2342005983958005E-2</v>
      </c>
    </row>
    <row r="69" spans="2:48" ht="13.5" customHeight="1" x14ac:dyDescent="0.3">
      <c r="B69" s="70" t="s">
        <v>29</v>
      </c>
      <c r="C69" s="78">
        <f>AVERAGE(C7:C67)</f>
        <v>22.316433962264139</v>
      </c>
      <c r="D69" s="31" t="s">
        <v>3</v>
      </c>
      <c r="E69" s="31" t="s">
        <v>5</v>
      </c>
      <c r="F69" s="18"/>
      <c r="G69" s="6"/>
      <c r="I69" s="21"/>
      <c r="J69" s="25" t="s">
        <v>29</v>
      </c>
      <c r="K69" s="20">
        <f>C69</f>
        <v>22.316433962264139</v>
      </c>
      <c r="L69" s="22" t="s">
        <v>3</v>
      </c>
      <c r="M69" s="22" t="s">
        <v>5</v>
      </c>
      <c r="N69" s="21"/>
      <c r="O69" s="21"/>
      <c r="P69" s="21"/>
      <c r="Q69" s="21"/>
      <c r="R69" s="25" t="s">
        <v>29</v>
      </c>
      <c r="S69" s="84">
        <f>AVERAGE(S7:S67)</f>
        <v>1.3189239211636365</v>
      </c>
      <c r="T69" s="22" t="s">
        <v>3</v>
      </c>
      <c r="U69" s="22" t="s">
        <v>5</v>
      </c>
      <c r="V69" s="21"/>
      <c r="W69" s="21"/>
      <c r="Y69" s="21"/>
      <c r="Z69" s="25" t="s">
        <v>29</v>
      </c>
      <c r="AA69" s="20">
        <f>AVERAGE(AA7:AA67)</f>
        <v>22.316433962264128</v>
      </c>
      <c r="AB69" s="22" t="s">
        <v>3</v>
      </c>
      <c r="AC69" s="22" t="s">
        <v>5</v>
      </c>
      <c r="AD69" s="21"/>
      <c r="AE69" s="28" t="s">
        <v>13</v>
      </c>
      <c r="AF69" s="68">
        <f>AB112</f>
        <v>1.1652</v>
      </c>
      <c r="AG69" s="21"/>
      <c r="AH69" s="25" t="s">
        <v>29</v>
      </c>
      <c r="AI69" s="20">
        <f>AVERAGE(AI7:AI67)</f>
        <v>22.316433962264128</v>
      </c>
      <c r="AJ69" s="22" t="s">
        <v>3</v>
      </c>
      <c r="AK69" s="22" t="s">
        <v>5</v>
      </c>
      <c r="AL69" s="21"/>
      <c r="AM69" s="70" t="s">
        <v>65</v>
      </c>
      <c r="AN69" s="80">
        <f>(2/AN68)^2</f>
        <v>18.416863218940225</v>
      </c>
      <c r="AO69" s="21"/>
      <c r="AP69" s="25" t="s">
        <v>29</v>
      </c>
      <c r="AQ69" s="84">
        <f>AVERAGE(AQ7:AQ67)</f>
        <v>1.3189239211636365</v>
      </c>
      <c r="AR69" s="22" t="s">
        <v>3</v>
      </c>
      <c r="AS69" s="22" t="s">
        <v>5</v>
      </c>
      <c r="AT69" s="21"/>
      <c r="AU69" s="70" t="s">
        <v>65</v>
      </c>
      <c r="AV69" s="80">
        <f>(2/AV68)^2</f>
        <v>3824.0722152349445</v>
      </c>
    </row>
    <row r="70" spans="2:48" ht="13.5" customHeight="1" x14ac:dyDescent="0.3">
      <c r="B70" s="70" t="s">
        <v>30</v>
      </c>
      <c r="C70" s="78">
        <f>STDEV(C7:C67)</f>
        <v>8.2663551253291612</v>
      </c>
      <c r="D70" s="31" t="s">
        <v>3</v>
      </c>
      <c r="E70" s="31" t="s">
        <v>34</v>
      </c>
      <c r="G70" s="6"/>
      <c r="I70" s="21"/>
      <c r="J70" s="25" t="s">
        <v>30</v>
      </c>
      <c r="K70" s="20">
        <f>C70</f>
        <v>8.2663551253291612</v>
      </c>
      <c r="L70" s="22" t="s">
        <v>3</v>
      </c>
      <c r="M70" s="22" t="s">
        <v>34</v>
      </c>
      <c r="N70" s="21"/>
      <c r="O70" s="21"/>
      <c r="P70" s="21"/>
      <c r="Q70" s="21"/>
      <c r="R70" s="25" t="s">
        <v>30</v>
      </c>
      <c r="S70" s="84">
        <f>STDEV(S7:S67)</f>
        <v>0.16350480290199812</v>
      </c>
      <c r="T70" s="22" t="s">
        <v>3</v>
      </c>
      <c r="U70" s="22" t="s">
        <v>34</v>
      </c>
      <c r="V70" s="21"/>
      <c r="W70" s="21"/>
      <c r="Y70" s="21"/>
      <c r="Z70" s="25" t="s">
        <v>30</v>
      </c>
      <c r="AA70" s="20">
        <f>STDEV(AA7:AA67)</f>
        <v>8.2663551253291896</v>
      </c>
      <c r="AB70" s="22" t="s">
        <v>3</v>
      </c>
      <c r="AC70" s="22" t="s">
        <v>34</v>
      </c>
      <c r="AD70" s="21"/>
      <c r="AE70" s="27" t="s">
        <v>11</v>
      </c>
      <c r="AF70" s="69">
        <f>1.2825/AA70</f>
        <v>0.15514697597133867</v>
      </c>
      <c r="AG70" s="21"/>
      <c r="AH70" s="25" t="s">
        <v>30</v>
      </c>
      <c r="AI70" s="20">
        <f>STDEV(AI7:AI67)</f>
        <v>8.2663551253291896</v>
      </c>
      <c r="AJ70" s="22" t="s">
        <v>3</v>
      </c>
      <c r="AK70" s="22" t="s">
        <v>34</v>
      </c>
      <c r="AL70" s="21"/>
      <c r="AM70" s="70" t="s">
        <v>66</v>
      </c>
      <c r="AN70" s="80">
        <f>AI70/(AN69)^0.5</f>
        <v>1.9262215063331996</v>
      </c>
      <c r="AO70" s="21"/>
      <c r="AP70" s="25" t="s">
        <v>30</v>
      </c>
      <c r="AQ70" s="84">
        <f>STDEV(AQ7:AQ67)</f>
        <v>0.16350480290199812</v>
      </c>
      <c r="AR70" s="22" t="s">
        <v>3</v>
      </c>
      <c r="AS70" s="22" t="s">
        <v>34</v>
      </c>
      <c r="AT70" s="21"/>
      <c r="AU70" s="70" t="s">
        <v>66</v>
      </c>
      <c r="AV70" s="80">
        <f>AQ70/(AV69^0.5)</f>
        <v>2.6440366569311486E-3</v>
      </c>
    </row>
    <row r="71" spans="2:48" ht="13.5" customHeight="1" x14ac:dyDescent="0.3">
      <c r="B71" s="70" t="s">
        <v>455</v>
      </c>
      <c r="C71" s="199">
        <f>SKEW(C7:C67)</f>
        <v>0.46603889552990269</v>
      </c>
      <c r="E71" s="31" t="s">
        <v>454</v>
      </c>
      <c r="I71" s="24" t="s">
        <v>36</v>
      </c>
      <c r="J71" s="21"/>
      <c r="K71" s="21"/>
      <c r="L71" s="21"/>
      <c r="M71" s="21"/>
      <c r="N71" s="21"/>
      <c r="O71" s="21"/>
      <c r="P71" s="21"/>
      <c r="Q71" s="24" t="s">
        <v>36</v>
      </c>
      <c r="R71" s="21"/>
      <c r="S71" s="21"/>
      <c r="T71" s="21"/>
      <c r="U71" s="21"/>
      <c r="V71" s="21"/>
      <c r="W71" s="21"/>
      <c r="Y71" s="24" t="s">
        <v>36</v>
      </c>
      <c r="Z71" s="21"/>
      <c r="AA71" s="21"/>
      <c r="AB71" s="21"/>
      <c r="AC71" s="21"/>
      <c r="AD71" s="21"/>
      <c r="AE71" s="27" t="s">
        <v>14</v>
      </c>
      <c r="AF71" s="69">
        <f>AA69-0.45*AA70</f>
        <v>18.596574155865994</v>
      </c>
      <c r="AG71" s="24" t="s">
        <v>36</v>
      </c>
      <c r="AH71" s="21"/>
      <c r="AI71" s="21"/>
      <c r="AJ71" s="21"/>
      <c r="AK71" s="21"/>
      <c r="AL71" s="21"/>
      <c r="AM71" s="70" t="s">
        <v>64</v>
      </c>
      <c r="AN71" s="80">
        <f>AI69-AN69*AN70</f>
        <v>-13.158524049255412</v>
      </c>
      <c r="AO71" s="24" t="s">
        <v>36</v>
      </c>
      <c r="AP71" s="21"/>
      <c r="AQ71" s="21"/>
      <c r="AR71" s="21"/>
      <c r="AS71" s="21"/>
      <c r="AT71" s="21"/>
      <c r="AU71" s="70" t="s">
        <v>64</v>
      </c>
      <c r="AV71" s="80">
        <f>AQ69-AV69*AV70</f>
        <v>-8.7920631946694581</v>
      </c>
    </row>
    <row r="72" spans="2:48" ht="13.5" customHeight="1" x14ac:dyDescent="0.3">
      <c r="I72" s="21"/>
      <c r="J72" s="19" t="s">
        <v>8</v>
      </c>
      <c r="K72" s="26">
        <f>MAX(O7:O67)</f>
        <v>0.10603285186826472</v>
      </c>
      <c r="L72" s="36" t="s">
        <v>35</v>
      </c>
      <c r="M72" s="21"/>
      <c r="N72" s="21"/>
      <c r="O72" s="21"/>
      <c r="P72" s="21"/>
      <c r="Q72" s="21"/>
      <c r="R72" s="19" t="s">
        <v>8</v>
      </c>
      <c r="S72" s="26">
        <f>MAX(W7:W67)</f>
        <v>0.10216129419759312</v>
      </c>
      <c r="T72" s="36" t="s">
        <v>35</v>
      </c>
      <c r="U72" s="21"/>
      <c r="V72" s="21"/>
      <c r="W72" s="21"/>
      <c r="Y72" s="21"/>
      <c r="Z72" s="19" t="s">
        <v>8</v>
      </c>
      <c r="AA72" s="26">
        <f>MAX(AD7:AD67)</f>
        <v>0.11125806705299346</v>
      </c>
      <c r="AB72" s="36" t="s">
        <v>40</v>
      </c>
      <c r="AC72" s="21"/>
      <c r="AD72" s="21"/>
      <c r="AE72" s="8"/>
      <c r="AF72" s="8"/>
      <c r="AG72" s="21"/>
      <c r="AH72" s="19" t="s">
        <v>8</v>
      </c>
      <c r="AI72" s="26">
        <f>IF(AM91=FALSE,"-",MAX(AM7:AM67))</f>
        <v>8.6889059972384608E-2</v>
      </c>
      <c r="AJ72" s="36" t="s">
        <v>41</v>
      </c>
      <c r="AK72" s="21"/>
      <c r="AL72" s="21"/>
      <c r="AM72" s="70" t="s">
        <v>18</v>
      </c>
      <c r="AN72" s="72">
        <f>ROUND(2*AN69,0)</f>
        <v>37</v>
      </c>
      <c r="AO72" s="21"/>
      <c r="AP72" s="19" t="s">
        <v>8</v>
      </c>
      <c r="AQ72" s="26">
        <f>IF(AU91=FALSE,"-",MAX(AU7:AU67))</f>
        <v>0.10273685641022234</v>
      </c>
      <c r="AR72" s="36" t="s">
        <v>40</v>
      </c>
      <c r="AS72" s="21"/>
      <c r="AT72" s="21"/>
      <c r="AU72" s="70" t="s">
        <v>18</v>
      </c>
      <c r="AV72" s="72">
        <f>ROUND(2*AV69,0)</f>
        <v>7648</v>
      </c>
    </row>
    <row r="73" spans="2:48" ht="13.5" customHeight="1" x14ac:dyDescent="0.3">
      <c r="B73" s="24" t="s">
        <v>156</v>
      </c>
      <c r="I73" s="24" t="s">
        <v>37</v>
      </c>
      <c r="M73" s="25" t="s">
        <v>11</v>
      </c>
      <c r="N73" s="27">
        <v>5</v>
      </c>
      <c r="O73" s="22" t="s">
        <v>39</v>
      </c>
      <c r="P73" s="21"/>
      <c r="Q73" s="24" t="s">
        <v>37</v>
      </c>
      <c r="T73" s="23"/>
      <c r="U73" s="25" t="s">
        <v>11</v>
      </c>
      <c r="V73" s="27">
        <f>N73</f>
        <v>5</v>
      </c>
      <c r="W73" s="22" t="s">
        <v>39</v>
      </c>
      <c r="Y73" s="24" t="s">
        <v>37</v>
      </c>
      <c r="AB73" s="23"/>
      <c r="AC73" s="25" t="s">
        <v>11</v>
      </c>
      <c r="AD73" s="27">
        <f>N73</f>
        <v>5</v>
      </c>
      <c r="AE73" s="22" t="s">
        <v>39</v>
      </c>
      <c r="AF73" s="8"/>
      <c r="AG73" s="24" t="s">
        <v>37</v>
      </c>
      <c r="AJ73" s="23"/>
      <c r="AK73" s="25" t="s">
        <v>11</v>
      </c>
      <c r="AL73" s="27">
        <f>N73</f>
        <v>5</v>
      </c>
      <c r="AM73" s="22" t="s">
        <v>39</v>
      </c>
      <c r="AN73" s="8"/>
      <c r="AO73" s="24" t="s">
        <v>37</v>
      </c>
      <c r="AR73" s="23"/>
      <c r="AS73" s="25" t="s">
        <v>11</v>
      </c>
      <c r="AT73" s="27">
        <f>N73</f>
        <v>5</v>
      </c>
      <c r="AU73" s="22" t="s">
        <v>39</v>
      </c>
      <c r="AV73" s="8"/>
    </row>
    <row r="74" spans="2:48" ht="13.5" customHeight="1" x14ac:dyDescent="0.3">
      <c r="I74" s="21"/>
      <c r="J74" s="19" t="s">
        <v>9</v>
      </c>
      <c r="K74" s="84">
        <f>IF(N73=1,N123,IF(N73=5,M123,IF(N73=10,L123,IF(N73=20,K123,""))))</f>
        <v>0.18681036697021708</v>
      </c>
      <c r="L74" s="23"/>
      <c r="O74" s="22" t="s">
        <v>38</v>
      </c>
      <c r="P74" s="21"/>
      <c r="Q74" s="21"/>
      <c r="R74" s="19" t="s">
        <v>9</v>
      </c>
      <c r="S74" s="84">
        <f>K74</f>
        <v>0.18681036697021708</v>
      </c>
      <c r="T74" s="23"/>
      <c r="U74" s="25"/>
      <c r="V74" s="27"/>
      <c r="W74" s="22" t="s">
        <v>38</v>
      </c>
      <c r="Y74" s="21"/>
      <c r="Z74" s="19" t="s">
        <v>9</v>
      </c>
      <c r="AA74" s="84">
        <f>S74</f>
        <v>0.18681036697021708</v>
      </c>
      <c r="AB74" s="23"/>
      <c r="AC74" s="25"/>
      <c r="AD74" s="27"/>
      <c r="AE74" s="22" t="s">
        <v>38</v>
      </c>
      <c r="AF74" s="8"/>
      <c r="AG74" s="21"/>
      <c r="AH74" s="19" t="s">
        <v>9</v>
      </c>
      <c r="AI74" s="84">
        <f>AA74</f>
        <v>0.18681036697021708</v>
      </c>
      <c r="AJ74" s="23"/>
      <c r="AK74" s="25"/>
      <c r="AL74" s="27"/>
      <c r="AM74" s="22" t="s">
        <v>38</v>
      </c>
      <c r="AN74" s="8"/>
      <c r="AO74" s="21"/>
      <c r="AP74" s="19" t="s">
        <v>9</v>
      </c>
      <c r="AQ74" s="84">
        <f>AI74</f>
        <v>0.18681036697021708</v>
      </c>
      <c r="AR74" s="23"/>
      <c r="AS74" s="25"/>
      <c r="AT74" s="27"/>
      <c r="AU74" s="22" t="s">
        <v>38</v>
      </c>
      <c r="AV74" s="8"/>
    </row>
    <row r="75" spans="2:48" ht="13.5" customHeight="1" x14ac:dyDescent="0.3"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Y75" s="21"/>
      <c r="Z75" s="21"/>
      <c r="AA75" s="21"/>
      <c r="AB75" s="21"/>
      <c r="AC75" s="21"/>
      <c r="AD75" s="21"/>
      <c r="AE75" s="8"/>
      <c r="AF75" s="8"/>
      <c r="AG75" s="21"/>
      <c r="AH75" s="21"/>
      <c r="AI75" s="21"/>
      <c r="AJ75" s="21"/>
      <c r="AK75" s="21"/>
      <c r="AL75" s="21"/>
      <c r="AM75" s="8"/>
      <c r="AN75" s="8"/>
      <c r="AO75" s="21"/>
      <c r="AP75" s="21"/>
      <c r="AQ75" s="21"/>
      <c r="AR75" s="21"/>
      <c r="AS75" s="21"/>
      <c r="AT75" s="21"/>
      <c r="AU75" s="8"/>
      <c r="AV75" s="8"/>
    </row>
    <row r="76" spans="2:48" ht="13.5" customHeight="1" x14ac:dyDescent="0.3">
      <c r="I76" s="34" t="s">
        <v>10</v>
      </c>
      <c r="J76" s="567" t="str">
        <f>IF(K74&gt;=K72,"Como Dc &lt; Dt, entonces el Registro de Precipitaciones SI se ajusta a la Distribucion Normal para el nivel de significancia dado.","Como Dc &gt; Dt, entonces el Registro de Precipitaciones NO se ajusta a la Distribucion Normal para el nivel de significancia dado.")</f>
        <v>Como Dc &lt; Dt, entonces el Registro de Precipitaciones SI se ajusta a la Distribucion Normal para el nivel de significancia dado.</v>
      </c>
      <c r="K76" s="567"/>
      <c r="L76" s="567"/>
      <c r="M76" s="567"/>
      <c r="N76" s="567"/>
      <c r="O76" s="567"/>
      <c r="P76" s="21"/>
      <c r="Q76" s="34" t="s">
        <v>10</v>
      </c>
      <c r="R76" s="567" t="str">
        <f>IF(S74&gt;=S72,"Como Dc &lt; Dt, entonces el Registro de Precipitaciones SI se ajusta a la Distribucion LogNormal para el nivel de significancia dado.","Como Dc &gt; Dt, entonces el Registro de Precipitaciones NO se ajusta a la Distribucion LogNormal para el nivel de significancia dado.")</f>
        <v>Como Dc &lt; Dt, entonces el Registro de Precipitaciones SI se ajusta a la Distribucion LogNormal para el nivel de significancia dado.</v>
      </c>
      <c r="S76" s="567"/>
      <c r="T76" s="567"/>
      <c r="U76" s="567"/>
      <c r="V76" s="567"/>
      <c r="W76" s="567"/>
      <c r="Y76" s="34" t="s">
        <v>10</v>
      </c>
      <c r="Z76" s="567" t="str">
        <f>IF(AA74&gt;=AA72,"Como Dc &lt; Dt, entonces el Registro de Precipitaciones SI se ajusta a la Distribucion Gumbel para el nivel de significancia dado.","Como Dc &gt; Dt, entonces el Registro de Precipitaciones NO se ajusta a la Distribucion Gumbel para el nivel de significancia dado.")</f>
        <v>Como Dc &lt; Dt, entonces el Registro de Precipitaciones SI se ajusta a la Distribucion Gumbel para el nivel de significancia dado.</v>
      </c>
      <c r="AA76" s="567"/>
      <c r="AB76" s="567"/>
      <c r="AC76" s="567"/>
      <c r="AD76" s="567"/>
      <c r="AE76" s="567"/>
      <c r="AF76" s="8"/>
      <c r="AG76" s="34" t="s">
        <v>10</v>
      </c>
      <c r="AH76" s="567" t="str">
        <f>IF(AM91=FALSE,"El Registro de Precipitaciones NO se ajusta a la Distribucion Pearson III, pues sus parámetros son incorrectos.",IF(AI74&gt;=AI72,"Como Dc &lt; Dt, entonces el Registro de Precipitaciones SI se ajusta a la Distribucion Pearson III para el nivel de significancia dado.","Como Dc &gt; Dt, entonces el Registro de Precipitaciones NO se ajusta a la Distribucion Pearson III para el nivel de significancia dado."))</f>
        <v>Como Dc &lt; Dt, entonces el Registro de Precipitaciones SI se ajusta a la Distribucion Pearson III para el nivel de significancia dado.</v>
      </c>
      <c r="AI76" s="567"/>
      <c r="AJ76" s="567"/>
      <c r="AK76" s="567"/>
      <c r="AL76" s="567"/>
      <c r="AM76" s="567"/>
      <c r="AN76" s="8"/>
      <c r="AO76" s="34" t="s">
        <v>10</v>
      </c>
      <c r="AP76" s="567" t="str">
        <f>IF(AU91=FALSE,"El Registro de Precipitaciones NO se ajusta a la Distribucion Pearson III, pues sus parámetros son incorrectos.",IF(AQ74&gt;=AQ72,"Como Dc &lt; Dt, entonces el Registro de Precipitaciones SI se ajusta a la Distribucion Log Pearson III para el nivel de significancia dado.","Como Dc &gt; Dt, entonces el Registro de Precipitaciones NO se ajusta a la Distribucion Log Pearson III para el nivel de significancia dado."))</f>
        <v>Como Dc &lt; Dt, entonces el Registro de Precipitaciones SI se ajusta a la Distribucion Log Pearson III para el nivel de significancia dado.</v>
      </c>
      <c r="AQ76" s="567"/>
      <c r="AR76" s="567"/>
      <c r="AS76" s="567"/>
      <c r="AT76" s="567"/>
      <c r="AU76" s="567"/>
      <c r="AV76" s="8"/>
    </row>
    <row r="77" spans="2:48" ht="13.5" customHeight="1" x14ac:dyDescent="0.3">
      <c r="I77" s="35"/>
      <c r="J77" s="567"/>
      <c r="K77" s="567"/>
      <c r="L77" s="567"/>
      <c r="M77" s="567"/>
      <c r="N77" s="567"/>
      <c r="O77" s="567"/>
      <c r="R77" s="567"/>
      <c r="S77" s="567"/>
      <c r="T77" s="567"/>
      <c r="U77" s="567"/>
      <c r="V77" s="567"/>
      <c r="W77" s="567"/>
      <c r="Z77" s="567"/>
      <c r="AA77" s="567"/>
      <c r="AB77" s="567"/>
      <c r="AC77" s="567"/>
      <c r="AD77" s="567"/>
      <c r="AE77" s="567"/>
      <c r="AF77" s="8"/>
      <c r="AG77" s="8"/>
      <c r="AH77" s="567"/>
      <c r="AI77" s="567"/>
      <c r="AJ77" s="567"/>
      <c r="AK77" s="567"/>
      <c r="AL77" s="567"/>
      <c r="AM77" s="567"/>
      <c r="AP77" s="567"/>
      <c r="AQ77" s="567"/>
      <c r="AR77" s="567"/>
      <c r="AS77" s="567"/>
      <c r="AT77" s="567"/>
      <c r="AU77" s="567"/>
    </row>
    <row r="78" spans="2:48" ht="15.6" x14ac:dyDescent="0.3">
      <c r="I78" s="35"/>
      <c r="J78" s="83"/>
      <c r="K78" s="83"/>
      <c r="L78" s="83"/>
      <c r="M78" s="83"/>
      <c r="N78" s="83"/>
      <c r="O78" s="83"/>
      <c r="R78" s="83"/>
      <c r="S78" s="83"/>
      <c r="T78" s="83"/>
      <c r="U78" s="83"/>
      <c r="V78" s="83"/>
      <c r="W78" s="83"/>
      <c r="Z78" s="83"/>
      <c r="AA78" s="83"/>
      <c r="AB78" s="83"/>
      <c r="AC78" s="83"/>
      <c r="AD78" s="83"/>
      <c r="AG78" s="8"/>
      <c r="AH78" s="83"/>
      <c r="AI78" s="83"/>
      <c r="AJ78" s="83"/>
      <c r="AK78" s="83"/>
      <c r="AL78" s="83"/>
      <c r="AM78" s="83"/>
      <c r="AP78" s="83"/>
      <c r="AQ78" s="83"/>
      <c r="AR78" s="83"/>
      <c r="AS78" s="83"/>
      <c r="AT78" s="83"/>
      <c r="AU78" s="83"/>
    </row>
    <row r="79" spans="2:48" ht="15.6" x14ac:dyDescent="0.3">
      <c r="I79" s="35"/>
      <c r="J79" s="83"/>
      <c r="K79" s="83"/>
      <c r="L79" s="83"/>
      <c r="M79" s="83"/>
      <c r="N79" s="83"/>
      <c r="O79" s="83"/>
      <c r="R79" s="83"/>
      <c r="S79" s="83"/>
      <c r="T79" s="83"/>
      <c r="U79" s="83"/>
      <c r="V79" s="83"/>
      <c r="W79" s="83"/>
      <c r="Z79" s="83"/>
      <c r="AA79" s="83"/>
      <c r="AB79" s="83"/>
      <c r="AC79" s="83"/>
      <c r="AD79" s="83"/>
      <c r="AG79" s="8"/>
      <c r="AH79" s="83"/>
      <c r="AI79" s="83"/>
      <c r="AJ79" s="83"/>
      <c r="AK79" s="88"/>
      <c r="AL79" s="83"/>
      <c r="AM79" s="83"/>
      <c r="AP79" s="83"/>
      <c r="AQ79" s="83"/>
      <c r="AR79" s="83"/>
      <c r="AS79" s="83"/>
      <c r="AT79" s="83"/>
      <c r="AU79" s="83"/>
    </row>
    <row r="80" spans="2:48" ht="15.6" x14ac:dyDescent="0.3">
      <c r="I80" s="35"/>
      <c r="J80" s="83"/>
      <c r="K80" s="83"/>
      <c r="L80" s="83"/>
      <c r="M80" s="83"/>
      <c r="N80" s="83"/>
      <c r="O80" s="83"/>
      <c r="R80" s="83"/>
      <c r="S80" s="83"/>
      <c r="T80" s="83"/>
      <c r="U80" s="83"/>
      <c r="V80" s="83"/>
      <c r="W80" s="83"/>
      <c r="Z80" s="537" t="s">
        <v>68</v>
      </c>
      <c r="AA80" s="537"/>
      <c r="AB80" s="537"/>
      <c r="AC80" s="537"/>
      <c r="AD80" s="537"/>
      <c r="AE80" s="537"/>
      <c r="AF80" s="8"/>
      <c r="AG80" s="8"/>
      <c r="AH80" s="537" t="s">
        <v>69</v>
      </c>
      <c r="AI80" s="537"/>
      <c r="AJ80" s="537"/>
      <c r="AK80" s="537"/>
      <c r="AL80" s="537"/>
      <c r="AM80" s="537"/>
      <c r="AP80" s="83"/>
      <c r="AQ80" s="83"/>
      <c r="AR80" s="83"/>
      <c r="AS80" s="83"/>
      <c r="AT80" s="83"/>
      <c r="AU80" s="83"/>
    </row>
    <row r="81" spans="1:47" ht="15.6" x14ac:dyDescent="0.3">
      <c r="I81" s="35"/>
      <c r="J81" s="83"/>
      <c r="K81" s="83"/>
      <c r="L81" s="83"/>
      <c r="M81" s="83"/>
      <c r="N81" s="83"/>
      <c r="O81" s="83"/>
      <c r="R81" s="83"/>
      <c r="S81" s="83"/>
      <c r="T81" s="83"/>
      <c r="U81" s="83"/>
      <c r="V81" s="83"/>
      <c r="W81" s="83"/>
      <c r="Z81" s="83"/>
      <c r="AA81" s="83"/>
      <c r="AB81" s="83"/>
      <c r="AC81" s="83"/>
      <c r="AD81" s="83"/>
      <c r="AE81" s="83"/>
      <c r="AF81" s="8"/>
      <c r="AG81" s="8"/>
      <c r="AH81" s="83"/>
      <c r="AI81" s="83"/>
      <c r="AJ81" s="83"/>
      <c r="AK81" s="83"/>
      <c r="AL81" s="83"/>
      <c r="AM81" s="83"/>
      <c r="AP81" s="83"/>
      <c r="AQ81" s="83"/>
      <c r="AR81" s="83"/>
      <c r="AS81" s="83"/>
      <c r="AT81" s="83"/>
      <c r="AU81" s="83"/>
    </row>
    <row r="82" spans="1:47" ht="15.6" x14ac:dyDescent="0.3">
      <c r="I82" s="35"/>
      <c r="J82" s="83"/>
      <c r="K82" s="83"/>
      <c r="L82" s="83"/>
      <c r="M82" s="83"/>
      <c r="N82" s="83"/>
      <c r="O82" s="83"/>
      <c r="R82" s="83"/>
      <c r="S82" s="83"/>
      <c r="T82" s="83"/>
      <c r="U82" s="83"/>
      <c r="V82" s="83"/>
      <c r="W82" s="83"/>
      <c r="Z82" s="83"/>
      <c r="AA82" s="83"/>
      <c r="AB82" s="83"/>
      <c r="AC82" s="83"/>
      <c r="AD82" s="83"/>
      <c r="AE82" s="83"/>
      <c r="AF82" s="8"/>
      <c r="AG82" s="8"/>
      <c r="AH82" s="83"/>
      <c r="AI82" s="83"/>
      <c r="AJ82" s="83"/>
      <c r="AK82" s="83"/>
      <c r="AL82" s="83"/>
      <c r="AM82" s="83"/>
      <c r="AP82" s="83"/>
      <c r="AQ82" s="83"/>
      <c r="AR82" s="83"/>
      <c r="AS82" s="83"/>
      <c r="AT82" s="83"/>
      <c r="AU82" s="83"/>
    </row>
    <row r="83" spans="1:47" x14ac:dyDescent="0.3">
      <c r="AD83" s="8"/>
      <c r="AE83" s="8"/>
      <c r="AF83" s="8"/>
      <c r="AG83" s="8"/>
    </row>
    <row r="84" spans="1:47" x14ac:dyDescent="0.3">
      <c r="A84" s="73"/>
      <c r="B84" s="73"/>
      <c r="D84" s="73"/>
      <c r="E84" s="73"/>
      <c r="F84" s="73"/>
      <c r="G84" s="73"/>
      <c r="H84" s="73"/>
      <c r="AD84" s="8"/>
      <c r="AE84" s="8"/>
      <c r="AF84" s="8"/>
      <c r="AG84" s="8"/>
    </row>
    <row r="85" spans="1:47" x14ac:dyDescent="0.3">
      <c r="A85" s="73"/>
      <c r="B85" s="73"/>
      <c r="D85" s="73"/>
      <c r="E85" s="73"/>
      <c r="F85" s="73"/>
      <c r="G85" s="73"/>
      <c r="H85" s="73"/>
      <c r="P85" s="37">
        <v>1</v>
      </c>
      <c r="AD85" s="8"/>
      <c r="AE85" s="8"/>
      <c r="AF85" s="8"/>
      <c r="AG85" s="8"/>
    </row>
    <row r="86" spans="1:47" x14ac:dyDescent="0.3">
      <c r="A86" s="73"/>
      <c r="B86" s="73"/>
      <c r="D86" s="73"/>
      <c r="E86" s="73"/>
      <c r="F86" s="73"/>
      <c r="G86" s="73"/>
      <c r="H86" s="73"/>
      <c r="P86" s="37">
        <v>5</v>
      </c>
      <c r="AD86" s="8"/>
      <c r="AE86" s="8"/>
      <c r="AF86" s="8"/>
      <c r="AG86" s="8"/>
    </row>
    <row r="87" spans="1:47" x14ac:dyDescent="0.3">
      <c r="A87" s="73"/>
      <c r="B87" s="73"/>
      <c r="D87" s="73"/>
      <c r="E87" s="73"/>
      <c r="F87" s="73"/>
      <c r="G87" s="73"/>
      <c r="H87" s="73"/>
      <c r="P87" s="37">
        <v>10</v>
      </c>
      <c r="AD87" s="8"/>
      <c r="AE87" s="8"/>
      <c r="AF87" s="8"/>
      <c r="AG87" s="8"/>
    </row>
    <row r="88" spans="1:47" ht="15" thickBot="1" x14ac:dyDescent="0.35">
      <c r="A88" s="73"/>
      <c r="B88" s="73"/>
      <c r="D88" s="73"/>
      <c r="E88" s="73"/>
      <c r="F88" s="73"/>
      <c r="G88" s="73"/>
      <c r="H88" s="73"/>
      <c r="P88" s="37">
        <v>20</v>
      </c>
      <c r="AD88" s="8"/>
      <c r="AE88" s="8"/>
      <c r="AF88" s="8"/>
      <c r="AG88" s="8"/>
    </row>
    <row r="89" spans="1:47" ht="15" thickBot="1" x14ac:dyDescent="0.35">
      <c r="A89" s="73"/>
      <c r="B89" s="73"/>
      <c r="D89" s="73"/>
      <c r="E89" s="73"/>
      <c r="F89" s="73"/>
      <c r="G89" s="73"/>
      <c r="H89" s="73"/>
      <c r="Z89" s="62" t="s">
        <v>58</v>
      </c>
      <c r="AA89" s="64" t="s">
        <v>12</v>
      </c>
      <c r="AB89" s="65" t="s">
        <v>13</v>
      </c>
      <c r="AD89" s="8"/>
      <c r="AE89" s="8"/>
      <c r="AF89" s="8"/>
      <c r="AG89" s="8"/>
      <c r="AL89" s="76" t="s">
        <v>71</v>
      </c>
      <c r="AM89" s="81">
        <f>MIN(AI7:AI66)</f>
        <v>11.186999999999999</v>
      </c>
      <c r="AT89" s="76" t="s">
        <v>67</v>
      </c>
      <c r="AU89" s="82">
        <f>MIN(AQ7:AQ66)</f>
        <v>1.0487136380809696</v>
      </c>
    </row>
    <row r="90" spans="1:47" ht="15" thickBot="1" x14ac:dyDescent="0.35">
      <c r="A90" s="73"/>
      <c r="B90" s="73"/>
      <c r="D90" s="73"/>
      <c r="E90" s="73"/>
      <c r="F90" s="73"/>
      <c r="G90" s="73"/>
      <c r="H90" s="73"/>
      <c r="Z90" s="60">
        <v>10</v>
      </c>
      <c r="AA90" s="63">
        <v>0.49519999999999997</v>
      </c>
      <c r="AB90" s="63">
        <v>0.9496</v>
      </c>
      <c r="AD90" s="14"/>
      <c r="AE90" s="14"/>
      <c r="AF90" s="14"/>
      <c r="AG90" s="14"/>
    </row>
    <row r="91" spans="1:47" ht="15" thickBot="1" x14ac:dyDescent="0.35">
      <c r="A91" s="73"/>
      <c r="B91" s="73"/>
      <c r="D91" s="73"/>
      <c r="E91" s="73"/>
      <c r="F91" s="73"/>
      <c r="G91" s="73"/>
      <c r="H91" s="73"/>
      <c r="Z91" t="str">
        <f>IF(10&lt;=$C$68,IF($C$68&lt;15,$C$68,""),"")</f>
        <v/>
      </c>
      <c r="AA91" s="66">
        <f>IF(Z91="",0,(AA90*(Z92-Z91)+AA92*(Z91-Z90))/5)</f>
        <v>0</v>
      </c>
      <c r="AB91" s="66">
        <f>IF(Z91="",0,(AB90*(Z92-Z91)+AB92*(Z91-Z90))/5)</f>
        <v>0</v>
      </c>
      <c r="AD91" s="8"/>
      <c r="AE91" s="8"/>
      <c r="AF91" s="8"/>
      <c r="AG91" s="8"/>
      <c r="AM91" t="b">
        <f>AND(AN70&gt;0,AN69&gt;0,AM89&gt;=AN71)</f>
        <v>1</v>
      </c>
      <c r="AU91" t="b">
        <f>AND(AV70&gt;0,AV69&gt;0,AU89&gt;=AV71)</f>
        <v>1</v>
      </c>
    </row>
    <row r="92" spans="1:47" ht="15" thickBot="1" x14ac:dyDescent="0.35">
      <c r="A92" s="73"/>
      <c r="B92" s="73"/>
      <c r="D92" s="73"/>
      <c r="E92" s="73"/>
      <c r="F92" s="73"/>
      <c r="G92" s="73"/>
      <c r="H92" s="73"/>
      <c r="Z92" s="60">
        <v>15</v>
      </c>
      <c r="AA92" s="61">
        <v>0.51280000000000003</v>
      </c>
      <c r="AB92" s="61">
        <v>1.0206</v>
      </c>
      <c r="AD92" s="8"/>
      <c r="AE92" s="8"/>
      <c r="AF92" s="8"/>
      <c r="AG92" s="8"/>
    </row>
    <row r="93" spans="1:47" ht="15" thickBot="1" x14ac:dyDescent="0.35">
      <c r="A93" s="73"/>
      <c r="B93" s="73"/>
      <c r="D93" s="73"/>
      <c r="E93" s="73"/>
      <c r="F93" s="73"/>
      <c r="G93" s="73"/>
      <c r="H93" s="73"/>
      <c r="Z93" t="str">
        <f>IF(15&lt;=$C$68,IF($C$68&lt;20,$C$68,""),"")</f>
        <v/>
      </c>
      <c r="AA93" s="66">
        <f>IF(Z93="",0,(AA92*(Z94-Z93)+AA94*(Z93-Z92))/5)</f>
        <v>0</v>
      </c>
      <c r="AB93" s="66">
        <f>IF(Z93="",0,(AB92*(Z94-Z93)+AB94*(Z93-Z92))/5)</f>
        <v>0</v>
      </c>
      <c r="AD93" s="8"/>
      <c r="AE93" s="8"/>
      <c r="AF93" s="8"/>
      <c r="AG93" s="8"/>
    </row>
    <row r="94" spans="1:47" ht="15" thickBot="1" x14ac:dyDescent="0.35">
      <c r="A94" s="73"/>
      <c r="B94" s="73"/>
      <c r="D94" s="73"/>
      <c r="E94" s="73"/>
      <c r="F94" s="73"/>
      <c r="G94" s="73"/>
      <c r="H94" s="73"/>
      <c r="Z94" s="60">
        <v>20</v>
      </c>
      <c r="AA94" s="61">
        <v>0.52359999999999995</v>
      </c>
      <c r="AB94" s="61">
        <v>1.0628</v>
      </c>
      <c r="AD94" s="8"/>
      <c r="AE94" s="8"/>
      <c r="AF94" s="8"/>
      <c r="AG94" s="8"/>
      <c r="AL94" t="s">
        <v>72</v>
      </c>
    </row>
    <row r="95" spans="1:47" ht="15" thickBot="1" x14ac:dyDescent="0.35">
      <c r="A95" s="73"/>
      <c r="B95" s="73"/>
      <c r="D95" s="73"/>
      <c r="E95" s="73"/>
      <c r="F95" s="73"/>
      <c r="G95" s="73"/>
      <c r="H95" s="73"/>
      <c r="Z95" t="str">
        <f>IF(20&lt;=$C$68,IF($C$68&lt;25,$C$68,""),"")</f>
        <v/>
      </c>
      <c r="AA95" s="66">
        <f>IF(Z95="",0,(AA94*(Z96-Z95)+AA96*(Z95-Z94))/5)</f>
        <v>0</v>
      </c>
      <c r="AB95" s="66">
        <f>IF(Z95="",0,(AB94*(Z96-Z95)+AB96*(Z95-Z94))/5)</f>
        <v>0</v>
      </c>
      <c r="AD95" s="8"/>
      <c r="AE95" s="8"/>
      <c r="AF95" s="8"/>
      <c r="AG95" s="8"/>
      <c r="AL95" t="s">
        <v>73</v>
      </c>
    </row>
    <row r="96" spans="1:47" ht="15" thickBot="1" x14ac:dyDescent="0.35">
      <c r="A96" s="73"/>
      <c r="B96" s="73"/>
      <c r="D96" s="73"/>
      <c r="E96" s="73"/>
      <c r="F96" s="73"/>
      <c r="G96" s="73"/>
      <c r="H96" s="73"/>
      <c r="Z96" s="60">
        <v>25</v>
      </c>
      <c r="AA96" s="61">
        <v>0.53090000000000004</v>
      </c>
      <c r="AB96" s="61">
        <v>1.0913999999999999</v>
      </c>
      <c r="AD96" s="8"/>
      <c r="AE96" s="8"/>
      <c r="AF96" s="8"/>
      <c r="AG96" s="8"/>
    </row>
    <row r="97" spans="1:33" ht="15" thickBot="1" x14ac:dyDescent="0.35">
      <c r="A97" s="73"/>
      <c r="B97" s="73"/>
      <c r="D97" s="73"/>
      <c r="E97" s="73"/>
      <c r="F97" s="73"/>
      <c r="G97" s="73"/>
      <c r="H97" s="73"/>
      <c r="Z97" t="str">
        <f>IF(25&lt;=$C$68,IF($C$68&lt;30,$C$68,""),"")</f>
        <v/>
      </c>
      <c r="AA97" s="66">
        <f>IF(Z97="",0,(AA96*(Z98-Z97)+AA98*(Z97-Z96))/5)</f>
        <v>0</v>
      </c>
      <c r="AB97" s="66">
        <f>IF(Z97="",0,(AB96*(Z98-Z97)+AB98*(Z97-Z96))/5)</f>
        <v>0</v>
      </c>
      <c r="AD97" s="8"/>
      <c r="AE97" s="8"/>
      <c r="AF97" s="8"/>
      <c r="AG97" s="8"/>
    </row>
    <row r="98" spans="1:33" ht="15" thickBot="1" x14ac:dyDescent="0.35">
      <c r="A98" s="73"/>
      <c r="B98" s="73"/>
      <c r="D98" s="73"/>
      <c r="E98" s="73"/>
      <c r="F98" s="73"/>
      <c r="G98" s="73"/>
      <c r="H98" s="73"/>
      <c r="Z98" s="60">
        <v>30</v>
      </c>
      <c r="AA98" s="61">
        <v>0.53620000000000001</v>
      </c>
      <c r="AB98" s="61">
        <v>1.1124000000000001</v>
      </c>
      <c r="AD98" s="8"/>
      <c r="AE98" s="8"/>
      <c r="AF98" s="8"/>
      <c r="AG98" s="8"/>
    </row>
    <row r="99" spans="1:33" ht="15" thickBot="1" x14ac:dyDescent="0.35">
      <c r="A99" s="73"/>
      <c r="B99" s="73"/>
      <c r="D99" s="73"/>
      <c r="E99" s="73"/>
      <c r="F99" s="73"/>
      <c r="G99" s="73"/>
      <c r="H99" s="73"/>
      <c r="J99" s="565" t="s">
        <v>56</v>
      </c>
      <c r="K99" s="562" t="s">
        <v>57</v>
      </c>
      <c r="L99" s="563"/>
      <c r="M99" s="563"/>
      <c r="N99" s="564"/>
      <c r="Z99" t="str">
        <f>IF(30&lt;=$C$68,IF($C$68&lt;35,$C$68,""),"")</f>
        <v/>
      </c>
      <c r="AA99" s="66">
        <f>IF(Z99="",0,(AA98*(Z100-Z99)+AA100*(Z99-Z98))/5)</f>
        <v>0</v>
      </c>
      <c r="AB99" s="66">
        <f>IF(Z99="",0,(AB98*(Z100-Z99)+AB100*(Z99-Z98))/5)</f>
        <v>0</v>
      </c>
      <c r="AD99" s="8"/>
      <c r="AE99" s="8"/>
      <c r="AF99" s="8"/>
      <c r="AG99" s="8"/>
    </row>
    <row r="100" spans="1:33" ht="15" thickBot="1" x14ac:dyDescent="0.35">
      <c r="A100" s="73"/>
      <c r="B100" s="73"/>
      <c r="D100" s="73"/>
      <c r="E100" s="73"/>
      <c r="F100" s="73"/>
      <c r="G100" s="73"/>
      <c r="H100" s="73"/>
      <c r="J100" s="566"/>
      <c r="K100" s="45">
        <v>20</v>
      </c>
      <c r="L100" s="45">
        <v>10</v>
      </c>
      <c r="M100" s="45">
        <v>5</v>
      </c>
      <c r="N100" s="45">
        <v>1</v>
      </c>
      <c r="Z100" s="60">
        <v>35</v>
      </c>
      <c r="AA100" s="61">
        <v>0.5403</v>
      </c>
      <c r="AB100" s="61">
        <v>1.1285000000000001</v>
      </c>
      <c r="AD100" s="8"/>
      <c r="AE100" s="8"/>
      <c r="AF100" s="8"/>
      <c r="AG100" s="8"/>
    </row>
    <row r="101" spans="1:33" ht="15" thickBot="1" x14ac:dyDescent="0.35">
      <c r="A101" s="73"/>
      <c r="B101" s="73"/>
      <c r="D101" s="73"/>
      <c r="E101" s="73"/>
      <c r="F101" s="73"/>
      <c r="G101" s="73"/>
      <c r="H101" s="73"/>
      <c r="J101" s="51">
        <v>5</v>
      </c>
      <c r="K101" s="87">
        <v>0.44697999999999999</v>
      </c>
      <c r="L101" s="87">
        <v>0.50944999999999996</v>
      </c>
      <c r="M101" s="87">
        <v>0.56328</v>
      </c>
      <c r="N101" s="87">
        <v>0.66852999999999996</v>
      </c>
      <c r="Z101" t="str">
        <f>IF(35&lt;=$C$68,IF($C$68&lt;40,$C$68,""),"")</f>
        <v/>
      </c>
      <c r="AA101" s="66">
        <f>IF(Z101="",0,(AA100*(Z102-Z101)+AA102*(Z101-Z100))/5)</f>
        <v>0</v>
      </c>
      <c r="AB101" s="66">
        <f>IF(Z101="",0,(AB100*(Z102-Z101)+AB102*(Z101-Z100))/5)</f>
        <v>0</v>
      </c>
      <c r="AD101" s="8"/>
      <c r="AE101" s="8"/>
      <c r="AF101" s="8"/>
      <c r="AG101" s="8"/>
    </row>
    <row r="102" spans="1:33" ht="15" thickBot="1" x14ac:dyDescent="0.35">
      <c r="A102" s="73"/>
      <c r="B102" s="73"/>
      <c r="D102" s="73"/>
      <c r="E102" s="73"/>
      <c r="F102" s="73"/>
      <c r="G102" s="73"/>
      <c r="H102" s="73"/>
      <c r="J102" t="str">
        <f>IF(5&lt;=$C$68,IF($C$68&lt;10,$C$68,""),"")</f>
        <v/>
      </c>
      <c r="K102" s="85">
        <f>IF(J102="",0,(K101*(J103-J102)+K103*(J102-J101))/5)</f>
        <v>0</v>
      </c>
      <c r="L102" s="85">
        <f>IF(J102="",0,(L101*(J103-J102)+L103*(J102-J101))/5)</f>
        <v>0</v>
      </c>
      <c r="M102" s="85">
        <f>IF(J102="",0,(M101*(J103-J102)+M103*(J102-J101))/5)</f>
        <v>0</v>
      </c>
      <c r="N102" s="85">
        <f>IF(J102="",0,(N101*(J103-J102)+N103*(J102-J101))/5)</f>
        <v>0</v>
      </c>
      <c r="Z102" s="60">
        <v>40</v>
      </c>
      <c r="AA102" s="61">
        <v>0.54359999999999997</v>
      </c>
      <c r="AB102" s="61">
        <v>1.1413</v>
      </c>
      <c r="AD102" s="8"/>
      <c r="AE102" s="8"/>
      <c r="AF102" s="8"/>
      <c r="AG102" s="8"/>
    </row>
    <row r="103" spans="1:33" ht="15" thickBot="1" x14ac:dyDescent="0.35">
      <c r="A103" s="73"/>
      <c r="B103" s="73"/>
      <c r="D103" s="73"/>
      <c r="E103" s="73"/>
      <c r="F103" s="73"/>
      <c r="G103" s="73"/>
      <c r="H103" s="73"/>
      <c r="J103" s="51">
        <v>10</v>
      </c>
      <c r="K103" s="87">
        <v>0.3226</v>
      </c>
      <c r="L103" s="87">
        <v>0.36865999999999999</v>
      </c>
      <c r="M103" s="87">
        <v>0.40925</v>
      </c>
      <c r="N103" s="87">
        <v>0.48892999999999998</v>
      </c>
      <c r="Z103" t="str">
        <f>IF(40&lt;=$C$68,IF($C$68&lt;45,$C$68,""),"")</f>
        <v/>
      </c>
      <c r="AA103" s="66">
        <f>IF(Z103="",0,(AA102*(Z104-Z103)+AA104*(Z103-Z102))/5)</f>
        <v>0</v>
      </c>
      <c r="AB103" s="66">
        <f>IF(Z103="",0,(AB102*(Z104-Z103)+AB104*(Z103-Z102))/5)</f>
        <v>0</v>
      </c>
      <c r="AD103" s="8"/>
      <c r="AE103" s="8"/>
      <c r="AF103" s="8"/>
      <c r="AG103" s="8"/>
    </row>
    <row r="104" spans="1:33" ht="15" thickBot="1" x14ac:dyDescent="0.35">
      <c r="A104" s="73"/>
      <c r="B104" s="73"/>
      <c r="D104" s="73"/>
      <c r="E104" s="73"/>
      <c r="F104" s="73"/>
      <c r="G104" s="73"/>
      <c r="H104" s="73"/>
      <c r="J104" t="str">
        <f>IF(10&lt;=$C$68,IF($C$68&lt;15,$C$68,""),"")</f>
        <v/>
      </c>
      <c r="K104" s="85">
        <f>IF(J104="",0,(K103*(J105-J104)+K105*(J104-J103))/5)</f>
        <v>0</v>
      </c>
      <c r="L104" s="85">
        <f>IF(J104="",0,(L103*(J105-J104)+L105*(J104-J103))/5)</f>
        <v>0</v>
      </c>
      <c r="M104" s="85">
        <f>IF(J104="",0,(M103*(J105-J104)+M105*(J104-J103))/5)</f>
        <v>0</v>
      </c>
      <c r="N104" s="85">
        <f>IF(J104="",0,(N103*(J105-J104)+N105*(J104-J103))/5)</f>
        <v>0</v>
      </c>
      <c r="Z104" s="60">
        <v>45</v>
      </c>
      <c r="AA104" s="61">
        <v>0.54630000000000001</v>
      </c>
      <c r="AB104" s="61">
        <v>1.1517999999999999</v>
      </c>
      <c r="AD104" s="8"/>
      <c r="AE104" s="8"/>
      <c r="AF104" s="8"/>
      <c r="AG104" s="8"/>
    </row>
    <row r="105" spans="1:33" ht="15" thickBot="1" x14ac:dyDescent="0.35">
      <c r="A105" s="73"/>
      <c r="B105" s="73"/>
      <c r="D105" s="73"/>
      <c r="E105" s="73"/>
      <c r="F105" s="73"/>
      <c r="G105" s="73"/>
      <c r="H105" s="73"/>
      <c r="J105" s="51">
        <v>15</v>
      </c>
      <c r="K105" s="87">
        <v>0.26589000000000002</v>
      </c>
      <c r="L105" s="87">
        <v>0.30397000000000002</v>
      </c>
      <c r="M105" s="87">
        <v>0.33750000000000002</v>
      </c>
      <c r="N105" s="87">
        <v>0.4042</v>
      </c>
      <c r="Z105" t="str">
        <f>IF(45&lt;=$C$68,IF($C$68&lt;=50,$C$68,""),"")</f>
        <v/>
      </c>
      <c r="AA105" s="66">
        <f>IF(Z105="",0,(AA104*(Z106-Z105)+AA106*(Z105-Z104))/5)</f>
        <v>0</v>
      </c>
      <c r="AB105" s="66">
        <f>IF(Z105="",0,(AB104*(Z106-Z105)+AB106*(Z105-Z104))/5)</f>
        <v>0</v>
      </c>
      <c r="AD105" s="8"/>
      <c r="AE105" s="8"/>
      <c r="AF105" s="8"/>
      <c r="AG105" s="8"/>
    </row>
    <row r="106" spans="1:33" ht="15" thickBot="1" x14ac:dyDescent="0.35">
      <c r="A106" s="73"/>
      <c r="B106" s="73"/>
      <c r="D106" s="73"/>
      <c r="E106" s="73"/>
      <c r="F106" s="73"/>
      <c r="G106" s="73"/>
      <c r="H106" s="73"/>
      <c r="J106" t="str">
        <f>IF(15&lt;=$C$68,IF($C$68&lt;20,$C$68,""),"")</f>
        <v/>
      </c>
      <c r="K106" s="85">
        <f>IF(J106="",0,(K105*(J107-J106)+K107*(J106-J105))/5)</f>
        <v>0</v>
      </c>
      <c r="L106" s="85">
        <f>IF(J106="",0,(L105*(J107-J106)+L107*(J106-J105))/5)</f>
        <v>0</v>
      </c>
      <c r="M106" s="85">
        <f>IF(J106="",0,(M105*(J107-J106)+M107*(J106-J105))/5)</f>
        <v>0</v>
      </c>
      <c r="N106" s="85">
        <f>IF(J106="",0,(N105*(J107-J106)+N107*(J106-J105))/5)</f>
        <v>0</v>
      </c>
      <c r="Z106" s="60">
        <v>50</v>
      </c>
      <c r="AA106" s="61">
        <v>0.54849999999999999</v>
      </c>
      <c r="AB106" s="61">
        <v>1.1607000000000001</v>
      </c>
      <c r="AD106" s="8"/>
      <c r="AE106" s="8"/>
      <c r="AF106" s="8"/>
      <c r="AG106" s="8"/>
    </row>
    <row r="107" spans="1:33" ht="15" thickBot="1" x14ac:dyDescent="0.35">
      <c r="A107" s="73"/>
      <c r="B107" s="73"/>
      <c r="D107" s="73"/>
      <c r="E107" s="73"/>
      <c r="F107" s="73"/>
      <c r="G107" s="73"/>
      <c r="H107" s="73"/>
      <c r="J107" s="51">
        <v>20</v>
      </c>
      <c r="K107" s="87">
        <v>0.23155999999999999</v>
      </c>
      <c r="L107" s="87">
        <v>0.26473000000000002</v>
      </c>
      <c r="M107" s="87">
        <v>0.29408000000000001</v>
      </c>
      <c r="N107" s="87">
        <v>0.35241</v>
      </c>
      <c r="Z107">
        <f>IF(50&lt;=$C$68,IF($C$68&lt;=55,$C$68,""),"")</f>
        <v>53</v>
      </c>
      <c r="AA107" s="66">
        <f>IF(Z107="",0,(AA106*(Z108-Z107)+AA108*(Z107-Z106))/5)</f>
        <v>0.54963999999999991</v>
      </c>
      <c r="AB107" s="66">
        <f>IF(Z107="",0,(AB106*(Z108-Z107)+AB108*(Z107-Z106))/5)</f>
        <v>1.1652</v>
      </c>
      <c r="AD107" s="8"/>
      <c r="AE107" s="8"/>
      <c r="AF107" s="8"/>
      <c r="AG107" s="8"/>
    </row>
    <row r="108" spans="1:33" ht="15" thickBot="1" x14ac:dyDescent="0.35">
      <c r="A108" s="73"/>
      <c r="B108" s="73"/>
      <c r="D108" s="73"/>
      <c r="E108" s="73"/>
      <c r="F108" s="73"/>
      <c r="G108" s="73"/>
      <c r="H108" s="73"/>
      <c r="J108" t="str">
        <f>IF(20&lt;=$C$68,IF($C$68&lt;25,$C$68,""),"")</f>
        <v/>
      </c>
      <c r="K108" s="85">
        <f>IF(J108="",0,(K107*(J109-J108)+K109*(J108-J107))/5)</f>
        <v>0</v>
      </c>
      <c r="L108" s="85">
        <f>IF(J108="",0,(L107*(J109-J108)+L109*(J108-J107))/5)</f>
        <v>0</v>
      </c>
      <c r="M108" s="85">
        <f>IF(J108="",0,(M107*(J109-J108)+M109*(J108-J107))/5)</f>
        <v>0</v>
      </c>
      <c r="N108" s="85">
        <f>IF(J108="",0,(N107*(J109-J108)+N109*(J108-J107))/5)</f>
        <v>0</v>
      </c>
      <c r="Z108" s="60">
        <v>55</v>
      </c>
      <c r="AA108" s="61">
        <v>0.5504</v>
      </c>
      <c r="AB108" s="61">
        <v>1.1681999999999999</v>
      </c>
      <c r="AD108" s="8"/>
      <c r="AE108" s="8"/>
      <c r="AF108" s="8"/>
      <c r="AG108" s="8"/>
    </row>
    <row r="109" spans="1:33" ht="15" thickBot="1" x14ac:dyDescent="0.35">
      <c r="A109" s="73"/>
      <c r="B109" s="73"/>
      <c r="D109" s="73"/>
      <c r="E109" s="73"/>
      <c r="F109" s="73"/>
      <c r="G109" s="73"/>
      <c r="H109" s="73"/>
      <c r="J109" s="51">
        <v>25</v>
      </c>
      <c r="K109" s="87">
        <v>0.2079</v>
      </c>
      <c r="L109" s="87">
        <v>0.23768</v>
      </c>
      <c r="M109" s="87">
        <v>0.26404</v>
      </c>
      <c r="N109" s="87">
        <v>0.31657000000000002</v>
      </c>
      <c r="Z109" t="str">
        <f>IF(55&lt;=$C$68,IF($C$68&lt;=60,$C$68,""),"")</f>
        <v/>
      </c>
      <c r="AA109" s="66">
        <f>IF(Z109="",0,(AA108*(Z110-Z109)+AA110*(Z109-Z108))/5)</f>
        <v>0</v>
      </c>
      <c r="AB109" s="66">
        <f>IF(Z109="",0,(AB108*(Z110-Z109)+AB110*(Z109-Z108))/5)</f>
        <v>0</v>
      </c>
      <c r="AD109" s="8"/>
      <c r="AE109" s="8"/>
      <c r="AF109" s="8"/>
      <c r="AG109" s="8"/>
    </row>
    <row r="110" spans="1:33" ht="15" thickBot="1" x14ac:dyDescent="0.35">
      <c r="A110" s="73"/>
      <c r="B110" s="73"/>
      <c r="D110" s="73"/>
      <c r="E110" s="73"/>
      <c r="F110" s="73"/>
      <c r="G110" s="73"/>
      <c r="H110" s="73"/>
      <c r="J110" t="str">
        <f>IF(25&lt;=$C$68,IF($C$68&lt;30,$C$68,""),"")</f>
        <v/>
      </c>
      <c r="K110" s="85">
        <f>IF(J110="",0,(K109*(J111-J110)+K111*(J110-J109))/5)</f>
        <v>0</v>
      </c>
      <c r="L110" s="85">
        <f>IF(J110="",0,(L109*(J111-J110)+L111*(J110-J109))/5)</f>
        <v>0</v>
      </c>
      <c r="M110" s="85">
        <f>IF(J110="",0,(M109*(J111-J110)+M111*(J110-J109))/5)</f>
        <v>0</v>
      </c>
      <c r="N110" s="85">
        <f>IF(J110="",0,(N109*(J111-J110)+N111*(J110-J109))/5)</f>
        <v>0</v>
      </c>
      <c r="Z110" s="60">
        <v>60</v>
      </c>
      <c r="AA110" s="61">
        <v>0.55210000000000004</v>
      </c>
      <c r="AB110" s="61">
        <v>1.1747000000000001</v>
      </c>
      <c r="AD110" s="8"/>
      <c r="AE110" s="8"/>
      <c r="AF110" s="8"/>
      <c r="AG110" s="8"/>
    </row>
    <row r="111" spans="1:33" ht="15" thickBot="1" x14ac:dyDescent="0.35">
      <c r="A111" s="73"/>
      <c r="B111" s="73"/>
      <c r="D111" s="73"/>
      <c r="E111" s="73"/>
      <c r="F111" s="73"/>
      <c r="G111" s="73"/>
      <c r="H111" s="73"/>
      <c r="J111" s="51">
        <v>30</v>
      </c>
      <c r="K111" s="87">
        <v>0.19031999999999999</v>
      </c>
      <c r="L111" s="87">
        <v>0.21756</v>
      </c>
      <c r="M111" s="87">
        <v>0.2417</v>
      </c>
      <c r="N111" s="87">
        <v>0.28986000000000001</v>
      </c>
    </row>
    <row r="112" spans="1:33" ht="15" thickBot="1" x14ac:dyDescent="0.35">
      <c r="A112" s="73"/>
      <c r="B112" s="73"/>
      <c r="D112" s="73"/>
      <c r="E112" s="73"/>
      <c r="F112" s="73"/>
      <c r="G112" s="73"/>
      <c r="H112" s="73"/>
      <c r="J112" t="str">
        <f>IF(30&lt;=$C$68,IF($C$68&lt;35,$C$68,""),"")</f>
        <v/>
      </c>
      <c r="K112" s="85">
        <f>IF(J112="",0,(K111*(J113-J112)+K113*(J112-J111))/5)</f>
        <v>0</v>
      </c>
      <c r="L112" s="85">
        <f>IF(J112="",0,(L111*(J113-J112)+L113*(J112-J111))/5)</f>
        <v>0</v>
      </c>
      <c r="M112" s="85">
        <f>IF(J112="",0,(M111*(J113-J112)+M113*(J112-J111))/5)</f>
        <v>0</v>
      </c>
      <c r="N112" s="85">
        <f>IF(J112="",0,(N111*(J113-J112)+N113*(J112-J111))/5)</f>
        <v>0</v>
      </c>
      <c r="AA112" s="67">
        <f>AA91+AA93+AA95+AA97+AA99+AA101+AA103+AA105+AA107+AA109</f>
        <v>0.54963999999999991</v>
      </c>
      <c r="AB112" s="67">
        <f>AB91+AB93+AB95+AB97+AB99+AB101+AB103+AB105+AB107+AB109</f>
        <v>1.1652</v>
      </c>
    </row>
    <row r="113" spans="1:33" ht="15" thickBot="1" x14ac:dyDescent="0.35">
      <c r="A113" s="73"/>
      <c r="B113" s="73"/>
      <c r="D113" s="73"/>
      <c r="E113" s="73"/>
      <c r="F113" s="73"/>
      <c r="G113" s="73"/>
      <c r="H113" s="73"/>
      <c r="J113" s="51">
        <v>35</v>
      </c>
      <c r="K113" s="87">
        <v>0.17659</v>
      </c>
      <c r="L113" s="87">
        <v>0.20185</v>
      </c>
      <c r="M113" s="87">
        <v>0.22425</v>
      </c>
      <c r="N113" s="87">
        <v>0.26896999999999999</v>
      </c>
    </row>
    <row r="114" spans="1:33" ht="15" thickBot="1" x14ac:dyDescent="0.35">
      <c r="A114" s="73"/>
      <c r="B114" s="73"/>
      <c r="D114" s="73"/>
      <c r="E114" s="73"/>
      <c r="F114" s="73"/>
      <c r="G114" s="73"/>
      <c r="H114" s="73"/>
      <c r="J114" t="str">
        <f>IF(35&lt;=$C$68,IF($C$68&lt;40,$C$68,""),"")</f>
        <v/>
      </c>
      <c r="K114" s="85">
        <f>IF(J114="",0,(K113*(J115-J114)+K115*(J114-J113))/5)</f>
        <v>0</v>
      </c>
      <c r="L114" s="85">
        <f>IF(J114="",0,(L113*(J115-J114)+L115*(J114-J113))/5)</f>
        <v>0</v>
      </c>
      <c r="M114" s="85">
        <f>IF(J114="",0,(M113*(J115-J114)+M115*(J114-J113))/5)</f>
        <v>0</v>
      </c>
      <c r="N114" s="85">
        <f>IF(J114="",0,(N113*(J115-J114)+N115*(J114-J113))/5)</f>
        <v>0</v>
      </c>
    </row>
    <row r="115" spans="1:33" ht="15" thickBot="1" x14ac:dyDescent="0.35">
      <c r="A115" s="73"/>
      <c r="B115" s="73"/>
      <c r="D115" s="73"/>
      <c r="E115" s="73"/>
      <c r="F115" s="73"/>
      <c r="G115" s="73"/>
      <c r="H115" s="73"/>
      <c r="J115" s="51">
        <v>40</v>
      </c>
      <c r="K115" s="87">
        <v>0.16547000000000001</v>
      </c>
      <c r="L115" s="87">
        <v>0.18912999999999999</v>
      </c>
      <c r="M115" s="87">
        <v>0.21012</v>
      </c>
      <c r="N115" s="87">
        <v>0.25205</v>
      </c>
      <c r="AE115" t="s">
        <v>61</v>
      </c>
    </row>
    <row r="116" spans="1:33" ht="15" thickBot="1" x14ac:dyDescent="0.35">
      <c r="A116" s="73"/>
      <c r="B116" s="73"/>
      <c r="D116" s="73"/>
      <c r="E116" s="73"/>
      <c r="F116" s="73"/>
      <c r="G116" s="73"/>
      <c r="H116" s="73"/>
      <c r="J116" t="str">
        <f>IF(40&lt;=$C$68,IF($C$68&lt;45,$C$68,""),"")</f>
        <v/>
      </c>
      <c r="K116" s="85">
        <f>IF(J116="",0,(K115*(J117-J116)+K117*(J116-J115))/5)</f>
        <v>0</v>
      </c>
      <c r="L116" s="85">
        <f>IF(J116="",0,(L115*(J117-J116)+L117*(J116-J115))/5)</f>
        <v>0</v>
      </c>
      <c r="M116" s="85">
        <f>IF(J116="",0,(M115*(J117-J116)+M117*(J116-J115))/5)</f>
        <v>0</v>
      </c>
      <c r="N116" s="85">
        <f>IF(J116="",0,(N115*(J117-J116)+N117*(J116-J115))/5)</f>
        <v>0</v>
      </c>
      <c r="AE116" s="79" t="s">
        <v>63</v>
      </c>
    </row>
    <row r="117" spans="1:33" ht="15" thickBot="1" x14ac:dyDescent="0.35">
      <c r="A117" s="73"/>
      <c r="B117" s="73"/>
      <c r="D117" s="73"/>
      <c r="E117" s="73"/>
      <c r="F117" s="73"/>
      <c r="G117" s="73"/>
      <c r="H117" s="73"/>
      <c r="J117" s="51">
        <v>45</v>
      </c>
      <c r="K117" s="87">
        <v>0.15623000000000001</v>
      </c>
      <c r="L117" s="87">
        <v>0.17856</v>
      </c>
      <c r="M117" s="87">
        <v>0.19836999999999999</v>
      </c>
      <c r="N117" s="87">
        <v>0.23798</v>
      </c>
      <c r="AE117" t="s">
        <v>62</v>
      </c>
    </row>
    <row r="118" spans="1:33" ht="15" thickBot="1" x14ac:dyDescent="0.35">
      <c r="A118" s="73"/>
      <c r="B118" s="73"/>
      <c r="D118" s="73"/>
      <c r="E118" s="73"/>
      <c r="F118" s="73"/>
      <c r="G118" s="73"/>
      <c r="H118" s="73"/>
      <c r="J118" t="str">
        <f>IF(45&lt;=$C$68,IF($C$68&lt;50,$C$68,""),"")</f>
        <v/>
      </c>
      <c r="K118" s="85">
        <f>IF(J118="",0,(K117*(J119-J118)+K119*(J118-J117))/5)</f>
        <v>0</v>
      </c>
      <c r="L118" s="85">
        <f>IF(J118="",0,(L117*(J119-J118)+L119*(J118-J117))/5)</f>
        <v>0</v>
      </c>
      <c r="M118" s="85">
        <f>IF(J118="",0,(M117*(J119-J118)+M119*(J118-J117))/5)</f>
        <v>0</v>
      </c>
      <c r="N118" s="85">
        <f>IF(J118="",0,(N117*(J119-J118)+N119*(J118-J117))/5)</f>
        <v>0</v>
      </c>
      <c r="AF118" s="8"/>
      <c r="AG118" s="8"/>
    </row>
    <row r="119" spans="1:33" ht="15" thickBot="1" x14ac:dyDescent="0.35">
      <c r="A119" s="73"/>
      <c r="B119" s="73"/>
      <c r="D119" s="73"/>
      <c r="E119" s="73"/>
      <c r="F119" s="73"/>
      <c r="G119" s="73"/>
      <c r="H119" s="73"/>
      <c r="J119" s="51">
        <v>50</v>
      </c>
      <c r="K119" s="87">
        <v>0.1484</v>
      </c>
      <c r="L119" s="87">
        <v>0.16958999999999999</v>
      </c>
      <c r="M119" s="87">
        <v>0.18840999999999999</v>
      </c>
      <c r="N119" s="87">
        <v>0.22603999999999999</v>
      </c>
    </row>
    <row r="120" spans="1:33" ht="15" thickBot="1" x14ac:dyDescent="0.35">
      <c r="A120" s="73"/>
      <c r="B120" s="73"/>
      <c r="D120" s="73"/>
      <c r="E120" s="73"/>
      <c r="F120" s="73"/>
      <c r="G120" s="73"/>
      <c r="H120" s="73"/>
      <c r="J120" t="str">
        <f>IF(C68=50,C68,"")</f>
        <v/>
      </c>
      <c r="K120" s="85">
        <f>IF(J120="",0,K119)</f>
        <v>0</v>
      </c>
      <c r="L120" s="85">
        <f>IF(J120="",0,L119)</f>
        <v>0</v>
      </c>
      <c r="M120" s="85">
        <f>IF(J120="",0,M119)</f>
        <v>0</v>
      </c>
      <c r="N120" s="85">
        <f>IF(J120="",0,N119)</f>
        <v>0</v>
      </c>
      <c r="T120" s="9"/>
      <c r="U120" s="10"/>
      <c r="V120" s="10"/>
      <c r="W120" s="10"/>
      <c r="X120" s="10"/>
      <c r="Y120" s="7"/>
      <c r="Z120" s="10"/>
      <c r="AA120" s="10"/>
      <c r="AB120" s="10"/>
      <c r="AE120" t="s">
        <v>75</v>
      </c>
    </row>
    <row r="121" spans="1:33" ht="15" thickBot="1" x14ac:dyDescent="0.35">
      <c r="A121" s="73"/>
      <c r="B121" s="73"/>
      <c r="D121" s="73"/>
      <c r="E121" s="73"/>
      <c r="F121" s="73"/>
      <c r="G121" s="73"/>
      <c r="H121" s="73"/>
      <c r="J121" s="51">
        <f>IF(C68&gt;50,C68,"")</f>
        <v>53</v>
      </c>
      <c r="K121" s="92">
        <f>IF(J121="",0,1.07/SQRT(C68))</f>
        <v>0.14697580342509728</v>
      </c>
      <c r="L121" s="92">
        <f>IF(J121="",0,1.22/SQRT(C68))</f>
        <v>0.16757988801740062</v>
      </c>
      <c r="M121" s="92">
        <f>IF(J121="",0,1.36/SQRT(C68))</f>
        <v>0.18681036697021708</v>
      </c>
      <c r="N121" s="92">
        <f>IF(J121="",0,1.63/SQRT(C68))</f>
        <v>0.22389771923636309</v>
      </c>
      <c r="T121" s="9"/>
      <c r="U121" s="10"/>
      <c r="V121" s="10"/>
      <c r="W121" s="10"/>
      <c r="X121" s="10"/>
      <c r="Y121" s="10"/>
      <c r="Z121" s="10"/>
      <c r="AA121" s="10"/>
      <c r="AB121" s="10"/>
    </row>
    <row r="122" spans="1:33" x14ac:dyDescent="0.3">
      <c r="A122" s="73"/>
      <c r="B122" s="73"/>
      <c r="D122" s="73"/>
      <c r="E122" s="73"/>
      <c r="F122" s="73"/>
      <c r="G122" s="73"/>
      <c r="H122" s="73"/>
      <c r="T122" s="9"/>
      <c r="U122" s="10"/>
      <c r="V122" s="10"/>
      <c r="W122" s="10"/>
      <c r="X122" s="10"/>
      <c r="Y122" s="10"/>
      <c r="Z122" s="10"/>
      <c r="AA122" s="10"/>
      <c r="AB122" s="11"/>
    </row>
    <row r="123" spans="1:33" x14ac:dyDescent="0.3">
      <c r="A123" s="73"/>
      <c r="B123" s="73"/>
      <c r="D123" s="73"/>
      <c r="E123" s="73"/>
      <c r="F123" s="73"/>
      <c r="G123" s="73"/>
      <c r="H123" s="73"/>
      <c r="K123" s="86">
        <f>K102+K104+K106+K108+K110+K112+K114+K116+K118+K120+K121</f>
        <v>0.14697580342509728</v>
      </c>
      <c r="L123" s="86">
        <f>L102+L104+L106+L108+L110+L112+L114+L116+L118+L120+L121</f>
        <v>0.16757988801740062</v>
      </c>
      <c r="M123" s="86">
        <f>M102+M104+M106+M108+M110+M112+M114+M116+M118+M120+M121</f>
        <v>0.18681036697021708</v>
      </c>
      <c r="N123" s="86">
        <f>N102+N104+N106+N108+N110+N112+N114+N116+N118+N120+N121</f>
        <v>0.22389771923636309</v>
      </c>
      <c r="T123" s="9"/>
      <c r="U123" s="10"/>
      <c r="V123" s="10"/>
      <c r="W123" s="10"/>
      <c r="X123" s="10"/>
      <c r="Y123" s="10"/>
      <c r="Z123" s="10"/>
      <c r="AA123" s="10"/>
      <c r="AB123" s="10"/>
    </row>
    <row r="124" spans="1:33" x14ac:dyDescent="0.3">
      <c r="A124" s="73"/>
      <c r="B124" s="73"/>
      <c r="D124" s="73"/>
      <c r="E124" s="73"/>
      <c r="F124" s="73"/>
      <c r="G124" s="73"/>
      <c r="H124" s="73"/>
      <c r="T124" s="9"/>
      <c r="U124" s="10"/>
      <c r="V124" s="10"/>
      <c r="W124" s="10"/>
      <c r="X124" s="10"/>
      <c r="Y124" s="10"/>
      <c r="Z124" s="10"/>
      <c r="AA124" s="10"/>
      <c r="AB124" s="10"/>
    </row>
    <row r="125" spans="1:33" x14ac:dyDescent="0.3">
      <c r="A125" s="73"/>
      <c r="B125" s="73"/>
      <c r="D125" s="73"/>
      <c r="E125" s="73"/>
      <c r="F125" s="73"/>
      <c r="G125" s="73"/>
      <c r="H125" s="73"/>
      <c r="T125" s="9"/>
      <c r="U125" s="10"/>
      <c r="V125" s="10"/>
      <c r="W125" s="10"/>
      <c r="X125" s="10"/>
      <c r="Y125" s="7"/>
      <c r="Z125" s="10"/>
      <c r="AA125" s="10"/>
      <c r="AB125" s="10"/>
    </row>
    <row r="126" spans="1:33" x14ac:dyDescent="0.3">
      <c r="A126" s="73"/>
      <c r="B126" s="73"/>
      <c r="D126" s="73"/>
      <c r="E126" s="73"/>
      <c r="F126" s="73"/>
      <c r="G126" s="73"/>
      <c r="H126" s="73"/>
      <c r="T126" s="9"/>
      <c r="U126" s="10"/>
      <c r="V126" s="10"/>
      <c r="W126" s="10"/>
      <c r="X126" s="10"/>
      <c r="Y126" s="10"/>
      <c r="Z126" s="10"/>
      <c r="AA126" s="10"/>
      <c r="AB126" s="10"/>
    </row>
    <row r="127" spans="1:33" x14ac:dyDescent="0.3">
      <c r="A127" s="73"/>
      <c r="B127" s="73"/>
      <c r="D127" s="73"/>
      <c r="E127" s="73"/>
      <c r="F127" s="73"/>
      <c r="G127" s="73"/>
      <c r="H127" s="73"/>
      <c r="T127" s="9"/>
      <c r="U127" s="10"/>
      <c r="V127" s="10"/>
      <c r="W127" s="10"/>
      <c r="X127" s="10"/>
      <c r="Y127" s="10"/>
      <c r="Z127" s="10"/>
      <c r="AA127" s="10"/>
      <c r="AB127" s="10"/>
    </row>
    <row r="128" spans="1:33" x14ac:dyDescent="0.3">
      <c r="A128" s="73"/>
      <c r="B128" s="73"/>
      <c r="D128" s="73"/>
      <c r="E128" s="73"/>
      <c r="F128" s="73"/>
      <c r="G128" s="73"/>
      <c r="H128" s="73"/>
      <c r="T128" s="9"/>
      <c r="U128" s="10"/>
      <c r="V128" s="10"/>
      <c r="W128" s="10"/>
      <c r="X128" s="10"/>
      <c r="Y128" s="10"/>
      <c r="Z128" s="10"/>
      <c r="AA128" s="10"/>
      <c r="AB128" s="10"/>
    </row>
    <row r="129" spans="1:28" x14ac:dyDescent="0.3">
      <c r="A129" s="73"/>
      <c r="B129" s="73"/>
      <c r="D129" s="73"/>
      <c r="E129" s="73"/>
      <c r="F129" s="73"/>
      <c r="G129" s="73"/>
      <c r="H129" s="73"/>
      <c r="T129" s="9"/>
      <c r="U129" s="10"/>
      <c r="V129" s="10"/>
      <c r="W129" s="10"/>
      <c r="X129" s="11"/>
      <c r="Y129" s="10"/>
      <c r="Z129" s="10"/>
      <c r="AA129" s="10"/>
      <c r="AB129" s="10"/>
    </row>
    <row r="130" spans="1:28" x14ac:dyDescent="0.3">
      <c r="A130" s="73"/>
      <c r="B130" s="73"/>
      <c r="D130" s="73"/>
      <c r="E130" s="73"/>
      <c r="F130" s="73"/>
      <c r="G130" s="73"/>
      <c r="H130" s="73"/>
      <c r="T130" s="9"/>
      <c r="U130" s="10"/>
      <c r="V130" s="10"/>
      <c r="W130" s="10"/>
      <c r="X130" s="10"/>
      <c r="Y130" s="10"/>
      <c r="Z130" s="10"/>
      <c r="AA130" s="10"/>
      <c r="AB130" s="10"/>
    </row>
    <row r="131" spans="1:28" x14ac:dyDescent="0.3">
      <c r="A131" s="73"/>
      <c r="B131" s="73"/>
      <c r="D131" s="73"/>
      <c r="E131" s="73"/>
      <c r="F131" s="73"/>
      <c r="G131" s="73"/>
      <c r="H131" s="73"/>
      <c r="T131" s="9"/>
      <c r="U131" s="10"/>
      <c r="V131" s="10"/>
      <c r="W131" s="10"/>
      <c r="X131" s="10"/>
      <c r="Y131" s="10"/>
      <c r="Z131" s="10"/>
      <c r="AA131" s="10"/>
      <c r="AB131" s="10"/>
    </row>
    <row r="132" spans="1:28" x14ac:dyDescent="0.3">
      <c r="A132" s="73"/>
      <c r="B132" s="73"/>
      <c r="D132" s="73"/>
      <c r="E132" s="73"/>
      <c r="F132" s="73"/>
      <c r="G132" s="73"/>
      <c r="H132" s="73"/>
      <c r="T132" s="9"/>
      <c r="U132" s="10"/>
      <c r="V132" s="10"/>
      <c r="W132" s="10"/>
      <c r="X132" s="10"/>
      <c r="Y132" s="7"/>
      <c r="Z132" s="10"/>
      <c r="AA132" s="10"/>
      <c r="AB132" s="10"/>
    </row>
    <row r="133" spans="1:28" x14ac:dyDescent="0.3">
      <c r="T133" s="9"/>
      <c r="U133" s="10"/>
      <c r="V133" s="10"/>
      <c r="W133" s="10"/>
      <c r="X133" s="10"/>
      <c r="Y133" s="10"/>
      <c r="Z133" s="10"/>
      <c r="AA133" s="10"/>
      <c r="AB133" s="10"/>
    </row>
    <row r="134" spans="1:28" x14ac:dyDescent="0.3">
      <c r="T134" s="12"/>
      <c r="U134" s="10"/>
      <c r="V134" s="10"/>
      <c r="W134" s="11"/>
      <c r="X134" s="10"/>
      <c r="Y134" s="10"/>
      <c r="Z134" s="10"/>
      <c r="AA134" s="10"/>
      <c r="AB134" s="10"/>
    </row>
    <row r="135" spans="1:28" x14ac:dyDescent="0.3">
      <c r="T135" s="9"/>
      <c r="U135" s="10"/>
      <c r="V135" s="10"/>
      <c r="W135" s="10"/>
      <c r="X135" s="10"/>
      <c r="Y135" s="10"/>
      <c r="Z135" s="10"/>
      <c r="AA135" s="10"/>
      <c r="AB135" s="10"/>
    </row>
    <row r="136" spans="1:28" x14ac:dyDescent="0.3">
      <c r="T136" s="9"/>
      <c r="U136" s="10"/>
      <c r="V136" s="10"/>
      <c r="W136" s="10"/>
      <c r="X136" s="10"/>
      <c r="Y136" s="10"/>
      <c r="Z136" s="10"/>
      <c r="AA136" s="10"/>
      <c r="AB136" s="10"/>
    </row>
    <row r="137" spans="1:28" x14ac:dyDescent="0.3">
      <c r="T137" s="9"/>
      <c r="U137" s="10"/>
      <c r="V137" s="10"/>
      <c r="W137" s="10"/>
      <c r="X137" s="10"/>
      <c r="Y137" s="10"/>
      <c r="Z137" s="10"/>
      <c r="AA137" s="10"/>
      <c r="AB137" s="10"/>
    </row>
    <row r="138" spans="1:28" x14ac:dyDescent="0.3">
      <c r="T138" s="9"/>
      <c r="U138" s="10"/>
      <c r="V138" s="10"/>
      <c r="W138" s="10"/>
      <c r="X138" s="10"/>
      <c r="Y138" s="10"/>
      <c r="Z138" s="10"/>
      <c r="AA138" s="10"/>
      <c r="AB138" s="10"/>
    </row>
    <row r="139" spans="1:28" x14ac:dyDescent="0.3">
      <c r="T139" s="9"/>
      <c r="U139" s="10"/>
      <c r="V139" s="10"/>
      <c r="W139" s="10"/>
      <c r="X139" s="10"/>
      <c r="Y139" s="10"/>
      <c r="Z139" s="10"/>
      <c r="AA139" s="10"/>
      <c r="AB139" s="10"/>
    </row>
    <row r="140" spans="1:28" x14ac:dyDescent="0.3">
      <c r="T140" s="9"/>
      <c r="U140" s="10"/>
      <c r="V140" s="10"/>
      <c r="W140" s="10"/>
      <c r="X140" s="10"/>
      <c r="Y140" s="10"/>
      <c r="Z140" s="10"/>
      <c r="AA140" s="10"/>
      <c r="AB140" s="10"/>
    </row>
    <row r="141" spans="1:28" x14ac:dyDescent="0.3">
      <c r="T141" s="9"/>
      <c r="U141" s="10"/>
      <c r="V141" s="10"/>
      <c r="W141" s="10"/>
      <c r="X141" s="10"/>
      <c r="Y141" s="10"/>
      <c r="Z141" s="10"/>
      <c r="AA141" s="10"/>
      <c r="AB141" s="10"/>
    </row>
    <row r="142" spans="1:28" x14ac:dyDescent="0.3">
      <c r="T142" s="9"/>
      <c r="U142" s="10"/>
      <c r="V142" s="10"/>
      <c r="W142" s="10"/>
      <c r="X142" s="10"/>
      <c r="Y142" s="10"/>
      <c r="Z142" s="10"/>
      <c r="AA142" s="10"/>
      <c r="AB142" s="10"/>
    </row>
    <row r="143" spans="1:28" x14ac:dyDescent="0.3">
      <c r="T143" s="9"/>
      <c r="U143" s="10"/>
      <c r="V143" s="10"/>
      <c r="W143" s="10"/>
      <c r="X143" s="10"/>
      <c r="Y143" s="10"/>
      <c r="Z143" s="10"/>
      <c r="AA143" s="10"/>
      <c r="AB143" s="10"/>
    </row>
    <row r="144" spans="1:28" x14ac:dyDescent="0.3">
      <c r="T144" s="9"/>
      <c r="U144" s="10"/>
      <c r="V144" s="10"/>
      <c r="W144" s="10"/>
      <c r="X144" s="10"/>
      <c r="Y144" s="10"/>
      <c r="Z144" s="10"/>
      <c r="AA144" s="10"/>
      <c r="AB144" s="10"/>
    </row>
    <row r="145" spans="20:28" x14ac:dyDescent="0.3">
      <c r="T145" s="9"/>
      <c r="U145" s="10"/>
      <c r="V145" s="10"/>
      <c r="W145" s="10"/>
      <c r="X145" s="10"/>
      <c r="Y145" s="10"/>
      <c r="Z145" s="10"/>
      <c r="AA145" s="10"/>
      <c r="AB145" s="10"/>
    </row>
    <row r="146" spans="20:28" x14ac:dyDescent="0.3">
      <c r="T146" s="9"/>
      <c r="U146" s="10"/>
      <c r="V146" s="10"/>
      <c r="W146" s="10"/>
      <c r="X146" s="10"/>
      <c r="Y146" s="10"/>
      <c r="Z146" s="10"/>
      <c r="AA146" s="10"/>
      <c r="AB146" s="10"/>
    </row>
    <row r="147" spans="20:28" x14ac:dyDescent="0.3">
      <c r="T147" s="9"/>
      <c r="U147" s="10"/>
      <c r="V147" s="10"/>
      <c r="W147" s="10"/>
      <c r="X147" s="10"/>
      <c r="Y147" s="10"/>
      <c r="Z147" s="10"/>
      <c r="AA147" s="10"/>
      <c r="AB147" s="10"/>
    </row>
    <row r="148" spans="20:28" x14ac:dyDescent="0.3">
      <c r="T148" s="9"/>
      <c r="U148" s="10"/>
      <c r="V148" s="10"/>
      <c r="W148" s="10"/>
      <c r="X148" s="10"/>
      <c r="Y148" s="10"/>
      <c r="Z148" s="10"/>
      <c r="AA148" s="10"/>
      <c r="AB148" s="10"/>
    </row>
    <row r="149" spans="20:28" x14ac:dyDescent="0.3">
      <c r="T149" s="13"/>
      <c r="U149" s="10"/>
      <c r="V149" s="10"/>
      <c r="W149" s="10"/>
      <c r="X149" s="10"/>
      <c r="Y149" s="10"/>
      <c r="Z149" s="10"/>
      <c r="AA149" s="10"/>
      <c r="AB149" s="11"/>
    </row>
  </sheetData>
  <sortState xmlns:xlrd2="http://schemas.microsoft.com/office/spreadsheetml/2017/richdata2" ref="C80:C131">
    <sortCondition descending="1" ref="C80"/>
  </sortState>
  <mergeCells count="61">
    <mergeCell ref="O3:P3"/>
    <mergeCell ref="W3:X3"/>
    <mergeCell ref="AE3:AF3"/>
    <mergeCell ref="AM3:AN3"/>
    <mergeCell ref="AU3:AV3"/>
    <mergeCell ref="AH80:AM80"/>
    <mergeCell ref="AZ35:BA35"/>
    <mergeCell ref="K99:N99"/>
    <mergeCell ref="J99:J100"/>
    <mergeCell ref="J76:O77"/>
    <mergeCell ref="R76:W77"/>
    <mergeCell ref="Z76:AE77"/>
    <mergeCell ref="Z80:AE80"/>
    <mergeCell ref="AH76:AM77"/>
    <mergeCell ref="AP76:AU77"/>
    <mergeCell ref="AW1:BD1"/>
    <mergeCell ref="T5:T6"/>
    <mergeCell ref="U5:U6"/>
    <mergeCell ref="V5:V6"/>
    <mergeCell ref="W5:W6"/>
    <mergeCell ref="AD5:AD6"/>
    <mergeCell ref="AK5:AK6"/>
    <mergeCell ref="AL5:AL6"/>
    <mergeCell ref="AM5:AM6"/>
    <mergeCell ref="Q1:X1"/>
    <mergeCell ref="Y1:AF1"/>
    <mergeCell ref="AG1:AN1"/>
    <mergeCell ref="AO1:AV1"/>
    <mergeCell ref="R5:R6"/>
    <mergeCell ref="S5:S6"/>
    <mergeCell ref="F5:F6"/>
    <mergeCell ref="G5:G6"/>
    <mergeCell ref="M5:M6"/>
    <mergeCell ref="N5:N6"/>
    <mergeCell ref="O5:O6"/>
    <mergeCell ref="A1:H1"/>
    <mergeCell ref="I1:P1"/>
    <mergeCell ref="AH5:AH6"/>
    <mergeCell ref="AI5:AI6"/>
    <mergeCell ref="AJ5:AJ6"/>
    <mergeCell ref="Z5:Z6"/>
    <mergeCell ref="AA5:AA6"/>
    <mergeCell ref="AB5:AB6"/>
    <mergeCell ref="AC5:AC6"/>
    <mergeCell ref="J5:J6"/>
    <mergeCell ref="K5:K6"/>
    <mergeCell ref="L5:L6"/>
    <mergeCell ref="B5:B6"/>
    <mergeCell ref="C5:C6"/>
    <mergeCell ref="E5:E6"/>
    <mergeCell ref="G3:H3"/>
    <mergeCell ref="AZ26:BA26"/>
    <mergeCell ref="BC35:BD35"/>
    <mergeCell ref="AY12:AY13"/>
    <mergeCell ref="AZ12:BC12"/>
    <mergeCell ref="AP5:AP6"/>
    <mergeCell ref="AQ5:AQ6"/>
    <mergeCell ref="AR5:AR6"/>
    <mergeCell ref="AS5:AS6"/>
    <mergeCell ref="AT5:AT6"/>
    <mergeCell ref="AU5:AU6"/>
  </mergeCells>
  <dataValidations count="2">
    <dataValidation type="list" allowBlank="1" showInputMessage="1" showErrorMessage="1" sqref="N73" xr:uid="{00000000-0002-0000-0300-000000000000}">
      <formula1>$P$85:$P$88</formula1>
    </dataValidation>
    <dataValidation type="list" allowBlank="1" showInputMessage="1" showErrorMessage="1" sqref="BC35" xr:uid="{00000000-0002-0000-0300-000001000000}">
      <formula1>$AY$14:$AY$18</formula1>
    </dataValidation>
  </dataValidations>
  <printOptions horizontalCentered="1"/>
  <pageMargins left="0.78740157480314965" right="0.39370078740157483" top="0.86614173228346458" bottom="0.86614173228346458" header="0.31496062992125984" footer="0.31496062992125984"/>
  <pageSetup paperSize="9" scale="71" orientation="portrait" r:id="rId1"/>
  <headerFooter scaleWithDoc="0">
    <oddHeader xml:space="preserve">&amp;R&amp;"Arial Narrow,Negrita"&amp;9Ing. Aquiles Berrocal Rodríguez&amp;"Arial Narrow,Normal"
Ing. Civil – CIP: 196696
Especialista Hidrología, Hidráulica y Drenaje </oddHeader>
    <oddFooter>&amp;L&amp;"Arial Narrow,Normal"&amp;9Rev.:B - Agosto 2018
Proyecto: Actualización Hidrológica para el Estudio de Pre-Factibilidad de
la Presa de Relaves Pukaqaqa, U.M. Pukaqaqa, Milpo - Huancavelica&amp;R&amp;"Arial Narrow,Negrita"&amp;9ANEXO A: HIDROLOGIA</oddFooter>
  </headerFooter>
  <colBreaks count="7" manualBreakCount="7">
    <brk id="8" max="68" man="1"/>
    <brk id="16" max="68" man="1"/>
    <brk id="24" max="68" man="1"/>
    <brk id="32" max="68" man="1"/>
    <brk id="40" max="68" man="1"/>
    <brk id="48" max="68" man="1"/>
    <brk id="56" max="57" man="1"/>
  </colBreaks>
  <ignoredErrors>
    <ignoredError sqref="BB17 AQ7:AQ44 AI7:AI44 AA7:AA44 S7:S44 K7:K44 K45:K66 S45:S66 AA45:AA66 AI45:AI66 AQ45:AQ6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PreparaImpresion1">
                <anchor moveWithCells="1" sizeWithCells="1">
                  <from>
                    <xdr:col>5</xdr:col>
                    <xdr:colOff>822960</xdr:colOff>
                    <xdr:row>77</xdr:row>
                    <xdr:rowOff>137160</xdr:rowOff>
                  </from>
                  <to>
                    <xdr:col>7</xdr:col>
                    <xdr:colOff>251460</xdr:colOff>
                    <xdr:row>80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RestauraColores1">
                <anchor moveWithCells="1" sizeWithCells="1">
                  <from>
                    <xdr:col>5</xdr:col>
                    <xdr:colOff>822960</xdr:colOff>
                    <xdr:row>80</xdr:row>
                    <xdr:rowOff>144780</xdr:rowOff>
                  </from>
                  <to>
                    <xdr:col>7</xdr:col>
                    <xdr:colOff>251460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VerResultados">
                <anchor moveWithCells="1" sizeWithCells="1">
                  <from>
                    <xdr:col>3</xdr:col>
                    <xdr:colOff>556260</xdr:colOff>
                    <xdr:row>77</xdr:row>
                    <xdr:rowOff>137160</xdr:rowOff>
                  </from>
                  <to>
                    <xdr:col>5</xdr:col>
                    <xdr:colOff>685800</xdr:colOff>
                    <xdr:row>80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BB78C-7210-4836-BF05-E080E6303ED1}">
  <sheetPr>
    <tabColor rgb="FF0070C0"/>
  </sheetPr>
  <dimension ref="C2:O64"/>
  <sheetViews>
    <sheetView workbookViewId="0">
      <selection activeCell="R47" sqref="R47"/>
    </sheetView>
  </sheetViews>
  <sheetFormatPr baseColWidth="10" defaultRowHeight="14.4" x14ac:dyDescent="0.3"/>
  <cols>
    <col min="3" max="15" width="5.88671875" customWidth="1"/>
  </cols>
  <sheetData>
    <row r="2" spans="3:15" ht="27.75" customHeight="1" x14ac:dyDescent="0.3">
      <c r="C2" s="568" t="s">
        <v>1</v>
      </c>
      <c r="D2" s="568" t="s">
        <v>45</v>
      </c>
      <c r="E2" s="568" t="s">
        <v>4</v>
      </c>
      <c r="F2" s="568" t="s">
        <v>22</v>
      </c>
      <c r="G2" s="568"/>
      <c r="H2" s="568" t="s">
        <v>909</v>
      </c>
      <c r="I2" s="568"/>
      <c r="J2" s="568" t="s">
        <v>910</v>
      </c>
      <c r="K2" s="568"/>
      <c r="L2" s="568" t="s">
        <v>911</v>
      </c>
      <c r="M2" s="568"/>
      <c r="N2" s="568" t="s">
        <v>912</v>
      </c>
      <c r="O2" s="568"/>
    </row>
    <row r="3" spans="3:15" ht="27.75" customHeight="1" x14ac:dyDescent="0.3">
      <c r="C3" s="568"/>
      <c r="D3" s="568"/>
      <c r="E3" s="568"/>
      <c r="F3" s="522" t="s">
        <v>6</v>
      </c>
      <c r="G3" s="522" t="s">
        <v>7</v>
      </c>
      <c r="H3" s="522" t="s">
        <v>6</v>
      </c>
      <c r="I3" s="522" t="s">
        <v>7</v>
      </c>
      <c r="J3" s="522" t="s">
        <v>6</v>
      </c>
      <c r="K3" s="522" t="s">
        <v>7</v>
      </c>
      <c r="L3" s="522" t="s">
        <v>6</v>
      </c>
      <c r="M3" s="522" t="s">
        <v>7</v>
      </c>
      <c r="N3" s="522" t="s">
        <v>6</v>
      </c>
      <c r="O3" s="522" t="s">
        <v>7</v>
      </c>
    </row>
    <row r="4" spans="3:15" x14ac:dyDescent="0.3">
      <c r="C4" s="519">
        <f>SK_1!E7</f>
        <v>1</v>
      </c>
      <c r="D4" s="520">
        <f>SK_1!F7</f>
        <v>40.227999999999987</v>
      </c>
      <c r="E4" s="521">
        <f>SK_1!G7</f>
        <v>0.98148148148148151</v>
      </c>
      <c r="F4" s="521">
        <f>SK_1!N7</f>
        <v>0.98487507432170462</v>
      </c>
      <c r="G4" s="521">
        <f>SK_1!O7</f>
        <v>3.3935928402231141E-3</v>
      </c>
      <c r="H4" s="521">
        <f>SK_1!V7</f>
        <v>0.95966097321692156</v>
      </c>
      <c r="I4" s="521">
        <f>SK_1!W7</f>
        <v>2.1820508264559946E-2</v>
      </c>
      <c r="J4" s="521">
        <f>SK_1!AC7</f>
        <v>0.96572832257647023</v>
      </c>
      <c r="K4" s="521">
        <f>SK_1!AD7</f>
        <v>1.5753158905011277E-2</v>
      </c>
      <c r="L4" s="521">
        <f>SK_1!AL7</f>
        <v>0.97483197587589254</v>
      </c>
      <c r="M4" s="521">
        <f>SK_1!AM7</f>
        <v>6.6495056055889679E-3</v>
      </c>
      <c r="N4" s="521">
        <f>SK_1!AT7</f>
        <v>0.95871472119972634</v>
      </c>
      <c r="O4" s="521">
        <f>SK_1!AU7</f>
        <v>2.2766760281755172E-2</v>
      </c>
    </row>
    <row r="5" spans="3:15" x14ac:dyDescent="0.3">
      <c r="C5" s="519">
        <f>SK_1!E8</f>
        <v>2</v>
      </c>
      <c r="D5" s="520">
        <f>SK_1!F8</f>
        <v>39.549999999999997</v>
      </c>
      <c r="E5" s="521">
        <f>SK_1!G8</f>
        <v>0.96296296296296302</v>
      </c>
      <c r="F5" s="521">
        <f>SK_1!N8</f>
        <v>0.98145555037375198</v>
      </c>
      <c r="G5" s="521">
        <f>SK_1!O8</f>
        <v>1.8492587410788963E-2</v>
      </c>
      <c r="H5" s="521">
        <f>SK_1!V8</f>
        <v>0.95558641400270528</v>
      </c>
      <c r="I5" s="521">
        <f>SK_1!W8</f>
        <v>7.376548960257745E-3</v>
      </c>
      <c r="J5" s="521">
        <f>SK_1!AC8</f>
        <v>0.96199997824071015</v>
      </c>
      <c r="K5" s="521">
        <f>SK_1!AD8</f>
        <v>9.6298472225286869E-4</v>
      </c>
      <c r="L5" s="521">
        <f>SK_1!AL8</f>
        <v>0.97090008001762595</v>
      </c>
      <c r="M5" s="521">
        <f>SK_1!AM8</f>
        <v>7.9371170546629344E-3</v>
      </c>
      <c r="N5" s="521">
        <f>SK_1!AT8</f>
        <v>0.95464204502697469</v>
      </c>
      <c r="O5" s="521">
        <f>SK_1!AU8</f>
        <v>8.3209179359883256E-3</v>
      </c>
    </row>
    <row r="6" spans="3:15" x14ac:dyDescent="0.3">
      <c r="C6" s="519">
        <f>SK_1!E9</f>
        <v>3</v>
      </c>
      <c r="D6" s="520">
        <f>SK_1!F9</f>
        <v>37.742000000000004</v>
      </c>
      <c r="E6" s="521">
        <f>SK_1!G9</f>
        <v>0.94444444444444442</v>
      </c>
      <c r="F6" s="521">
        <f>SK_1!N9</f>
        <v>0.96898394911928798</v>
      </c>
      <c r="G6" s="521">
        <f>SK_1!O9</f>
        <v>2.453950467484356E-2</v>
      </c>
      <c r="H6" s="521">
        <f>SK_1!V9</f>
        <v>0.94264016425320496</v>
      </c>
      <c r="I6" s="521">
        <f>SK_1!W9</f>
        <v>1.8042801912394602E-3</v>
      </c>
      <c r="J6" s="521">
        <f>SK_1!AC9</f>
        <v>0.95000778012339537</v>
      </c>
      <c r="K6" s="521">
        <f>SK_1!AD9</f>
        <v>5.5633356789509536E-3</v>
      </c>
      <c r="L6" s="521">
        <f>SK_1!AL9</f>
        <v>0.95763178379460623</v>
      </c>
      <c r="M6" s="521">
        <f>SK_1!AM9</f>
        <v>1.3187339350161809E-2</v>
      </c>
      <c r="N6" s="521">
        <f>SK_1!AT9</f>
        <v>0.9417335422997114</v>
      </c>
      <c r="O6" s="521">
        <f>SK_1!AU9</f>
        <v>2.7109021447330184E-3</v>
      </c>
    </row>
    <row r="7" spans="3:15" x14ac:dyDescent="0.3">
      <c r="C7" s="519">
        <f>SK_1!E10</f>
        <v>4</v>
      </c>
      <c r="D7" s="520">
        <f>SK_1!F10</f>
        <v>35.707999999999998</v>
      </c>
      <c r="E7" s="521">
        <f>SK_1!G10</f>
        <v>0.92592592592592593</v>
      </c>
      <c r="F7" s="521">
        <f>SK_1!N10</f>
        <v>0.94738478060668951</v>
      </c>
      <c r="G7" s="521">
        <f>SK_1!O10</f>
        <v>2.1458854680763584E-2</v>
      </c>
      <c r="H7" s="521">
        <f>SK_1!V10</f>
        <v>0.9236675863911723</v>
      </c>
      <c r="I7" s="521">
        <f>SK_1!W10</f>
        <v>2.2583395347536284E-3</v>
      </c>
      <c r="J7" s="521">
        <f>SK_1!AC10</f>
        <v>0.93210120043343636</v>
      </c>
      <c r="K7" s="521">
        <f>SK_1!AD10</f>
        <v>6.1752745075104309E-3</v>
      </c>
      <c r="L7" s="521">
        <f>SK_1!AL10</f>
        <v>0.93667585913553797</v>
      </c>
      <c r="M7" s="521">
        <f>SK_1!AM10</f>
        <v>1.0749933209612039E-2</v>
      </c>
      <c r="N7" s="521">
        <f>SK_1!AT10</f>
        <v>0.92287554642950509</v>
      </c>
      <c r="O7" s="521">
        <f>SK_1!AU10</f>
        <v>3.0503794964208408E-3</v>
      </c>
    </row>
    <row r="8" spans="3:15" x14ac:dyDescent="0.3">
      <c r="C8" s="519">
        <f>SK_1!E11</f>
        <v>5</v>
      </c>
      <c r="D8" s="520">
        <f>SK_1!F11</f>
        <v>35.481999999999992</v>
      </c>
      <c r="E8" s="521">
        <f>SK_1!G11</f>
        <v>0.90740740740740744</v>
      </c>
      <c r="F8" s="521">
        <f>SK_1!N11</f>
        <v>0.944382746737913</v>
      </c>
      <c r="G8" s="521">
        <f>SK_1!O11</f>
        <v>3.6975339330505563E-2</v>
      </c>
      <c r="H8" s="521">
        <f>SK_1!V11</f>
        <v>0.92121877867380075</v>
      </c>
      <c r="I8" s="521">
        <f>SK_1!W11</f>
        <v>1.3811371266393313E-2</v>
      </c>
      <c r="J8" s="521">
        <f>SK_1!AC11</f>
        <v>0.92976533776468362</v>
      </c>
      <c r="K8" s="521">
        <f>SK_1!AD11</f>
        <v>2.2357930357276179E-2</v>
      </c>
      <c r="L8" s="521">
        <f>SK_1!AL11</f>
        <v>0.93387749249652663</v>
      </c>
      <c r="M8" s="521">
        <f>SK_1!AM11</f>
        <v>2.6470085089119189E-2</v>
      </c>
      <c r="N8" s="521">
        <f>SK_1!AT11</f>
        <v>0.92044509368737915</v>
      </c>
      <c r="O8" s="521">
        <f>SK_1!AU11</f>
        <v>1.3037686279971705E-2</v>
      </c>
    </row>
    <row r="9" spans="3:15" x14ac:dyDescent="0.3">
      <c r="C9" s="519">
        <f>SK_1!E12</f>
        <v>6</v>
      </c>
      <c r="D9" s="520">
        <f>SK_1!F12</f>
        <v>33.108999999999995</v>
      </c>
      <c r="E9" s="521">
        <f>SK_1!G12</f>
        <v>0.88888888888888884</v>
      </c>
      <c r="F9" s="521">
        <f>SK_1!N12</f>
        <v>0.90415595296514784</v>
      </c>
      <c r="G9" s="521">
        <f>SK_1!O12</f>
        <v>1.5267064076258996E-2</v>
      </c>
      <c r="H9" s="521">
        <f>SK_1!V12</f>
        <v>0.89054976565751875</v>
      </c>
      <c r="I9" s="521">
        <f>SK_1!W12</f>
        <v>1.6608767686299153E-3</v>
      </c>
      <c r="J9" s="521">
        <f>SK_1!AC12</f>
        <v>0.90011293796550984</v>
      </c>
      <c r="K9" s="521">
        <f>SK_1!AD12</f>
        <v>1.1224049076621001E-2</v>
      </c>
      <c r="L9" s="521">
        <f>SK_1!AL12</f>
        <v>0.89771327330456629</v>
      </c>
      <c r="M9" s="521">
        <f>SK_1!AM12</f>
        <v>8.8243844156774554E-3</v>
      </c>
      <c r="N9" s="521">
        <f>SK_1!AT12</f>
        <v>0.89004810187604821</v>
      </c>
      <c r="O9" s="521">
        <f>SK_1!AU12</f>
        <v>1.1592129871593748E-3</v>
      </c>
    </row>
    <row r="10" spans="3:15" x14ac:dyDescent="0.3">
      <c r="C10" s="519">
        <f>SK_1!E13</f>
        <v>7</v>
      </c>
      <c r="D10" s="520">
        <f>SK_1!F13</f>
        <v>32.317999999999998</v>
      </c>
      <c r="E10" s="521">
        <f>SK_1!G13</f>
        <v>0.87037037037037035</v>
      </c>
      <c r="F10" s="521">
        <f>SK_1!N13</f>
        <v>0.88684375659753556</v>
      </c>
      <c r="G10" s="521">
        <f>SK_1!O13</f>
        <v>1.647338622716521E-2</v>
      </c>
      <c r="H10" s="521">
        <f>SK_1!V13</f>
        <v>0.87803686668306802</v>
      </c>
      <c r="I10" s="521">
        <f>SK_1!W13</f>
        <v>7.6664963126976682E-3</v>
      </c>
      <c r="J10" s="521">
        <f>SK_1!AC13</f>
        <v>0.88782955615517356</v>
      </c>
      <c r="K10" s="521">
        <f>SK_1!AD13</f>
        <v>1.7459185784803211E-2</v>
      </c>
      <c r="L10" s="521">
        <f>SK_1!AL13</f>
        <v>0.882579745118235</v>
      </c>
      <c r="M10" s="521">
        <f>SK_1!AM13</f>
        <v>1.2209374747864654E-2</v>
      </c>
      <c r="N10" s="521">
        <f>SK_1!AT13</f>
        <v>0.87766063534161365</v>
      </c>
      <c r="O10" s="521">
        <f>SK_1!AU13</f>
        <v>7.2902649712432988E-3</v>
      </c>
    </row>
    <row r="11" spans="3:15" x14ac:dyDescent="0.3">
      <c r="C11" s="519">
        <f>SK_1!E14</f>
        <v>8</v>
      </c>
      <c r="D11" s="520">
        <f>SK_1!F14</f>
        <v>32.204999999999998</v>
      </c>
      <c r="E11" s="521">
        <f>SK_1!G14</f>
        <v>0.85185185185185186</v>
      </c>
      <c r="F11" s="521">
        <f>SK_1!N14</f>
        <v>0.88419904683170925</v>
      </c>
      <c r="G11" s="521">
        <f>SK_1!O14</f>
        <v>3.2347194979857385E-2</v>
      </c>
      <c r="H11" s="521">
        <f>SK_1!V14</f>
        <v>0.87614419848234393</v>
      </c>
      <c r="I11" s="521">
        <f>SK_1!W14</f>
        <v>2.4292346630492068E-2</v>
      </c>
      <c r="J11" s="521">
        <f>SK_1!AC14</f>
        <v>0.88596332886402207</v>
      </c>
      <c r="K11" s="521">
        <f>SK_1!AD14</f>
        <v>3.411147701217021E-2</v>
      </c>
      <c r="L11" s="521">
        <f>SK_1!AL14</f>
        <v>0.88027975501154754</v>
      </c>
      <c r="M11" s="521">
        <f>SK_1!AM14</f>
        <v>2.8427903159695678E-2</v>
      </c>
      <c r="N11" s="521">
        <f>SK_1!AT14</f>
        <v>0.87578737280613383</v>
      </c>
      <c r="O11" s="521">
        <f>SK_1!AU14</f>
        <v>2.3935520954281975E-2</v>
      </c>
    </row>
    <row r="12" spans="3:15" x14ac:dyDescent="0.3">
      <c r="C12" s="519">
        <f>SK_1!E15</f>
        <v>9</v>
      </c>
      <c r="D12" s="520">
        <f>SK_1!F15</f>
        <v>31.753</v>
      </c>
      <c r="E12" s="521">
        <f>SK_1!G15</f>
        <v>0.83333333333333337</v>
      </c>
      <c r="F12" s="521">
        <f>SK_1!N15</f>
        <v>0.87318216666716386</v>
      </c>
      <c r="G12" s="521">
        <f>SK_1!O15</f>
        <v>3.9848833333830491E-2</v>
      </c>
      <c r="H12" s="521">
        <f>SK_1!V15</f>
        <v>0.86829807861731345</v>
      </c>
      <c r="I12" s="521">
        <f>SK_1!W15</f>
        <v>3.4964745283980081E-2</v>
      </c>
      <c r="J12" s="521">
        <f>SK_1!AC15</f>
        <v>0.8782048409713985</v>
      </c>
      <c r="K12" s="521">
        <f>SK_1!AD15</f>
        <v>4.4871507638065133E-2</v>
      </c>
      <c r="L12" s="521">
        <f>SK_1!AL15</f>
        <v>0.87072282884372887</v>
      </c>
      <c r="M12" s="521">
        <f>SK_1!AM15</f>
        <v>3.7389495510395498E-2</v>
      </c>
      <c r="N12" s="521">
        <f>SK_1!AT15</f>
        <v>0.86802261270671588</v>
      </c>
      <c r="O12" s="521">
        <f>SK_1!AU15</f>
        <v>3.4689279373382509E-2</v>
      </c>
    </row>
    <row r="13" spans="3:15" x14ac:dyDescent="0.3">
      <c r="C13" s="519">
        <f>SK_1!E16</f>
        <v>10</v>
      </c>
      <c r="D13" s="520">
        <f>SK_1!F16</f>
        <v>31.074999999999996</v>
      </c>
      <c r="E13" s="521">
        <f>SK_1!G16</f>
        <v>0.81481481481481488</v>
      </c>
      <c r="F13" s="521">
        <f>SK_1!N16</f>
        <v>0.8553239233134815</v>
      </c>
      <c r="G13" s="521">
        <f>SK_1!O16</f>
        <v>4.0509108498666624E-2</v>
      </c>
      <c r="H13" s="521">
        <f>SK_1!V16</f>
        <v>0.85566702898120706</v>
      </c>
      <c r="I13" s="521">
        <f>SK_1!W16</f>
        <v>4.0852214166392176E-2</v>
      </c>
      <c r="J13" s="521">
        <f>SK_1!AC16</f>
        <v>0.86564416086419738</v>
      </c>
      <c r="K13" s="521">
        <f>SK_1!AD16</f>
        <v>5.0829346049382496E-2</v>
      </c>
      <c r="L13" s="521">
        <f>SK_1!AL16</f>
        <v>0.85528635929103036</v>
      </c>
      <c r="M13" s="521">
        <f>SK_1!AM16</f>
        <v>4.0471544476215482E-2</v>
      </c>
      <c r="N13" s="521">
        <f>SK_1!AT16</f>
        <v>0.85552477005791472</v>
      </c>
      <c r="O13" s="521">
        <f>SK_1!AU16</f>
        <v>4.0709955243099838E-2</v>
      </c>
    </row>
    <row r="14" spans="3:15" x14ac:dyDescent="0.3">
      <c r="C14" s="519">
        <f>SK_1!E17</f>
        <v>11</v>
      </c>
      <c r="D14" s="520">
        <f>SK_1!F17</f>
        <v>30.735999999999997</v>
      </c>
      <c r="E14" s="521">
        <f>SK_1!G17</f>
        <v>0.79629629629629628</v>
      </c>
      <c r="F14" s="521">
        <f>SK_1!N17</f>
        <v>0.84578793995747137</v>
      </c>
      <c r="G14" s="521">
        <f>SK_1!O17</f>
        <v>4.9491643661175089E-2</v>
      </c>
      <c r="H14" s="521">
        <f>SK_1!V17</f>
        <v>0.8489445575519976</v>
      </c>
      <c r="I14" s="521">
        <f>SK_1!W17</f>
        <v>5.2648261255701323E-2</v>
      </c>
      <c r="J14" s="521">
        <f>SK_1!AC17</f>
        <v>0.85892565518881758</v>
      </c>
      <c r="K14" s="521">
        <f>SK_1!AD17</f>
        <v>6.2629358892521303E-2</v>
      </c>
      <c r="L14" s="521">
        <f>SK_1!AL17</f>
        <v>0.84705775355148583</v>
      </c>
      <c r="M14" s="521">
        <f>SK_1!AM17</f>
        <v>5.0761457255189546E-2</v>
      </c>
      <c r="N14" s="521">
        <f>SK_1!AT17</f>
        <v>0.84887385676246851</v>
      </c>
      <c r="O14" s="521">
        <f>SK_1!AU17</f>
        <v>5.2577560466172235E-2</v>
      </c>
    </row>
    <row r="15" spans="3:15" x14ac:dyDescent="0.3">
      <c r="C15" s="519">
        <f>SK_1!E18</f>
        <v>12</v>
      </c>
      <c r="D15" s="520">
        <f>SK_1!F18</f>
        <v>30.509999999999998</v>
      </c>
      <c r="E15" s="521">
        <f>SK_1!G18</f>
        <v>0.77777777777777779</v>
      </c>
      <c r="F15" s="521">
        <f>SK_1!N18</f>
        <v>0.83920470108530743</v>
      </c>
      <c r="G15" s="521">
        <f>SK_1!O18</f>
        <v>6.1426923307529635E-2</v>
      </c>
      <c r="H15" s="521">
        <f>SK_1!V18</f>
        <v>0.84430615334289316</v>
      </c>
      <c r="I15" s="521">
        <f>SK_1!W18</f>
        <v>6.6528375565115372E-2</v>
      </c>
      <c r="J15" s="521">
        <f>SK_1!AC18</f>
        <v>0.85427710590962369</v>
      </c>
      <c r="K15" s="521">
        <f>SK_1!AD18</f>
        <v>7.6499328131845901E-2</v>
      </c>
      <c r="L15" s="521">
        <f>SK_1!AL18</f>
        <v>0.84137877181020626</v>
      </c>
      <c r="M15" s="521">
        <f>SK_1!AM18</f>
        <v>6.3600994032428471E-2</v>
      </c>
      <c r="N15" s="521">
        <f>SK_1!AT18</f>
        <v>0.84428495338634035</v>
      </c>
      <c r="O15" s="521">
        <f>SK_1!AU18</f>
        <v>6.6507175608562563E-2</v>
      </c>
    </row>
    <row r="16" spans="3:15" x14ac:dyDescent="0.3">
      <c r="C16" s="519">
        <f>SK_1!E19</f>
        <v>13</v>
      </c>
      <c r="D16" s="520">
        <f>SK_1!F19</f>
        <v>29.606000000000002</v>
      </c>
      <c r="E16" s="521">
        <f>SK_1!G19</f>
        <v>0.7592592592592593</v>
      </c>
      <c r="F16" s="521">
        <f>SK_1!N19</f>
        <v>0.81106713515108186</v>
      </c>
      <c r="G16" s="521">
        <f>SK_1!O19</f>
        <v>5.1807875891822563E-2</v>
      </c>
      <c r="H16" s="521">
        <f>SK_1!V19</f>
        <v>0.82444129464373883</v>
      </c>
      <c r="I16" s="521">
        <f>SK_1!W19</f>
        <v>6.5182035384479531E-2</v>
      </c>
      <c r="J16" s="521">
        <f>SK_1!AC19</f>
        <v>0.83425718676817451</v>
      </c>
      <c r="K16" s="521">
        <f>SK_1!AD19</f>
        <v>7.4997927508915208E-2</v>
      </c>
      <c r="L16" s="521">
        <f>SK_1!AL19</f>
        <v>0.81708332573833475</v>
      </c>
      <c r="M16" s="521">
        <f>SK_1!AM19</f>
        <v>5.7824066479075453E-2</v>
      </c>
      <c r="N16" s="521">
        <f>SK_1!AT19</f>
        <v>0.82463184806368361</v>
      </c>
      <c r="O16" s="521">
        <f>SK_1!AU19</f>
        <v>6.5372588804424314E-2</v>
      </c>
    </row>
    <row r="17" spans="3:15" x14ac:dyDescent="0.3">
      <c r="C17" s="519">
        <f>SK_1!E20</f>
        <v>14</v>
      </c>
      <c r="D17" s="520">
        <f>SK_1!F20</f>
        <v>28.814999999999998</v>
      </c>
      <c r="E17" s="521">
        <f>SK_1!G20</f>
        <v>0.7407407407407407</v>
      </c>
      <c r="F17" s="521">
        <f>SK_1!N20</f>
        <v>0.78410916360343685</v>
      </c>
      <c r="G17" s="521">
        <f>SK_1!O20</f>
        <v>4.3368422862696154E-2</v>
      </c>
      <c r="H17" s="521">
        <f>SK_1!V20</f>
        <v>0.80524126973582899</v>
      </c>
      <c r="I17" s="521">
        <f>SK_1!W20</f>
        <v>6.4500528995088291E-2</v>
      </c>
      <c r="J17" s="521">
        <f>SK_1!AC20</f>
        <v>0.81474959219136434</v>
      </c>
      <c r="K17" s="521">
        <f>SK_1!AD20</f>
        <v>7.4008851450623636E-2</v>
      </c>
      <c r="L17" s="521">
        <f>SK_1!AL20</f>
        <v>0.79370755137206073</v>
      </c>
      <c r="M17" s="521">
        <f>SK_1!AM20</f>
        <v>5.2966810631320027E-2</v>
      </c>
      <c r="N17" s="521">
        <f>SK_1!AT20</f>
        <v>0.80563361049953475</v>
      </c>
      <c r="O17" s="521">
        <f>SK_1!AU20</f>
        <v>6.4892869758794047E-2</v>
      </c>
    </row>
    <row r="18" spans="3:15" x14ac:dyDescent="0.3">
      <c r="C18" s="519">
        <f>SK_1!E21</f>
        <v>15</v>
      </c>
      <c r="D18" s="520">
        <f>SK_1!F21</f>
        <v>28.475999999999996</v>
      </c>
      <c r="E18" s="521">
        <f>SK_1!G21</f>
        <v>0.72222222222222221</v>
      </c>
      <c r="F18" s="521">
        <f>SK_1!N21</f>
        <v>0.77190551091480841</v>
      </c>
      <c r="G18" s="521">
        <f>SK_1!O21</f>
        <v>4.9683288692586203E-2</v>
      </c>
      <c r="H18" s="521">
        <f>SK_1!V21</f>
        <v>0.7964643758248553</v>
      </c>
      <c r="I18" s="521">
        <f>SK_1!W21</f>
        <v>7.4242153602633087E-2</v>
      </c>
      <c r="J18" s="521">
        <f>SK_1!AC21</f>
        <v>0.8057851014562728</v>
      </c>
      <c r="K18" s="521">
        <f>SK_1!AD21</f>
        <v>8.3562879234050591E-2</v>
      </c>
      <c r="L18" s="521">
        <f>SK_1!AL21</f>
        <v>0.78307570642115942</v>
      </c>
      <c r="M18" s="521">
        <f>SK_1!AM21</f>
        <v>6.0853484198937213E-2</v>
      </c>
      <c r="N18" s="521">
        <f>SK_1!AT21</f>
        <v>0.7969472802537847</v>
      </c>
      <c r="O18" s="521">
        <f>SK_1!AU21</f>
        <v>7.4725058031562486E-2</v>
      </c>
    </row>
    <row r="19" spans="3:15" x14ac:dyDescent="0.3">
      <c r="C19" s="519">
        <f>SK_1!E22</f>
        <v>16</v>
      </c>
      <c r="D19" s="520">
        <f>SK_1!F22</f>
        <v>28.249999999999996</v>
      </c>
      <c r="E19" s="521">
        <f>SK_1!G22</f>
        <v>0.70370370370370372</v>
      </c>
      <c r="F19" s="521">
        <f>SK_1!N22</f>
        <v>0.76355881036371809</v>
      </c>
      <c r="G19" s="521">
        <f>SK_1!O22</f>
        <v>5.9855106660014368E-2</v>
      </c>
      <c r="H19" s="521">
        <f>SK_1!V22</f>
        <v>0.79042416507399849</v>
      </c>
      <c r="I19" s="521">
        <f>SK_1!W22</f>
        <v>8.6720461370294766E-2</v>
      </c>
      <c r="J19" s="521">
        <f>SK_1!AC22</f>
        <v>0.79959975022440755</v>
      </c>
      <c r="K19" s="521">
        <f>SK_1!AD22</f>
        <v>9.5896046520703826E-2</v>
      </c>
      <c r="L19" s="521">
        <f>SK_1!AL22</f>
        <v>0.77578246532907458</v>
      </c>
      <c r="M19" s="521">
        <f>SK_1!AM22</f>
        <v>7.2078761625370857E-2</v>
      </c>
      <c r="N19" s="521">
        <f>SK_1!AT22</f>
        <v>0.7909686260389126</v>
      </c>
      <c r="O19" s="521">
        <f>SK_1!AU22</f>
        <v>8.7264922335208883E-2</v>
      </c>
    </row>
    <row r="20" spans="3:15" x14ac:dyDescent="0.3">
      <c r="C20" s="519">
        <f>SK_1!E23</f>
        <v>17</v>
      </c>
      <c r="D20" s="520">
        <f>SK_1!F23</f>
        <v>28.136999999999997</v>
      </c>
      <c r="E20" s="521">
        <f>SK_1!G23</f>
        <v>0.68518518518518512</v>
      </c>
      <c r="F20" s="521">
        <f>SK_1!N23</f>
        <v>0.75932323943170998</v>
      </c>
      <c r="G20" s="521">
        <f>SK_1!O23</f>
        <v>7.4138054246524865E-2</v>
      </c>
      <c r="H20" s="521">
        <f>SK_1!V23</f>
        <v>0.78734647938277824</v>
      </c>
      <c r="I20" s="521">
        <f>SK_1!W23</f>
        <v>0.10216129419759312</v>
      </c>
      <c r="J20" s="521">
        <f>SK_1!AC23</f>
        <v>0.79644325223817858</v>
      </c>
      <c r="K20" s="521">
        <f>SK_1!AD23</f>
        <v>0.11125806705299346</v>
      </c>
      <c r="L20" s="521">
        <f>SK_1!AL23</f>
        <v>0.77207424515756973</v>
      </c>
      <c r="M20" s="521">
        <f>SK_1!AM23</f>
        <v>8.6889059972384608E-2</v>
      </c>
      <c r="N20" s="521">
        <f>SK_1!AT23</f>
        <v>0.78792204159540746</v>
      </c>
      <c r="O20" s="521">
        <f>SK_1!AU23</f>
        <v>0.10273685641022234</v>
      </c>
    </row>
    <row r="21" spans="3:15" x14ac:dyDescent="0.3">
      <c r="C21" s="519">
        <f>SK_1!E24</f>
        <v>18</v>
      </c>
      <c r="D21" s="520">
        <f>SK_1!F24</f>
        <v>26.216000000000001</v>
      </c>
      <c r="E21" s="521">
        <f>SK_1!G24</f>
        <v>0.66666666666666674</v>
      </c>
      <c r="F21" s="521">
        <f>SK_1!N24</f>
        <v>0.6814436219527652</v>
      </c>
      <c r="G21" s="521">
        <f>SK_1!O24</f>
        <v>1.4776955286098459E-2</v>
      </c>
      <c r="H21" s="521">
        <f>SK_1!V24</f>
        <v>0.728875762586364</v>
      </c>
      <c r="I21" s="521">
        <f>SK_1!W24</f>
        <v>6.2209095919697255E-2</v>
      </c>
      <c r="J21" s="521">
        <f>SK_1!AC24</f>
        <v>0.7359267702736384</v>
      </c>
      <c r="K21" s="521">
        <f>SK_1!AD24</f>
        <v>6.9260103606971657E-2</v>
      </c>
      <c r="L21" s="521">
        <f>SK_1!AL24</f>
        <v>0.70283510394465676</v>
      </c>
      <c r="M21" s="521">
        <f>SK_1!AM24</f>
        <v>3.6168437277990018E-2</v>
      </c>
      <c r="N21" s="521">
        <f>SK_1!AT24</f>
        <v>0.72999962960720455</v>
      </c>
      <c r="O21" s="521">
        <f>SK_1!AU24</f>
        <v>6.3332962940537807E-2</v>
      </c>
    </row>
    <row r="22" spans="3:15" x14ac:dyDescent="0.3">
      <c r="C22" s="519">
        <f>SK_1!E25</f>
        <v>19</v>
      </c>
      <c r="D22" s="520">
        <f>SK_1!F25</f>
        <v>26.102999999999998</v>
      </c>
      <c r="E22" s="521">
        <f>SK_1!G25</f>
        <v>0.64814814814814814</v>
      </c>
      <c r="F22" s="521">
        <f>SK_1!N25</f>
        <v>0.67654878293329734</v>
      </c>
      <c r="G22" s="521">
        <f>SK_1!O25</f>
        <v>2.8400634785149204E-2</v>
      </c>
      <c r="H22" s="521">
        <f>SK_1!V25</f>
        <v>0.72506091423299224</v>
      </c>
      <c r="I22" s="521">
        <f>SK_1!W25</f>
        <v>7.6912766084844097E-2</v>
      </c>
      <c r="J22" s="521">
        <f>SK_1!AC25</f>
        <v>0.73194662537966992</v>
      </c>
      <c r="K22" s="521">
        <f>SK_1!AD25</f>
        <v>8.3798477231521784E-2</v>
      </c>
      <c r="L22" s="521">
        <f>SK_1!AL25</f>
        <v>0.69840676178649252</v>
      </c>
      <c r="M22" s="521">
        <f>SK_1!AM25</f>
        <v>5.0258613638344385E-2</v>
      </c>
      <c r="N22" s="521">
        <f>SK_1!AT25</f>
        <v>0.72621729369796983</v>
      </c>
      <c r="O22" s="521">
        <f>SK_1!AU25</f>
        <v>7.8069145549821695E-2</v>
      </c>
    </row>
    <row r="23" spans="3:15" x14ac:dyDescent="0.3">
      <c r="C23" s="519">
        <f>SK_1!E26</f>
        <v>20</v>
      </c>
      <c r="D23" s="520">
        <f>SK_1!F26</f>
        <v>24.746999999999996</v>
      </c>
      <c r="E23" s="521">
        <f>SK_1!G26</f>
        <v>0.62962962962962965</v>
      </c>
      <c r="F23" s="521">
        <f>SK_1!N26</f>
        <v>0.61563295586956601</v>
      </c>
      <c r="G23" s="521">
        <f>SK_1!O26</f>
        <v>1.3996673760063638E-2</v>
      </c>
      <c r="H23" s="521">
        <f>SK_1!V26</f>
        <v>0.67589394923478652</v>
      </c>
      <c r="I23" s="521">
        <f>SK_1!W26</f>
        <v>4.6264319605156867E-2</v>
      </c>
      <c r="J23" s="521">
        <f>SK_1!AC26</f>
        <v>0.68037413987726636</v>
      </c>
      <c r="K23" s="521">
        <f>SK_1!AD26</f>
        <v>5.0744510247636709E-2</v>
      </c>
      <c r="L23" s="521">
        <f>SK_1!AL26</f>
        <v>0.642411650995381</v>
      </c>
      <c r="M23" s="521">
        <f>SK_1!AM26</f>
        <v>1.278202136575135E-2</v>
      </c>
      <c r="N23" s="521">
        <f>SK_1!AT26</f>
        <v>0.67742747874048548</v>
      </c>
      <c r="O23" s="521">
        <f>SK_1!AU26</f>
        <v>4.7797849110855828E-2</v>
      </c>
    </row>
    <row r="24" spans="3:15" x14ac:dyDescent="0.3">
      <c r="C24" s="519">
        <f>SK_1!E27</f>
        <v>21</v>
      </c>
      <c r="D24" s="520">
        <f>SK_1!F27</f>
        <v>23.616999999999997</v>
      </c>
      <c r="E24" s="521">
        <f>SK_1!G27</f>
        <v>0.61111111111111116</v>
      </c>
      <c r="F24" s="521">
        <f>SK_1!N27</f>
        <v>0.56250858269622694</v>
      </c>
      <c r="G24" s="521">
        <f>SK_1!O27</f>
        <v>4.8602528414884216E-2</v>
      </c>
      <c r="H24" s="521">
        <f>SK_1!V27</f>
        <v>0.63009511852359035</v>
      </c>
      <c r="I24" s="521">
        <f>SK_1!W27</f>
        <v>1.8984007412479187E-2</v>
      </c>
      <c r="J24" s="521">
        <f>SK_1!AC27</f>
        <v>0.63197290903595604</v>
      </c>
      <c r="K24" s="521">
        <f>SK_1!AD27</f>
        <v>2.0861797924844883E-2</v>
      </c>
      <c r="L24" s="521">
        <f>SK_1!AL27</f>
        <v>0.59211491160107443</v>
      </c>
      <c r="M24" s="521">
        <f>SK_1!AM27</f>
        <v>1.8996199510036726E-2</v>
      </c>
      <c r="N24" s="521">
        <f>SK_1!AT27</f>
        <v>0.63190407405764637</v>
      </c>
      <c r="O24" s="521">
        <f>SK_1!AU27</f>
        <v>2.0792962946535209E-2</v>
      </c>
    </row>
    <row r="25" spans="3:15" x14ac:dyDescent="0.3">
      <c r="C25" s="519">
        <f>SK_1!E28</f>
        <v>22</v>
      </c>
      <c r="D25" s="520">
        <f>SK_1!F28</f>
        <v>22.260999999999996</v>
      </c>
      <c r="E25" s="521">
        <f>SK_1!G28</f>
        <v>0.59259259259259256</v>
      </c>
      <c r="F25" s="521">
        <f>SK_1!N28</f>
        <v>0.49732472350494361</v>
      </c>
      <c r="G25" s="521">
        <f>SK_1!O28</f>
        <v>9.5267869087648949E-2</v>
      </c>
      <c r="H25" s="521">
        <f>SK_1!V28</f>
        <v>0.56947798349927536</v>
      </c>
      <c r="I25" s="521">
        <f>SK_1!W28</f>
        <v>2.3114609093317195E-2</v>
      </c>
      <c r="J25" s="521">
        <f>SK_1!AC28</f>
        <v>0.56758745411602685</v>
      </c>
      <c r="K25" s="521">
        <f>SK_1!AD28</f>
        <v>2.5005138476565714E-2</v>
      </c>
      <c r="L25" s="521">
        <f>SK_1!AL28</f>
        <v>0.52833002609357549</v>
      </c>
      <c r="M25" s="521">
        <f>SK_1!AM28</f>
        <v>6.4262566499017071E-2</v>
      </c>
      <c r="N25" s="521">
        <f>SK_1!AT28</f>
        <v>0.5715295056650459</v>
      </c>
      <c r="O25" s="521">
        <f>SK_1!AU28</f>
        <v>2.1063086927546659E-2</v>
      </c>
    </row>
    <row r="26" spans="3:15" x14ac:dyDescent="0.3">
      <c r="C26" s="519">
        <f>SK_1!E29</f>
        <v>23</v>
      </c>
      <c r="D26" s="520">
        <f>SK_1!F29</f>
        <v>22.260999999999996</v>
      </c>
      <c r="E26" s="521">
        <f>SK_1!G29</f>
        <v>0.57407407407407407</v>
      </c>
      <c r="F26" s="521">
        <f>SK_1!N29</f>
        <v>0.49732472350494361</v>
      </c>
      <c r="G26" s="521">
        <f>SK_1!O29</f>
        <v>7.6749350569130459E-2</v>
      </c>
      <c r="H26" s="521">
        <f>SK_1!V29</f>
        <v>0.56947798349927536</v>
      </c>
      <c r="I26" s="521">
        <f>SK_1!W29</f>
        <v>4.5960905747987058E-3</v>
      </c>
      <c r="J26" s="521">
        <f>SK_1!AC29</f>
        <v>0.56758745411602685</v>
      </c>
      <c r="K26" s="521">
        <f>SK_1!AD29</f>
        <v>6.4866199580472239E-3</v>
      </c>
      <c r="L26" s="521">
        <f>SK_1!AL29</f>
        <v>0.52833002609357549</v>
      </c>
      <c r="M26" s="521">
        <f>SK_1!AM29</f>
        <v>4.5744047980498581E-2</v>
      </c>
      <c r="N26" s="521">
        <f>SK_1!AT29</f>
        <v>0.5715295056650459</v>
      </c>
      <c r="O26" s="521">
        <f>SK_1!AU29</f>
        <v>2.5445684090281695E-3</v>
      </c>
    </row>
    <row r="27" spans="3:15" x14ac:dyDescent="0.3">
      <c r="C27" s="519">
        <f>SK_1!E30</f>
        <v>24</v>
      </c>
      <c r="D27" s="520">
        <f>SK_1!F30</f>
        <v>22.034999999999997</v>
      </c>
      <c r="E27" s="521">
        <f>SK_1!G30</f>
        <v>0.55555555555555558</v>
      </c>
      <c r="F27" s="521">
        <f>SK_1!N30</f>
        <v>0.48642034866349504</v>
      </c>
      <c r="G27" s="521">
        <f>SK_1!O30</f>
        <v>6.9135206892060541E-2</v>
      </c>
      <c r="H27" s="521">
        <f>SK_1!V30</f>
        <v>0.55880550261898776</v>
      </c>
      <c r="I27" s="521">
        <f>SK_1!W30</f>
        <v>3.2499470634321792E-3</v>
      </c>
      <c r="J27" s="521">
        <f>SK_1!AC30</f>
        <v>0.55623127386792548</v>
      </c>
      <c r="K27" s="521">
        <f>SK_1!AD30</f>
        <v>6.7571831236989954E-4</v>
      </c>
      <c r="L27" s="521">
        <f>SK_1!AL30</f>
        <v>0.51742306617800971</v>
      </c>
      <c r="M27" s="521">
        <f>SK_1!AM30</f>
        <v>3.8132489377545875E-2</v>
      </c>
      <c r="N27" s="521">
        <f>SK_1!AT30</f>
        <v>0.56088481073708096</v>
      </c>
      <c r="O27" s="521">
        <f>SK_1!AU30</f>
        <v>5.329255181525383E-3</v>
      </c>
    </row>
    <row r="28" spans="3:15" x14ac:dyDescent="0.3">
      <c r="C28" s="519">
        <f>SK_1!E31</f>
        <v>25</v>
      </c>
      <c r="D28" s="520">
        <f>SK_1!F31</f>
        <v>21.582999999999998</v>
      </c>
      <c r="E28" s="521">
        <f>SK_1!G31</f>
        <v>0.53703703703703698</v>
      </c>
      <c r="F28" s="521">
        <f>SK_1!N31</f>
        <v>0.46465015478444932</v>
      </c>
      <c r="G28" s="521">
        <f>SK_1!O31</f>
        <v>7.2386882252587659E-2</v>
      </c>
      <c r="H28" s="521">
        <f>SK_1!V31</f>
        <v>0.53700435099427257</v>
      </c>
      <c r="I28" s="521">
        <f>SK_1!W31</f>
        <v>3.2686042764407119E-5</v>
      </c>
      <c r="J28" s="521">
        <f>SK_1!AC31</f>
        <v>0.53302771402658156</v>
      </c>
      <c r="K28" s="521">
        <f>SK_1!AD31</f>
        <v>4.0093230104554234E-3</v>
      </c>
      <c r="L28" s="521">
        <f>SK_1!AL31</f>
        <v>0.49543690666632983</v>
      </c>
      <c r="M28" s="521">
        <f>SK_1!AM31</f>
        <v>4.1600130370707145E-2</v>
      </c>
      <c r="N28" s="521">
        <f>SK_1!AT31</f>
        <v>0.53912627574195748</v>
      </c>
      <c r="O28" s="521">
        <f>SK_1!AU31</f>
        <v>2.0892387049205041E-3</v>
      </c>
    </row>
    <row r="29" spans="3:15" x14ac:dyDescent="0.3">
      <c r="C29" s="519">
        <f>SK_1!E32</f>
        <v>26</v>
      </c>
      <c r="D29" s="520">
        <f>SK_1!F32</f>
        <v>21.244</v>
      </c>
      <c r="E29" s="521">
        <f>SK_1!G32</f>
        <v>0.5185185185185186</v>
      </c>
      <c r="F29" s="521">
        <f>SK_1!N32</f>
        <v>0.44838812281021856</v>
      </c>
      <c r="G29" s="521">
        <f>SK_1!O32</f>
        <v>7.0130395708300042E-2</v>
      </c>
      <c r="H29" s="521">
        <f>SK_1!V32</f>
        <v>0.52027297360617364</v>
      </c>
      <c r="I29" s="521">
        <f>SK_1!W32</f>
        <v>1.754455087655038E-3</v>
      </c>
      <c r="J29" s="521">
        <f>SK_1!AC32</f>
        <v>0.51522104586698259</v>
      </c>
      <c r="K29" s="521">
        <f>SK_1!AD32</f>
        <v>3.2974726515360153E-3</v>
      </c>
      <c r="L29" s="521">
        <f>SK_1!AL32</f>
        <v>0.47882718278666081</v>
      </c>
      <c r="M29" s="521">
        <f>SK_1!AM32</f>
        <v>3.9691335731857791E-2</v>
      </c>
      <c r="N29" s="521">
        <f>SK_1!AT32</f>
        <v>0.5224146440069295</v>
      </c>
      <c r="O29" s="521">
        <f>SK_1!AU32</f>
        <v>3.8961254884108953E-3</v>
      </c>
    </row>
    <row r="30" spans="3:15" x14ac:dyDescent="0.3">
      <c r="C30" s="519">
        <f>SK_1!E33</f>
        <v>27</v>
      </c>
      <c r="D30" s="520">
        <f>SK_1!F33</f>
        <v>20.339999999999996</v>
      </c>
      <c r="E30" s="521">
        <f>SK_1!G33</f>
        <v>0.5</v>
      </c>
      <c r="F30" s="521">
        <f>SK_1!N33</f>
        <v>0.40551643855098174</v>
      </c>
      <c r="G30" s="521">
        <f>SK_1!O33</f>
        <v>9.4483561449018261E-2</v>
      </c>
      <c r="H30" s="521">
        <f>SK_1!V33</f>
        <v>0.47422052470222326</v>
      </c>
      <c r="I30" s="521">
        <f>SK_1!W33</f>
        <v>2.5779475297776744E-2</v>
      </c>
      <c r="J30" s="521">
        <f>SK_1!AC33</f>
        <v>0.46626197246130074</v>
      </c>
      <c r="K30" s="521">
        <f>SK_1!AD33</f>
        <v>3.3738027538699256E-2</v>
      </c>
      <c r="L30" s="521">
        <f>SK_1!AL33</f>
        <v>0.4342565749050018</v>
      </c>
      <c r="M30" s="521">
        <f>SK_1!AM33</f>
        <v>6.5743425094998198E-2</v>
      </c>
      <c r="N30" s="521">
        <f>SK_1!AT33</f>
        <v>0.47635804817279814</v>
      </c>
      <c r="O30" s="521">
        <f>SK_1!AU33</f>
        <v>2.3641951827201857E-2</v>
      </c>
    </row>
    <row r="31" spans="3:15" x14ac:dyDescent="0.3">
      <c r="C31" s="519">
        <f>SK_1!E34</f>
        <v>28</v>
      </c>
      <c r="D31" s="520">
        <f>SK_1!F34</f>
        <v>20.000999999999998</v>
      </c>
      <c r="E31" s="521">
        <f>SK_1!G34</f>
        <v>0.48148148148148151</v>
      </c>
      <c r="F31" s="521">
        <f>SK_1!N34</f>
        <v>0.3896990980559743</v>
      </c>
      <c r="G31" s="521">
        <f>SK_1!O34</f>
        <v>9.1782383425507208E-2</v>
      </c>
      <c r="H31" s="521">
        <f>SK_1!V34</f>
        <v>0.45647951715581536</v>
      </c>
      <c r="I31" s="521">
        <f>SK_1!W34</f>
        <v>2.5001964325666148E-2</v>
      </c>
      <c r="J31" s="521">
        <f>SK_1!AC34</f>
        <v>0.44744039218126958</v>
      </c>
      <c r="K31" s="521">
        <f>SK_1!AD34</f>
        <v>3.4041089300211935E-2</v>
      </c>
      <c r="L31" s="521">
        <f>SK_1!AL34</f>
        <v>0.41752081835918353</v>
      </c>
      <c r="M31" s="521">
        <f>SK_1!AM34</f>
        <v>6.3960663122297978E-2</v>
      </c>
      <c r="N31" s="521">
        <f>SK_1!AT34</f>
        <v>0.45859250789357509</v>
      </c>
      <c r="O31" s="521">
        <f>SK_1!AU34</f>
        <v>2.2888973587906425E-2</v>
      </c>
    </row>
    <row r="32" spans="3:15" x14ac:dyDescent="0.3">
      <c r="C32" s="519">
        <f>SK_1!E35</f>
        <v>29</v>
      </c>
      <c r="D32" s="520">
        <f>SK_1!F35</f>
        <v>19.774999999999999</v>
      </c>
      <c r="E32" s="521">
        <f>SK_1!G35</f>
        <v>0.46296296296296291</v>
      </c>
      <c r="F32" s="521">
        <f>SK_1!N35</f>
        <v>0.37925305791027591</v>
      </c>
      <c r="G32" s="521">
        <f>SK_1!O35</f>
        <v>8.3709905052686995E-2</v>
      </c>
      <c r="H32" s="521">
        <f>SK_1!V35</f>
        <v>0.44453113072632888</v>
      </c>
      <c r="I32" s="521">
        <f>SK_1!W35</f>
        <v>1.8431832236634027E-2</v>
      </c>
      <c r="J32" s="521">
        <f>SK_1!AC35</f>
        <v>0.43478205363075773</v>
      </c>
      <c r="K32" s="521">
        <f>SK_1!AD35</f>
        <v>2.8180909332205184E-2</v>
      </c>
      <c r="L32" s="521">
        <f>SK_1!AL35</f>
        <v>0.40638098116737897</v>
      </c>
      <c r="M32" s="521">
        <f>SK_1!AM35</f>
        <v>5.6581981795583935E-2</v>
      </c>
      <c r="N32" s="521">
        <f>SK_1!AT35</f>
        <v>0.44662042570249688</v>
      </c>
      <c r="O32" s="521">
        <f>SK_1!AU35</f>
        <v>1.6342537260466028E-2</v>
      </c>
    </row>
    <row r="33" spans="3:15" x14ac:dyDescent="0.3">
      <c r="C33" s="519">
        <f>SK_1!E36</f>
        <v>30</v>
      </c>
      <c r="D33" s="520">
        <f>SK_1!F36</f>
        <v>18.870999999999999</v>
      </c>
      <c r="E33" s="521">
        <f>SK_1!G36</f>
        <v>0.44444444444444442</v>
      </c>
      <c r="F33" s="521">
        <f>SK_1!N36</f>
        <v>0.3384115925761797</v>
      </c>
      <c r="G33" s="521">
        <f>SK_1!O36</f>
        <v>0.10603285186826472</v>
      </c>
      <c r="H33" s="521">
        <f>SK_1!V36</f>
        <v>0.3959754075790573</v>
      </c>
      <c r="I33" s="521">
        <f>SK_1!W36</f>
        <v>4.8469036865387116E-2</v>
      </c>
      <c r="J33" s="521">
        <f>SK_1!AC36</f>
        <v>0.38353772032309563</v>
      </c>
      <c r="K33" s="521">
        <f>SK_1!AD36</f>
        <v>6.0906724121348788E-2</v>
      </c>
      <c r="L33" s="521">
        <f>SK_1!AL36</f>
        <v>0.36215682739345983</v>
      </c>
      <c r="M33" s="521">
        <f>SK_1!AM36</f>
        <v>8.2287617050984585E-2</v>
      </c>
      <c r="N33" s="521">
        <f>SK_1!AT36</f>
        <v>0.39790946768880414</v>
      </c>
      <c r="O33" s="521">
        <f>SK_1!AU36</f>
        <v>4.6534976755640278E-2</v>
      </c>
    </row>
    <row r="34" spans="3:15" x14ac:dyDescent="0.3">
      <c r="C34" s="519">
        <f>SK_1!E37</f>
        <v>31</v>
      </c>
      <c r="D34" s="520">
        <f>SK_1!F37</f>
        <v>18.645</v>
      </c>
      <c r="E34" s="521">
        <f>SK_1!G37</f>
        <v>0.42592592592592593</v>
      </c>
      <c r="F34" s="521">
        <f>SK_1!N37</f>
        <v>0.32847002841486056</v>
      </c>
      <c r="G34" s="521">
        <f>SK_1!O37</f>
        <v>9.745589751106537E-2</v>
      </c>
      <c r="H34" s="521">
        <f>SK_1!V37</f>
        <v>0.38369885529705283</v>
      </c>
      <c r="I34" s="521">
        <f>SK_1!W37</f>
        <v>4.2227070628873098E-2</v>
      </c>
      <c r="J34" s="521">
        <f>SK_1!AC37</f>
        <v>0.37064333881020511</v>
      </c>
      <c r="K34" s="521">
        <f>SK_1!AD37</f>
        <v>5.5282587115720816E-2</v>
      </c>
      <c r="L34" s="521">
        <f>SK_1!AL37</f>
        <v>0.35123033034659934</v>
      </c>
      <c r="M34" s="521">
        <f>SK_1!AM37</f>
        <v>7.469559557932659E-2</v>
      </c>
      <c r="N34" s="521">
        <f>SK_1!AT37</f>
        <v>0.3855788583544405</v>
      </c>
      <c r="O34" s="521">
        <f>SK_1!AU37</f>
        <v>4.0347067571485429E-2</v>
      </c>
    </row>
    <row r="35" spans="3:15" x14ac:dyDescent="0.3">
      <c r="C35" s="519">
        <f>SK_1!E38</f>
        <v>32</v>
      </c>
      <c r="D35" s="520">
        <f>SK_1!F38</f>
        <v>18.645</v>
      </c>
      <c r="E35" s="521">
        <f>SK_1!G38</f>
        <v>0.40740740740740744</v>
      </c>
      <c r="F35" s="521">
        <f>SK_1!N38</f>
        <v>0.32847002841486056</v>
      </c>
      <c r="G35" s="521">
        <f>SK_1!O38</f>
        <v>7.8937378992546881E-2</v>
      </c>
      <c r="H35" s="521">
        <f>SK_1!V38</f>
        <v>0.38369885529705283</v>
      </c>
      <c r="I35" s="521">
        <f>SK_1!W38</f>
        <v>2.3708552110354608E-2</v>
      </c>
      <c r="J35" s="521">
        <f>SK_1!AC38</f>
        <v>0.37064333881020511</v>
      </c>
      <c r="K35" s="521">
        <f>SK_1!AD38</f>
        <v>3.6764068597202326E-2</v>
      </c>
      <c r="L35" s="521">
        <f>SK_1!AL38</f>
        <v>0.35123033034659934</v>
      </c>
      <c r="M35" s="521">
        <f>SK_1!AM38</f>
        <v>5.61770770608081E-2</v>
      </c>
      <c r="N35" s="521">
        <f>SK_1!AT38</f>
        <v>0.3855788583544405</v>
      </c>
      <c r="O35" s="521">
        <f>SK_1!AU38</f>
        <v>2.1828549052966939E-2</v>
      </c>
    </row>
    <row r="36" spans="3:15" x14ac:dyDescent="0.3">
      <c r="C36" s="519">
        <f>SK_1!E39</f>
        <v>33</v>
      </c>
      <c r="D36" s="520">
        <f>SK_1!F39</f>
        <v>17.853999999999999</v>
      </c>
      <c r="E36" s="521">
        <f>SK_1!G39</f>
        <v>0.38888888888888884</v>
      </c>
      <c r="F36" s="521">
        <f>SK_1!N39</f>
        <v>0.2946568261317104</v>
      </c>
      <c r="G36" s="521">
        <f>SK_1!O39</f>
        <v>9.4232062757178436E-2</v>
      </c>
      <c r="H36" s="521">
        <f>SK_1!V39</f>
        <v>0.34056336239036245</v>
      </c>
      <c r="I36" s="521">
        <f>SK_1!W39</f>
        <v>4.8325526498526394E-2</v>
      </c>
      <c r="J36" s="521">
        <f>SK_1!AC39</f>
        <v>0.32559305898846685</v>
      </c>
      <c r="K36" s="521">
        <f>SK_1!AD39</f>
        <v>6.3295829900421985E-2</v>
      </c>
      <c r="L36" s="521">
        <f>SK_1!AL39</f>
        <v>0.31359939681664184</v>
      </c>
      <c r="M36" s="521">
        <f>SK_1!AM39</f>
        <v>7.5289492072247E-2</v>
      </c>
      <c r="N36" s="521">
        <f>SK_1!AT39</f>
        <v>0.34220728068582423</v>
      </c>
      <c r="O36" s="521">
        <f>SK_1!AU39</f>
        <v>4.6681608203064606E-2</v>
      </c>
    </row>
    <row r="37" spans="3:15" x14ac:dyDescent="0.3">
      <c r="C37" s="519">
        <f>SK_1!E40</f>
        <v>34</v>
      </c>
      <c r="D37" s="520">
        <f>SK_1!F40</f>
        <v>17.740999999999996</v>
      </c>
      <c r="E37" s="521">
        <f>SK_1!G40</f>
        <v>0.37037037037037035</v>
      </c>
      <c r="F37" s="521">
        <f>SK_1!N40</f>
        <v>0.2899602752750593</v>
      </c>
      <c r="G37" s="521">
        <f>SK_1!O40</f>
        <v>8.0410095095311052E-2</v>
      </c>
      <c r="H37" s="521">
        <f>SK_1!V40</f>
        <v>0.33440177383575886</v>
      </c>
      <c r="I37" s="521">
        <f>SK_1!W40</f>
        <v>3.5968596534611486E-2</v>
      </c>
      <c r="J37" s="521">
        <f>SK_1!AC40</f>
        <v>0.31919510189769945</v>
      </c>
      <c r="K37" s="521">
        <f>SK_1!AD40</f>
        <v>5.1175268472670898E-2</v>
      </c>
      <c r="L37" s="521">
        <f>SK_1!AL40</f>
        <v>0.30831625820938141</v>
      </c>
      <c r="M37" s="521">
        <f>SK_1!AM40</f>
        <v>6.2054112160988939E-2</v>
      </c>
      <c r="N37" s="521">
        <f>SK_1!AT40</f>
        <v>0.33600623756143261</v>
      </c>
      <c r="O37" s="521">
        <f>SK_1!AU40</f>
        <v>3.4364132808937742E-2</v>
      </c>
    </row>
    <row r="38" spans="3:15" x14ac:dyDescent="0.3">
      <c r="C38" s="519">
        <f>SK_1!E41</f>
        <v>35</v>
      </c>
      <c r="D38" s="520">
        <f>SK_1!F41</f>
        <v>17.288999999999998</v>
      </c>
      <c r="E38" s="521">
        <f>SK_1!G41</f>
        <v>0.35185185185185186</v>
      </c>
      <c r="F38" s="521">
        <f>SK_1!N41</f>
        <v>0.27153396459037726</v>
      </c>
      <c r="G38" s="521">
        <f>SK_1!O41</f>
        <v>8.0317887261474596E-2</v>
      </c>
      <c r="H38" s="521">
        <f>SK_1!V41</f>
        <v>0.30982711723985379</v>
      </c>
      <c r="I38" s="521">
        <f>SK_1!W41</f>
        <v>4.2024734611998071E-2</v>
      </c>
      <c r="J38" s="521">
        <f>SK_1!AC41</f>
        <v>0.29378457001478214</v>
      </c>
      <c r="K38" s="521">
        <f>SK_1!AD41</f>
        <v>5.8067281837069717E-2</v>
      </c>
      <c r="L38" s="521">
        <f>SK_1!AL41</f>
        <v>0.28745960918522784</v>
      </c>
      <c r="M38" s="521">
        <f>SK_1!AM41</f>
        <v>6.4392242666624022E-2</v>
      </c>
      <c r="N38" s="521">
        <f>SK_1!AT41</f>
        <v>0.31126048016240299</v>
      </c>
      <c r="O38" s="521">
        <f>SK_1!AU41</f>
        <v>4.0591371689448874E-2</v>
      </c>
    </row>
    <row r="39" spans="3:15" x14ac:dyDescent="0.3">
      <c r="C39" s="519">
        <f>SK_1!E42</f>
        <v>36</v>
      </c>
      <c r="D39" s="520">
        <f>SK_1!F42</f>
        <v>17.288999999999998</v>
      </c>
      <c r="E39" s="521">
        <f>SK_1!G42</f>
        <v>0.33333333333333337</v>
      </c>
      <c r="F39" s="521">
        <f>SK_1!N42</f>
        <v>0.27153396459037726</v>
      </c>
      <c r="G39" s="521">
        <f>SK_1!O42</f>
        <v>6.1799368742956107E-2</v>
      </c>
      <c r="H39" s="521">
        <f>SK_1!V42</f>
        <v>0.30982711723985379</v>
      </c>
      <c r="I39" s="521">
        <f>SK_1!W42</f>
        <v>2.3506216093479582E-2</v>
      </c>
      <c r="J39" s="521">
        <f>SK_1!AC42</f>
        <v>0.29378457001478214</v>
      </c>
      <c r="K39" s="521">
        <f>SK_1!AD42</f>
        <v>3.9548763318551228E-2</v>
      </c>
      <c r="L39" s="521">
        <f>SK_1!AL42</f>
        <v>0.28745960918522784</v>
      </c>
      <c r="M39" s="521">
        <f>SK_1!AM42</f>
        <v>4.5873724148105532E-2</v>
      </c>
      <c r="N39" s="521">
        <f>SK_1!AT42</f>
        <v>0.31126048016240299</v>
      </c>
      <c r="O39" s="521">
        <f>SK_1!AU42</f>
        <v>2.2072853170930384E-2</v>
      </c>
    </row>
    <row r="40" spans="3:15" x14ac:dyDescent="0.3">
      <c r="C40" s="519">
        <f>SK_1!E43</f>
        <v>37</v>
      </c>
      <c r="D40" s="520">
        <f>SK_1!F43</f>
        <v>17.175999999999998</v>
      </c>
      <c r="E40" s="521">
        <f>SK_1!G43</f>
        <v>0.31481481481481477</v>
      </c>
      <c r="F40" s="521">
        <f>SK_1!N43</f>
        <v>0.2670202117377114</v>
      </c>
      <c r="G40" s="521">
        <f>SK_1!O43</f>
        <v>4.779460307710337E-2</v>
      </c>
      <c r="H40" s="521">
        <f>SK_1!V43</f>
        <v>0.30371062087655687</v>
      </c>
      <c r="I40" s="521">
        <f>SK_1!W43</f>
        <v>1.11041939382579E-2</v>
      </c>
      <c r="J40" s="521">
        <f>SK_1!AC43</f>
        <v>0.28748847712822795</v>
      </c>
      <c r="K40" s="521">
        <f>SK_1!AD43</f>
        <v>2.7326337686586821E-2</v>
      </c>
      <c r="L40" s="521">
        <f>SK_1!AL43</f>
        <v>0.2823197956895398</v>
      </c>
      <c r="M40" s="521">
        <f>SK_1!AM43</f>
        <v>3.2495019125274971E-2</v>
      </c>
      <c r="N40" s="521">
        <f>SK_1!AT43</f>
        <v>0.30509806183942301</v>
      </c>
      <c r="O40" s="521">
        <f>SK_1!AU43</f>
        <v>9.7167529753917625E-3</v>
      </c>
    </row>
    <row r="41" spans="3:15" x14ac:dyDescent="0.3">
      <c r="C41" s="519">
        <f>SK_1!E44</f>
        <v>38</v>
      </c>
      <c r="D41" s="520">
        <f>SK_1!F44</f>
        <v>17.062999999999999</v>
      </c>
      <c r="E41" s="521">
        <f>SK_1!G44</f>
        <v>0.29629629629629628</v>
      </c>
      <c r="F41" s="521">
        <f>SK_1!N44</f>
        <v>0.26254466532526882</v>
      </c>
      <c r="G41" s="521">
        <f>SK_1!O44</f>
        <v>3.3751630971027458E-2</v>
      </c>
      <c r="H41" s="521">
        <f>SK_1!V44</f>
        <v>0.29760878213214492</v>
      </c>
      <c r="I41" s="521">
        <f>SK_1!W44</f>
        <v>1.3124858358486424E-3</v>
      </c>
      <c r="J41" s="521">
        <f>SK_1!AC44</f>
        <v>0.28121954497221002</v>
      </c>
      <c r="K41" s="521">
        <f>SK_1!AD44</f>
        <v>1.5076751324086257E-2</v>
      </c>
      <c r="L41" s="521">
        <f>SK_1!AL44</f>
        <v>0.2772118322071741</v>
      </c>
      <c r="M41" s="521">
        <f>SK_1!AM44</f>
        <v>1.9084464089122177E-2</v>
      </c>
      <c r="N41" s="521">
        <f>SK_1!AT44</f>
        <v>0.298949121808264</v>
      </c>
      <c r="O41" s="521">
        <f>SK_1!AU44</f>
        <v>2.6528255119677158E-3</v>
      </c>
    </row>
    <row r="42" spans="3:15" x14ac:dyDescent="0.3">
      <c r="C42" s="519">
        <f>SK_1!E45</f>
        <v>39</v>
      </c>
      <c r="D42" s="520">
        <f>SK_1!F45</f>
        <v>16.724</v>
      </c>
      <c r="E42" s="521">
        <f>SK_1!G45</f>
        <v>0.27777777777777779</v>
      </c>
      <c r="F42" s="521">
        <f>SK_1!N45</f>
        <v>0.24935222831508164</v>
      </c>
      <c r="G42" s="521">
        <f>SK_1!O45</f>
        <v>2.8425549462696154E-2</v>
      </c>
      <c r="H42" s="521">
        <f>SK_1!V45</f>
        <v>0.27941070976841575</v>
      </c>
      <c r="I42" s="521">
        <f>SK_1!W45</f>
        <v>1.6329319906379647E-3</v>
      </c>
      <c r="J42" s="521">
        <f>SK_1!AC45</f>
        <v>0.26259870450939105</v>
      </c>
      <c r="K42" s="521">
        <f>SK_1!AD45</f>
        <v>1.5179073268386745E-2</v>
      </c>
      <c r="L42" s="521">
        <f>SK_1!AL45</f>
        <v>0.26208931348277209</v>
      </c>
      <c r="M42" s="521">
        <f>SK_1!AM45</f>
        <v>1.56884642950057E-2</v>
      </c>
      <c r="N42" s="521">
        <f>SK_1!AT45</f>
        <v>0.28060313047081947</v>
      </c>
      <c r="O42" s="521">
        <f>SK_1!AU45</f>
        <v>2.8253526930416828E-3</v>
      </c>
    </row>
    <row r="43" spans="3:15" x14ac:dyDescent="0.3">
      <c r="C43" s="519">
        <f>SK_1!E46</f>
        <v>40</v>
      </c>
      <c r="D43" s="520">
        <f>SK_1!F46</f>
        <v>15.932999999999998</v>
      </c>
      <c r="E43" s="521">
        <f>SK_1!G46</f>
        <v>0.2592592592592593</v>
      </c>
      <c r="F43" s="521">
        <f>SK_1!N46</f>
        <v>0.21999245554944119</v>
      </c>
      <c r="G43" s="521">
        <f>SK_1!O46</f>
        <v>3.926680370981811E-2</v>
      </c>
      <c r="H43" s="521">
        <f>SK_1!V46</f>
        <v>0.23783311637284812</v>
      </c>
      <c r="I43" s="521">
        <f>SK_1!W46</f>
        <v>2.1426142886411176E-2</v>
      </c>
      <c r="J43" s="521">
        <f>SK_1!AC46</f>
        <v>0.22053120612403487</v>
      </c>
      <c r="K43" s="521">
        <f>SK_1!AD46</f>
        <v>3.8728053135224427E-2</v>
      </c>
      <c r="L43" s="521">
        <f>SK_1!AL46</f>
        <v>0.22810421293947225</v>
      </c>
      <c r="M43" s="521">
        <f>SK_1!AM46</f>
        <v>3.115504631978705E-2</v>
      </c>
      <c r="N43" s="521">
        <f>SK_1!AT46</f>
        <v>0.23864881149203629</v>
      </c>
      <c r="O43" s="521">
        <f>SK_1!AU46</f>
        <v>2.0610447767223011E-2</v>
      </c>
    </row>
    <row r="44" spans="3:15" x14ac:dyDescent="0.3">
      <c r="C44" s="519">
        <f>SK_1!E47</f>
        <v>41</v>
      </c>
      <c r="D44" s="520">
        <f>SK_1!F47</f>
        <v>15.254999999999999</v>
      </c>
      <c r="E44" s="521">
        <f>SK_1!G47</f>
        <v>0.2407407407407407</v>
      </c>
      <c r="F44" s="521">
        <f>SK_1!N47</f>
        <v>0.19648658978061787</v>
      </c>
      <c r="G44" s="521">
        <f>SK_1!O47</f>
        <v>4.4254150960122834E-2</v>
      </c>
      <c r="H44" s="521">
        <f>SK_1!V47</f>
        <v>0.20361064848851348</v>
      </c>
      <c r="I44" s="521">
        <f>SK_1!W47</f>
        <v>3.7130092252227215E-2</v>
      </c>
      <c r="J44" s="521">
        <f>SK_1!AC47</f>
        <v>0.18648629169838657</v>
      </c>
      <c r="K44" s="521">
        <f>SK_1!AD47</f>
        <v>5.425444904235413E-2</v>
      </c>
      <c r="L44" s="521">
        <f>SK_1!AL47</f>
        <v>0.20061259919856991</v>
      </c>
      <c r="M44" s="521">
        <f>SK_1!AM47</f>
        <v>4.0128141542170787E-2</v>
      </c>
      <c r="N44" s="521">
        <f>SK_1!AT47</f>
        <v>0.20408201229396425</v>
      </c>
      <c r="O44" s="521">
        <f>SK_1!AU47</f>
        <v>3.6658728446776451E-2</v>
      </c>
    </row>
    <row r="45" spans="3:15" x14ac:dyDescent="0.3">
      <c r="C45" s="519">
        <f>SK_1!E48</f>
        <v>42</v>
      </c>
      <c r="D45" s="520">
        <f>SK_1!F48</f>
        <v>14.011999999999997</v>
      </c>
      <c r="E45" s="521">
        <f>SK_1!G48</f>
        <v>0.22222222222222221</v>
      </c>
      <c r="F45" s="521">
        <f>SK_1!N48</f>
        <v>0.15754318679825413</v>
      </c>
      <c r="G45" s="521">
        <f>SK_1!O48</f>
        <v>6.4679035423968079E-2</v>
      </c>
      <c r="H45" s="521">
        <f>SK_1!V48</f>
        <v>0.14581586699100191</v>
      </c>
      <c r="I45" s="521">
        <f>SK_1!W48</f>
        <v>7.6406355231220302E-2</v>
      </c>
      <c r="J45" s="521">
        <f>SK_1!AC48</f>
        <v>0.13047127775294248</v>
      </c>
      <c r="K45" s="521">
        <f>SK_1!AD48</f>
        <v>9.1750944469279727E-2</v>
      </c>
      <c r="L45" s="521">
        <f>SK_1!AL48</f>
        <v>0.15471325487159029</v>
      </c>
      <c r="M45" s="521">
        <f>SK_1!AM48</f>
        <v>6.7508967350631915E-2</v>
      </c>
      <c r="N45" s="521">
        <f>SK_1!AT48</f>
        <v>0.14566567082790111</v>
      </c>
      <c r="O45" s="521">
        <f>SK_1!AU48</f>
        <v>7.6556551394321104E-2</v>
      </c>
    </row>
    <row r="46" spans="3:15" x14ac:dyDescent="0.3">
      <c r="C46" s="519">
        <f>SK_1!E49</f>
        <v>43</v>
      </c>
      <c r="D46" s="520">
        <f>SK_1!F49</f>
        <v>13.898999999999999</v>
      </c>
      <c r="E46" s="521">
        <f>SK_1!G49</f>
        <v>0.20370370370370372</v>
      </c>
      <c r="F46" s="521">
        <f>SK_1!N49</f>
        <v>0.15427332109491829</v>
      </c>
      <c r="G46" s="521">
        <f>SK_1!O49</f>
        <v>4.9430382608785434E-2</v>
      </c>
      <c r="H46" s="521">
        <f>SK_1!V49</f>
        <v>0.14095104859634325</v>
      </c>
      <c r="I46" s="521">
        <f>SK_1!W49</f>
        <v>6.2752655107360472E-2</v>
      </c>
      <c r="J46" s="521">
        <f>SK_1!AC49</f>
        <v>0.12585536840928985</v>
      </c>
      <c r="K46" s="521">
        <f>SK_1!AD49</f>
        <v>7.7848335294413873E-2</v>
      </c>
      <c r="L46" s="521">
        <f>SK_1!AL49</f>
        <v>0.15085165843647108</v>
      </c>
      <c r="M46" s="521">
        <f>SK_1!AM49</f>
        <v>5.2852045267232639E-2</v>
      </c>
      <c r="N46" s="521">
        <f>SK_1!AT49</f>
        <v>0.14074826091201401</v>
      </c>
      <c r="O46" s="521">
        <f>SK_1!AU49</f>
        <v>6.2955442791689714E-2</v>
      </c>
    </row>
    <row r="47" spans="3:15" x14ac:dyDescent="0.3">
      <c r="C47" s="519">
        <f>SK_1!E50</f>
        <v>44</v>
      </c>
      <c r="D47" s="520">
        <f>SK_1!F50</f>
        <v>13.898999999999999</v>
      </c>
      <c r="E47" s="521">
        <f>SK_1!G50</f>
        <v>0.18518518518518523</v>
      </c>
      <c r="F47" s="521">
        <f>SK_1!N50</f>
        <v>0.15427332109491829</v>
      </c>
      <c r="G47" s="521">
        <f>SK_1!O50</f>
        <v>3.0911864090266944E-2</v>
      </c>
      <c r="H47" s="521">
        <f>SK_1!V50</f>
        <v>0.14095104859634325</v>
      </c>
      <c r="I47" s="521">
        <f>SK_1!W50</f>
        <v>4.4234136588841982E-2</v>
      </c>
      <c r="J47" s="521">
        <f>SK_1!AC50</f>
        <v>0.12585536840928985</v>
      </c>
      <c r="K47" s="521">
        <f>SK_1!AD50</f>
        <v>5.9329816775895383E-2</v>
      </c>
      <c r="L47" s="521">
        <f>SK_1!AL50</f>
        <v>0.15085165843647108</v>
      </c>
      <c r="M47" s="521">
        <f>SK_1!AM50</f>
        <v>3.4333526748714149E-2</v>
      </c>
      <c r="N47" s="521">
        <f>SK_1!AT50</f>
        <v>0.14074826091201401</v>
      </c>
      <c r="O47" s="521">
        <f>SK_1!AU50</f>
        <v>4.4436924273171224E-2</v>
      </c>
    </row>
    <row r="48" spans="3:15" x14ac:dyDescent="0.3">
      <c r="C48" s="519">
        <f>SK_1!E51</f>
        <v>45</v>
      </c>
      <c r="D48" s="520">
        <f>SK_1!F51</f>
        <v>13.898999999999999</v>
      </c>
      <c r="E48" s="521">
        <f>SK_1!G51</f>
        <v>0.16666666666666663</v>
      </c>
      <c r="F48" s="521">
        <f>SK_1!N51</f>
        <v>0.15427332109491829</v>
      </c>
      <c r="G48" s="521">
        <f>SK_1!O51</f>
        <v>1.2393345571748343E-2</v>
      </c>
      <c r="H48" s="521">
        <f>SK_1!V51</f>
        <v>0.14095104859634325</v>
      </c>
      <c r="I48" s="521">
        <f>SK_1!W51</f>
        <v>2.5715618070323382E-2</v>
      </c>
      <c r="J48" s="521">
        <f>SK_1!AC51</f>
        <v>0.12585536840928985</v>
      </c>
      <c r="K48" s="521">
        <f>SK_1!AD51</f>
        <v>4.0811298257376782E-2</v>
      </c>
      <c r="L48" s="521">
        <f>SK_1!AL51</f>
        <v>0.15085165843647108</v>
      </c>
      <c r="M48" s="521">
        <f>SK_1!AM51</f>
        <v>1.5815008230195549E-2</v>
      </c>
      <c r="N48" s="521">
        <f>SK_1!AT51</f>
        <v>0.14074826091201401</v>
      </c>
      <c r="O48" s="521">
        <f>SK_1!AU51</f>
        <v>2.5918405754652624E-2</v>
      </c>
    </row>
    <row r="49" spans="3:15" x14ac:dyDescent="0.3">
      <c r="C49" s="519">
        <f>SK_1!E52</f>
        <v>46</v>
      </c>
      <c r="D49" s="520">
        <f>SK_1!F52</f>
        <v>13.220999999999998</v>
      </c>
      <c r="E49" s="521">
        <f>SK_1!G52</f>
        <v>0.14814814814814814</v>
      </c>
      <c r="F49" s="521">
        <f>SK_1!N52</f>
        <v>0.13560167984945037</v>
      </c>
      <c r="G49" s="521">
        <f>SK_1!O52</f>
        <v>1.2546468298697766E-2</v>
      </c>
      <c r="H49" s="521">
        <f>SK_1!V52</f>
        <v>0.11335220791751313</v>
      </c>
      <c r="I49" s="521">
        <f>SK_1!W52</f>
        <v>3.4795940230635009E-2</v>
      </c>
      <c r="J49" s="521">
        <f>SK_1!AC52</f>
        <v>0.10000653275164061</v>
      </c>
      <c r="K49" s="521">
        <f>SK_1!AD52</f>
        <v>4.8141615396507534E-2</v>
      </c>
      <c r="L49" s="521">
        <f>SK_1!AL52</f>
        <v>0.12882802726743728</v>
      </c>
      <c r="M49" s="521">
        <f>SK_1!AM52</f>
        <v>1.9320120880710862E-2</v>
      </c>
      <c r="N49" s="521">
        <f>SK_1!AT52</f>
        <v>0.11285934623126244</v>
      </c>
      <c r="O49" s="521">
        <f>SK_1!AU52</f>
        <v>3.5288801916885701E-2</v>
      </c>
    </row>
    <row r="50" spans="3:15" x14ac:dyDescent="0.3">
      <c r="C50" s="519">
        <f>SK_1!E53</f>
        <v>47</v>
      </c>
      <c r="D50" s="520">
        <f>SK_1!F53</f>
        <v>12.203999999999999</v>
      </c>
      <c r="E50" s="521">
        <f>SK_1!G53</f>
        <v>0.12962962962962965</v>
      </c>
      <c r="F50" s="521">
        <f>SK_1!N53</f>
        <v>0.11060359653262661</v>
      </c>
      <c r="G50" s="521">
        <f>SK_1!O53</f>
        <v>1.9026033097003042E-2</v>
      </c>
      <c r="H50" s="521">
        <f>SK_1!V53</f>
        <v>7.7586042279177786E-2</v>
      </c>
      <c r="I50" s="521">
        <f>SK_1!W53</f>
        <v>5.2043587350451864E-2</v>
      </c>
      <c r="J50" s="521">
        <f>SK_1!AC53</f>
        <v>6.7471352133781762E-2</v>
      </c>
      <c r="K50" s="521">
        <f>SK_1!AD53</f>
        <v>6.2158277495847888E-2</v>
      </c>
      <c r="L50" s="521">
        <f>SK_1!AL53</f>
        <v>9.9569060472896348E-2</v>
      </c>
      <c r="M50" s="521">
        <f>SK_1!AM53</f>
        <v>3.0060569156733302E-2</v>
      </c>
      <c r="N50" s="521">
        <f>SK_1!AT53</f>
        <v>7.6770132723715204E-2</v>
      </c>
      <c r="O50" s="521">
        <f>SK_1!AU53</f>
        <v>5.2859496905914446E-2</v>
      </c>
    </row>
    <row r="51" spans="3:15" x14ac:dyDescent="0.3">
      <c r="C51" s="519">
        <f>SK_1!E54</f>
        <v>48</v>
      </c>
      <c r="D51" s="520">
        <f>SK_1!F54</f>
        <v>12.090999999999998</v>
      </c>
      <c r="E51" s="521">
        <f>SK_1!G54</f>
        <v>0.11111111111111116</v>
      </c>
      <c r="F51" s="521">
        <f>SK_1!N54</f>
        <v>0.10804460408941344</v>
      </c>
      <c r="G51" s="521">
        <f>SK_1!O54</f>
        <v>3.066507021697723E-3</v>
      </c>
      <c r="H51" s="521">
        <f>SK_1!V54</f>
        <v>7.4059653066524123E-2</v>
      </c>
      <c r="I51" s="521">
        <f>SK_1!W54</f>
        <v>3.7051458044587038E-2</v>
      </c>
      <c r="J51" s="521">
        <f>SK_1!AC54</f>
        <v>6.4329621815902072E-2</v>
      </c>
      <c r="K51" s="521">
        <f>SK_1!AD54</f>
        <v>4.6781489295209089E-2</v>
      </c>
      <c r="L51" s="521">
        <f>SK_1!AL54</f>
        <v>9.6601329941920777E-2</v>
      </c>
      <c r="M51" s="521">
        <f>SK_1!AM54</f>
        <v>1.4509781169190383E-2</v>
      </c>
      <c r="N51" s="521">
        <f>SK_1!AT54</f>
        <v>7.321802600407451E-2</v>
      </c>
      <c r="O51" s="521">
        <f>SK_1!AU54</f>
        <v>3.789308510703665E-2</v>
      </c>
    </row>
    <row r="52" spans="3:15" x14ac:dyDescent="0.3">
      <c r="C52" s="519">
        <f>SK_1!E55</f>
        <v>49</v>
      </c>
      <c r="D52" s="520">
        <f>SK_1!F55</f>
        <v>12.090999999999998</v>
      </c>
      <c r="E52" s="521">
        <f>SK_1!G55</f>
        <v>9.259259259259256E-2</v>
      </c>
      <c r="F52" s="521">
        <f>SK_1!N55</f>
        <v>0.10804460408941344</v>
      </c>
      <c r="G52" s="521">
        <f>SK_1!O55</f>
        <v>1.5452011496820878E-2</v>
      </c>
      <c r="H52" s="521">
        <f>SK_1!V55</f>
        <v>7.4059653066524123E-2</v>
      </c>
      <c r="I52" s="521">
        <f>SK_1!W55</f>
        <v>1.8532939526068437E-2</v>
      </c>
      <c r="J52" s="521">
        <f>SK_1!AC55</f>
        <v>6.4329621815902072E-2</v>
      </c>
      <c r="K52" s="521">
        <f>SK_1!AD55</f>
        <v>2.8262970776690488E-2</v>
      </c>
      <c r="L52" s="521">
        <f>SK_1!AL55</f>
        <v>9.6601329941920777E-2</v>
      </c>
      <c r="M52" s="521">
        <f>SK_1!AM55</f>
        <v>4.0087373493282175E-3</v>
      </c>
      <c r="N52" s="521">
        <f>SK_1!AT55</f>
        <v>7.321802600407451E-2</v>
      </c>
      <c r="O52" s="521">
        <f>SK_1!AU55</f>
        <v>1.937456658851805E-2</v>
      </c>
    </row>
    <row r="53" spans="3:15" x14ac:dyDescent="0.3">
      <c r="C53" s="519">
        <f>SK_1!E56</f>
        <v>50</v>
      </c>
      <c r="D53" s="520">
        <f>SK_1!F56</f>
        <v>11.413</v>
      </c>
      <c r="E53" s="521">
        <f>SK_1!G56</f>
        <v>7.407407407407407E-2</v>
      </c>
      <c r="F53" s="521">
        <f>SK_1!N56</f>
        <v>9.3582300515154468E-2</v>
      </c>
      <c r="G53" s="521">
        <f>SK_1!O56</f>
        <v>1.9508226441080398E-2</v>
      </c>
      <c r="H53" s="521">
        <f>SK_1!V56</f>
        <v>5.485601564776043E-2</v>
      </c>
      <c r="I53" s="521">
        <f>SK_1!W56</f>
        <v>1.921805842631364E-2</v>
      </c>
      <c r="J53" s="521">
        <f>SK_1!AC56</f>
        <v>4.7450241309761103E-2</v>
      </c>
      <c r="K53" s="521">
        <f>SK_1!AD56</f>
        <v>2.6623832764312967E-2</v>
      </c>
      <c r="L53" s="521">
        <f>SK_1!AL56</f>
        <v>7.9981254496340193E-2</v>
      </c>
      <c r="M53" s="521">
        <f>SK_1!AM56</f>
        <v>5.9071804222661228E-3</v>
      </c>
      <c r="N53" s="521">
        <f>SK_1!AT56</f>
        <v>5.3907836877375659E-2</v>
      </c>
      <c r="O53" s="521">
        <f>SK_1!AU56</f>
        <v>2.0166237196698411E-2</v>
      </c>
    </row>
    <row r="54" spans="3:15" x14ac:dyDescent="0.3">
      <c r="C54" s="519">
        <f>SK_1!E57</f>
        <v>51</v>
      </c>
      <c r="D54" s="520">
        <f>SK_1!F57</f>
        <v>11.299999999999999</v>
      </c>
      <c r="E54" s="521">
        <f>SK_1!G57</f>
        <v>5.555555555555558E-2</v>
      </c>
      <c r="F54" s="521">
        <f>SK_1!N57</f>
        <v>9.131786732680372E-2</v>
      </c>
      <c r="G54" s="521">
        <f>SK_1!O57</f>
        <v>3.576231177124814E-2</v>
      </c>
      <c r="H54" s="521">
        <f>SK_1!V57</f>
        <v>5.198350105289886E-2</v>
      </c>
      <c r="I54" s="521">
        <f>SK_1!W57</f>
        <v>3.5720545026567199E-3</v>
      </c>
      <c r="J54" s="521">
        <f>SK_1!AC57</f>
        <v>4.4959981933353495E-2</v>
      </c>
      <c r="K54" s="521">
        <f>SK_1!AD57</f>
        <v>1.0595573622202085E-2</v>
      </c>
      <c r="L54" s="521">
        <f>SK_1!AL57</f>
        <v>7.7407530331589591E-2</v>
      </c>
      <c r="M54" s="521">
        <f>SK_1!AM57</f>
        <v>2.1851974776034011E-2</v>
      </c>
      <c r="N54" s="521">
        <f>SK_1!AT57</f>
        <v>5.1025701284745352E-2</v>
      </c>
      <c r="O54" s="521">
        <f>SK_1!AU57</f>
        <v>4.5298542708102282E-3</v>
      </c>
    </row>
    <row r="55" spans="3:15" x14ac:dyDescent="0.3">
      <c r="C55" s="519">
        <f>SK_1!E58</f>
        <v>52</v>
      </c>
      <c r="D55" s="520">
        <f>SK_1!F58</f>
        <v>11.186999999999999</v>
      </c>
      <c r="E55" s="521">
        <f>SK_1!G58</f>
        <v>3.703703703703709E-2</v>
      </c>
      <c r="F55" s="521">
        <f>SK_1!N58</f>
        <v>8.9094312574650489E-2</v>
      </c>
      <c r="G55" s="521">
        <f>SK_1!O58</f>
        <v>5.2057275537613398E-2</v>
      </c>
      <c r="H55" s="521">
        <f>SK_1!V58</f>
        <v>4.9204750427327318E-2</v>
      </c>
      <c r="I55" s="521">
        <f>SK_1!W58</f>
        <v>1.2167713390290227E-2</v>
      </c>
      <c r="J55" s="521">
        <f>SK_1!AC58</f>
        <v>4.2559817439895606E-2</v>
      </c>
      <c r="K55" s="521">
        <f>SK_1!AD58</f>
        <v>5.5227804028585153E-3</v>
      </c>
      <c r="L55" s="521">
        <f>SK_1!AL58</f>
        <v>7.4889312748055686E-2</v>
      </c>
      <c r="M55" s="521">
        <f>SK_1!AM58</f>
        <v>3.7852275711018596E-2</v>
      </c>
      <c r="N55" s="521">
        <f>SK_1!AT58</f>
        <v>4.8239664344896044E-2</v>
      </c>
      <c r="O55" s="521">
        <f>SK_1!AU58</f>
        <v>1.1202627307858953E-2</v>
      </c>
    </row>
    <row r="56" spans="3:15" x14ac:dyDescent="0.3">
      <c r="C56" s="523">
        <f>SK_1!E59</f>
        <v>53</v>
      </c>
      <c r="D56" s="520">
        <f>SK_1!F59</f>
        <v>11.186999999999999</v>
      </c>
      <c r="E56" s="521">
        <f>SK_1!G59</f>
        <v>1.851851851851849E-2</v>
      </c>
      <c r="F56" s="521">
        <f>SK_1!N59</f>
        <v>8.9094312574650489E-2</v>
      </c>
      <c r="G56" s="521">
        <f>SK_1!O59</f>
        <v>7.0575794056131999E-2</v>
      </c>
      <c r="H56" s="521">
        <f>SK_1!V59</f>
        <v>4.9204750427327318E-2</v>
      </c>
      <c r="I56" s="521">
        <f>SK_1!W59</f>
        <v>3.0686231908808828E-2</v>
      </c>
      <c r="J56" s="521">
        <f>SK_1!AC59</f>
        <v>4.2559817439895606E-2</v>
      </c>
      <c r="K56" s="521">
        <f>SK_1!AD59</f>
        <v>2.4041298921377116E-2</v>
      </c>
      <c r="L56" s="521">
        <f>SK_1!AL59</f>
        <v>7.4889312748055686E-2</v>
      </c>
      <c r="M56" s="521">
        <f>SK_1!AM59</f>
        <v>5.6370794229537197E-2</v>
      </c>
      <c r="N56" s="521">
        <f>SK_1!AT59</f>
        <v>4.8239664344896044E-2</v>
      </c>
      <c r="O56" s="521">
        <f>SK_1!AU59</f>
        <v>2.9721145826377554E-2</v>
      </c>
    </row>
    <row r="57" spans="3:15" x14ac:dyDescent="0.3">
      <c r="C57" s="527" t="str">
        <f>SK_1!E60</f>
        <v/>
      </c>
      <c r="D57" s="528" t="str">
        <f>[1]SK_1!F60</f>
        <v/>
      </c>
      <c r="E57" s="529" t="str">
        <f>[1]SK_1!G60</f>
        <v/>
      </c>
      <c r="F57" s="529" t="str">
        <f>[1]SK_1!N60</f>
        <v/>
      </c>
      <c r="G57" s="529" t="str">
        <f>[1]SK_1!O60</f>
        <v/>
      </c>
      <c r="H57" s="529" t="str">
        <f>[1]SK_1!V60</f>
        <v/>
      </c>
      <c r="I57" s="529" t="str">
        <f>[1]SK_1!W60</f>
        <v/>
      </c>
      <c r="J57" s="529" t="str">
        <f>[1]SK_1!AC60</f>
        <v/>
      </c>
      <c r="K57" s="529" t="str">
        <f>[1]SK_1!AD60</f>
        <v/>
      </c>
      <c r="L57" s="529" t="str">
        <f>[1]SK_1!AL60</f>
        <v/>
      </c>
      <c r="M57" s="529" t="str">
        <f>[1]SK_1!AM60</f>
        <v/>
      </c>
      <c r="N57" s="529" t="str">
        <f>[1]SK_1!AT60</f>
        <v/>
      </c>
      <c r="O57" s="529" t="str">
        <f>[1]SK_1!AU60</f>
        <v/>
      </c>
    </row>
    <row r="58" spans="3:15" x14ac:dyDescent="0.3">
      <c r="C58" s="524" t="str">
        <f>SK_1!E61</f>
        <v/>
      </c>
      <c r="D58" s="525" t="str">
        <f>[1]SK_1!F61</f>
        <v/>
      </c>
      <c r="E58" s="526" t="str">
        <f>[1]SK_1!G61</f>
        <v/>
      </c>
      <c r="F58" s="526" t="str">
        <f>[1]SK_1!N61</f>
        <v/>
      </c>
      <c r="G58" s="526" t="str">
        <f>[1]SK_1!O61</f>
        <v/>
      </c>
      <c r="H58" s="526" t="str">
        <f>[1]SK_1!V61</f>
        <v/>
      </c>
      <c r="I58" s="526" t="str">
        <f>[1]SK_1!W61</f>
        <v/>
      </c>
      <c r="J58" s="526" t="str">
        <f>[1]SK_1!AC61</f>
        <v/>
      </c>
      <c r="K58" s="526" t="str">
        <f>[1]SK_1!AD61</f>
        <v/>
      </c>
      <c r="L58" s="526" t="str">
        <f>[1]SK_1!AL61</f>
        <v/>
      </c>
      <c r="M58" s="526" t="str">
        <f>[1]SK_1!AM61</f>
        <v/>
      </c>
      <c r="N58" s="526" t="str">
        <f>[1]SK_1!AT61</f>
        <v/>
      </c>
      <c r="O58" s="526" t="str">
        <f>[1]SK_1!AU61</f>
        <v/>
      </c>
    </row>
    <row r="59" spans="3:15" x14ac:dyDescent="0.3">
      <c r="C59" s="524" t="str">
        <f>SK_1!E62</f>
        <v/>
      </c>
      <c r="D59" s="525" t="str">
        <f>[1]SK_1!F62</f>
        <v/>
      </c>
      <c r="E59" s="526" t="str">
        <f>[1]SK_1!G62</f>
        <v/>
      </c>
      <c r="F59" s="526" t="str">
        <f>[1]SK_1!N62</f>
        <v/>
      </c>
      <c r="G59" s="526" t="str">
        <f>[1]SK_1!O62</f>
        <v/>
      </c>
      <c r="H59" s="526" t="str">
        <f>[1]SK_1!V62</f>
        <v/>
      </c>
      <c r="I59" s="526" t="str">
        <f>[1]SK_1!W62</f>
        <v/>
      </c>
      <c r="J59" s="526" t="str">
        <f>[1]SK_1!AC62</f>
        <v/>
      </c>
      <c r="K59" s="526" t="str">
        <f>[1]SK_1!AD62</f>
        <v/>
      </c>
      <c r="L59" s="526" t="str">
        <f>[1]SK_1!AL62</f>
        <v/>
      </c>
      <c r="M59" s="526" t="str">
        <f>[1]SK_1!AM62</f>
        <v/>
      </c>
      <c r="N59" s="526" t="str">
        <f>[1]SK_1!AT62</f>
        <v/>
      </c>
      <c r="O59" s="526" t="str">
        <f>[1]SK_1!AU62</f>
        <v/>
      </c>
    </row>
    <row r="60" spans="3:15" x14ac:dyDescent="0.3">
      <c r="C60" s="524" t="str">
        <f>SK_1!E63</f>
        <v/>
      </c>
      <c r="D60" s="525" t="str">
        <f>[1]SK_1!F63</f>
        <v/>
      </c>
      <c r="E60" s="526" t="str">
        <f>[1]SK_1!G63</f>
        <v/>
      </c>
      <c r="F60" s="526" t="str">
        <f>[1]SK_1!N63</f>
        <v/>
      </c>
      <c r="G60" s="526" t="str">
        <f>[1]SK_1!O63</f>
        <v/>
      </c>
      <c r="H60" s="526" t="str">
        <f>[1]SK_1!V63</f>
        <v/>
      </c>
      <c r="I60" s="526" t="str">
        <f>[1]SK_1!W63</f>
        <v/>
      </c>
      <c r="J60" s="526" t="str">
        <f>[1]SK_1!AC63</f>
        <v/>
      </c>
      <c r="K60" s="526" t="str">
        <f>[1]SK_1!AD63</f>
        <v/>
      </c>
      <c r="L60" s="526" t="str">
        <f>[1]SK_1!AL63</f>
        <v/>
      </c>
      <c r="M60" s="526" t="str">
        <f>[1]SK_1!AM63</f>
        <v/>
      </c>
      <c r="N60" s="526" t="str">
        <f>[1]SK_1!AT63</f>
        <v/>
      </c>
      <c r="O60" s="526" t="str">
        <f>[1]SK_1!AU63</f>
        <v/>
      </c>
    </row>
    <row r="61" spans="3:15" x14ac:dyDescent="0.3">
      <c r="C61" s="524" t="str">
        <f>[1]SK_1!E64</f>
        <v/>
      </c>
      <c r="D61" s="525" t="str">
        <f>[1]SK_1!F64</f>
        <v/>
      </c>
      <c r="E61" s="526" t="str">
        <f>[1]SK_1!G64</f>
        <v/>
      </c>
      <c r="F61" s="526" t="str">
        <f>[1]SK_1!N64</f>
        <v/>
      </c>
      <c r="G61" s="526" t="str">
        <f>[1]SK_1!O64</f>
        <v/>
      </c>
      <c r="H61" s="526" t="str">
        <f>[1]SK_1!V64</f>
        <v/>
      </c>
      <c r="I61" s="526" t="str">
        <f>[1]SK_1!W64</f>
        <v/>
      </c>
      <c r="J61" s="526" t="str">
        <f>[1]SK_1!AC64</f>
        <v/>
      </c>
      <c r="K61" s="526" t="str">
        <f>[1]SK_1!AD64</f>
        <v/>
      </c>
      <c r="L61" s="526" t="str">
        <f>[1]SK_1!AL64</f>
        <v/>
      </c>
      <c r="M61" s="526" t="str">
        <f>[1]SK_1!AM64</f>
        <v/>
      </c>
      <c r="N61" s="526" t="str">
        <f>[1]SK_1!AT64</f>
        <v/>
      </c>
      <c r="O61" s="526" t="str">
        <f>[1]SK_1!AU64</f>
        <v/>
      </c>
    </row>
    <row r="62" spans="3:15" x14ac:dyDescent="0.3">
      <c r="C62" s="524" t="str">
        <f>[1]SK_1!E65</f>
        <v/>
      </c>
      <c r="D62" s="525" t="str">
        <f>[1]SK_1!F65</f>
        <v/>
      </c>
      <c r="E62" s="526" t="str">
        <f>[1]SK_1!G65</f>
        <v/>
      </c>
      <c r="F62" s="526" t="str">
        <f>[1]SK_1!N65</f>
        <v/>
      </c>
      <c r="G62" s="526" t="str">
        <f>[1]SK_1!O65</f>
        <v/>
      </c>
      <c r="H62" s="526" t="str">
        <f>[1]SK_1!V65</f>
        <v/>
      </c>
      <c r="I62" s="526" t="str">
        <f>[1]SK_1!W65</f>
        <v/>
      </c>
      <c r="J62" s="526" t="str">
        <f>[1]SK_1!AC65</f>
        <v/>
      </c>
      <c r="K62" s="526" t="str">
        <f>[1]SK_1!AD65</f>
        <v/>
      </c>
      <c r="L62" s="526" t="str">
        <f>[1]SK_1!AL65</f>
        <v/>
      </c>
      <c r="M62" s="526" t="str">
        <f>[1]SK_1!AM65</f>
        <v/>
      </c>
      <c r="N62" s="526" t="str">
        <f>[1]SK_1!AT65</f>
        <v/>
      </c>
      <c r="O62" s="526" t="str">
        <f>[1]SK_1!AU65</f>
        <v/>
      </c>
    </row>
    <row r="63" spans="3:15" x14ac:dyDescent="0.3">
      <c r="C63" s="524" t="str">
        <f>[1]SK_1!E66</f>
        <v/>
      </c>
      <c r="D63" s="525" t="str">
        <f>[1]SK_1!F66</f>
        <v/>
      </c>
      <c r="E63" s="526" t="str">
        <f>[1]SK_1!G66</f>
        <v/>
      </c>
      <c r="F63" s="526" t="str">
        <f>[1]SK_1!N66</f>
        <v/>
      </c>
      <c r="G63" s="526" t="str">
        <f>[1]SK_1!O66</f>
        <v/>
      </c>
      <c r="H63" s="526" t="str">
        <f>[1]SK_1!V66</f>
        <v/>
      </c>
      <c r="I63" s="526" t="str">
        <f>[1]SK_1!W66</f>
        <v/>
      </c>
      <c r="J63" s="526" t="str">
        <f>[1]SK_1!AC66</f>
        <v/>
      </c>
      <c r="K63" s="526" t="str">
        <f>[1]SK_1!AD66</f>
        <v/>
      </c>
      <c r="L63" s="526" t="str">
        <f>[1]SK_1!AL66</f>
        <v/>
      </c>
      <c r="M63" s="526" t="str">
        <f>[1]SK_1!AM66</f>
        <v/>
      </c>
      <c r="N63" s="526" t="str">
        <f>[1]SK_1!AT66</f>
        <v/>
      </c>
      <c r="O63" s="526" t="str">
        <f>[1]SK_1!AU66</f>
        <v/>
      </c>
    </row>
    <row r="64" spans="3:15" x14ac:dyDescent="0.3">
      <c r="C64" s="524" t="str">
        <f>[1]SK_1!E67</f>
        <v/>
      </c>
      <c r="D64" s="525" t="str">
        <f>[1]SK_1!F67</f>
        <v/>
      </c>
      <c r="E64" s="526" t="str">
        <f>[1]SK_1!G67</f>
        <v/>
      </c>
      <c r="F64" s="526" t="str">
        <f>[1]SK_1!N67</f>
        <v/>
      </c>
      <c r="G64" s="526" t="str">
        <f>[1]SK_1!O67</f>
        <v/>
      </c>
      <c r="H64" s="526" t="str">
        <f>[1]SK_1!V67</f>
        <v/>
      </c>
      <c r="I64" s="526" t="str">
        <f>[1]SK_1!W67</f>
        <v/>
      </c>
      <c r="J64" s="526" t="str">
        <f>[1]SK_1!AC67</f>
        <v/>
      </c>
      <c r="K64" s="526" t="str">
        <f>[1]SK_1!AD67</f>
        <v/>
      </c>
      <c r="L64" s="526" t="str">
        <f>[1]SK_1!AL67</f>
        <v/>
      </c>
      <c r="M64" s="526" t="str">
        <f>[1]SK_1!AM67</f>
        <v/>
      </c>
      <c r="N64" s="526" t="str">
        <f>[1]SK_1!AT67</f>
        <v/>
      </c>
      <c r="O64" s="526" t="str">
        <f>[1]SK_1!AU67</f>
        <v/>
      </c>
    </row>
  </sheetData>
  <mergeCells count="8">
    <mergeCell ref="L2:M2"/>
    <mergeCell ref="N2:O2"/>
    <mergeCell ref="C2:C3"/>
    <mergeCell ref="D2:D3"/>
    <mergeCell ref="E2:E3"/>
    <mergeCell ref="F2:G2"/>
    <mergeCell ref="H2:I2"/>
    <mergeCell ref="J2:K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0070C0"/>
  </sheetPr>
  <dimension ref="A1:BL134"/>
  <sheetViews>
    <sheetView showGridLines="0" view="pageBreakPreview" topLeftCell="AK1" zoomScaleNormal="70" zoomScaleSheetLayoutView="100" zoomScalePageLayoutView="60" workbookViewId="0">
      <selection activeCell="AO8" sqref="AO8:AS19"/>
    </sheetView>
  </sheetViews>
  <sheetFormatPr baseColWidth="10" defaultRowHeight="14.4" x14ac:dyDescent="0.3"/>
  <cols>
    <col min="1" max="1" width="15.6640625" customWidth="1"/>
    <col min="2" max="3" width="14.6640625" customWidth="1"/>
    <col min="4" max="4" width="6.6640625" bestFit="1" customWidth="1"/>
    <col min="5" max="5" width="9.33203125" bestFit="1" customWidth="1"/>
    <col min="6" max="6" width="16.44140625" bestFit="1" customWidth="1"/>
    <col min="7" max="8" width="14.6640625" customWidth="1"/>
    <col min="9" max="9" width="15.6640625" customWidth="1"/>
    <col min="10" max="15" width="14.6640625" customWidth="1"/>
    <col min="16" max="16" width="15.6640625" customWidth="1"/>
    <col min="17" max="22" width="14.6640625" customWidth="1"/>
    <col min="23" max="23" width="15.6640625" customWidth="1"/>
    <col min="24" max="25" width="14.6640625" customWidth="1"/>
    <col min="26" max="26" width="15.44140625" bestFit="1" customWidth="1"/>
    <col min="27" max="27" width="14.6640625" hidden="1" customWidth="1"/>
    <col min="28" max="30" width="14.6640625" customWidth="1"/>
    <col min="31" max="31" width="15.6640625" customWidth="1"/>
    <col min="32" max="34" width="14.6640625" customWidth="1"/>
    <col min="35" max="35" width="14.6640625" hidden="1" customWidth="1"/>
    <col min="36" max="38" width="14.6640625" customWidth="1"/>
    <col min="39" max="39" width="8.5546875" customWidth="1"/>
    <col min="40" max="40" width="22.33203125" customWidth="1"/>
    <col min="41" max="44" width="15.6640625" customWidth="1"/>
    <col min="45" max="45" width="18.44140625" customWidth="1"/>
    <col min="46" max="46" width="7.88671875" customWidth="1"/>
    <col min="47" max="47" width="5.6640625" customWidth="1"/>
    <col min="48" max="48" width="10.88671875" bestFit="1" customWidth="1"/>
    <col min="49" max="49" width="9.6640625" customWidth="1"/>
    <col min="50" max="50" width="4.6640625" customWidth="1"/>
    <col min="51" max="51" width="5.6640625" customWidth="1"/>
    <col min="52" max="52" width="10.88671875" bestFit="1" customWidth="1"/>
    <col min="53" max="53" width="9.6640625" customWidth="1"/>
    <col min="54" max="54" width="4.6640625" customWidth="1"/>
    <col min="55" max="55" width="5.6640625" customWidth="1"/>
    <col min="56" max="57" width="9.6640625" customWidth="1"/>
    <col min="58" max="58" width="7.44140625" customWidth="1"/>
    <col min="59" max="59" width="23" customWidth="1"/>
    <col min="60" max="60" width="13" customWidth="1"/>
    <col min="61" max="61" width="14.6640625" customWidth="1"/>
    <col min="62" max="62" width="15.33203125" customWidth="1"/>
  </cols>
  <sheetData>
    <row r="1" spans="1:64" x14ac:dyDescent="0.3">
      <c r="A1" s="536" t="s">
        <v>77</v>
      </c>
      <c r="B1" s="536"/>
      <c r="C1" s="536"/>
      <c r="D1" s="536"/>
      <c r="E1" s="536"/>
      <c r="F1" s="536"/>
      <c r="G1" s="536"/>
      <c r="H1" s="536"/>
      <c r="I1" s="536" t="s">
        <v>77</v>
      </c>
      <c r="J1" s="536"/>
      <c r="K1" s="536"/>
      <c r="L1" s="536"/>
      <c r="M1" s="536"/>
      <c r="N1" s="536"/>
      <c r="O1" s="536"/>
      <c r="P1" s="536" t="s">
        <v>77</v>
      </c>
      <c r="Q1" s="536"/>
      <c r="R1" s="536"/>
      <c r="S1" s="536"/>
      <c r="T1" s="536"/>
      <c r="U1" s="536"/>
      <c r="V1" s="536"/>
      <c r="W1" s="536" t="s">
        <v>77</v>
      </c>
      <c r="X1" s="536"/>
      <c r="Y1" s="536"/>
      <c r="Z1" s="536"/>
      <c r="AA1" s="536"/>
      <c r="AB1" s="536"/>
      <c r="AC1" s="536"/>
      <c r="AD1" s="536"/>
      <c r="AE1" s="536" t="s">
        <v>77</v>
      </c>
      <c r="AF1" s="536"/>
      <c r="AG1" s="536"/>
      <c r="AH1" s="536"/>
      <c r="AI1" s="536"/>
      <c r="AJ1" s="536"/>
      <c r="AK1" s="536"/>
      <c r="AL1" s="536"/>
      <c r="AM1" s="533" t="s">
        <v>77</v>
      </c>
      <c r="AN1" s="533"/>
      <c r="AO1" s="533"/>
      <c r="AP1" s="533"/>
      <c r="AQ1" s="533"/>
      <c r="AR1" s="533"/>
      <c r="AS1" s="533"/>
      <c r="AT1" s="533"/>
      <c r="AU1" s="533" t="s">
        <v>451</v>
      </c>
      <c r="AV1" s="533"/>
      <c r="AW1" s="533"/>
      <c r="AX1" s="533"/>
      <c r="AY1" s="533"/>
      <c r="AZ1" s="533"/>
      <c r="BA1" s="533"/>
      <c r="BB1" s="533"/>
      <c r="BC1" s="533"/>
      <c r="BD1" s="533"/>
      <c r="BE1" s="533"/>
      <c r="BF1" s="533"/>
      <c r="BG1" s="533"/>
    </row>
    <row r="2" spans="1:64" x14ac:dyDescent="0.3">
      <c r="AX2" s="17"/>
      <c r="AY2" s="17"/>
    </row>
    <row r="3" spans="1:64" ht="15.6" x14ac:dyDescent="0.3">
      <c r="A3" s="29" t="s">
        <v>46</v>
      </c>
      <c r="B3" s="29"/>
      <c r="C3" s="32"/>
      <c r="D3" s="32"/>
      <c r="E3" s="32"/>
      <c r="I3" s="29" t="s">
        <v>49</v>
      </c>
      <c r="J3" s="29"/>
      <c r="K3" s="29"/>
      <c r="P3" s="29" t="s">
        <v>50</v>
      </c>
      <c r="R3" s="29"/>
      <c r="V3" s="29"/>
      <c r="W3" s="29" t="s">
        <v>51</v>
      </c>
      <c r="Y3" s="29"/>
      <c r="AE3" s="29" t="s">
        <v>52</v>
      </c>
      <c r="AF3" s="29"/>
      <c r="AG3" s="29"/>
      <c r="AH3" s="29"/>
      <c r="AI3" s="29"/>
      <c r="AJ3" s="29"/>
      <c r="AK3" s="29"/>
      <c r="AM3" s="29" t="s">
        <v>54</v>
      </c>
      <c r="AN3" s="33"/>
      <c r="AO3" s="33"/>
      <c r="AP3" s="33"/>
      <c r="AQ3" s="33"/>
      <c r="AU3" s="31" t="s">
        <v>452</v>
      </c>
      <c r="AV3" s="29"/>
      <c r="AW3" s="29"/>
      <c r="AX3" s="17"/>
      <c r="AY3" s="17"/>
    </row>
    <row r="4" spans="1:64" ht="15.75" customHeight="1" thickBot="1" x14ac:dyDescent="0.35">
      <c r="B4" s="16"/>
      <c r="C4" s="16"/>
      <c r="D4" s="16"/>
      <c r="E4" s="16"/>
      <c r="F4" s="16"/>
      <c r="G4" s="16"/>
      <c r="H4" s="16"/>
      <c r="I4" s="16"/>
    </row>
    <row r="5" spans="1:64" ht="17.100000000000001" customHeight="1" thickBot="1" x14ac:dyDescent="0.35">
      <c r="B5" s="94" t="s">
        <v>463</v>
      </c>
      <c r="C5" s="95" t="s">
        <v>47</v>
      </c>
      <c r="D5" s="95" t="s">
        <v>462</v>
      </c>
      <c r="E5" s="95" t="s">
        <v>48</v>
      </c>
      <c r="F5" s="95" t="s">
        <v>465</v>
      </c>
      <c r="H5" s="48"/>
      <c r="J5" s="94" t="s">
        <v>463</v>
      </c>
      <c r="K5" s="95" t="s">
        <v>47</v>
      </c>
      <c r="L5" s="95" t="s">
        <v>462</v>
      </c>
      <c r="M5" s="95" t="s">
        <v>464</v>
      </c>
      <c r="N5" s="95" t="s">
        <v>465</v>
      </c>
      <c r="Q5" s="94" t="s">
        <v>463</v>
      </c>
      <c r="R5" s="95" t="s">
        <v>47</v>
      </c>
      <c r="S5" s="95" t="s">
        <v>465</v>
      </c>
      <c r="X5" s="94" t="s">
        <v>463</v>
      </c>
      <c r="Y5" s="96" t="s">
        <v>47</v>
      </c>
      <c r="Z5" s="96" t="s">
        <v>466</v>
      </c>
      <c r="AA5" s="96" t="s">
        <v>2</v>
      </c>
      <c r="AB5" s="96" t="s">
        <v>27</v>
      </c>
      <c r="AC5" s="96" t="s">
        <v>465</v>
      </c>
      <c r="AF5" s="94" t="s">
        <v>463</v>
      </c>
      <c r="AG5" s="95" t="s">
        <v>47</v>
      </c>
      <c r="AH5" s="95" t="s">
        <v>466</v>
      </c>
      <c r="AI5" s="95" t="s">
        <v>2</v>
      </c>
      <c r="AJ5" s="95" t="s">
        <v>27</v>
      </c>
      <c r="AK5" s="95" t="s">
        <v>464</v>
      </c>
      <c r="AL5" s="96" t="s">
        <v>465</v>
      </c>
    </row>
    <row r="6" spans="1:64" ht="15.75" customHeight="1" x14ac:dyDescent="0.3">
      <c r="B6" s="53">
        <v>2</v>
      </c>
      <c r="C6" s="41">
        <f>(B6-1)/B6</f>
        <v>0.5</v>
      </c>
      <c r="D6" s="41">
        <f>NORMSINV(C6)</f>
        <v>0</v>
      </c>
      <c r="E6" s="54">
        <f>SK_1!$K$69+SK_1!$K$70*P24h_1!D6</f>
        <v>22.316433962264139</v>
      </c>
      <c r="F6" s="55">
        <f>E6</f>
        <v>22.316433962264139</v>
      </c>
      <c r="G6" s="479">
        <f>1/B6</f>
        <v>0.5</v>
      </c>
      <c r="H6" s="479"/>
      <c r="I6" s="40"/>
      <c r="J6" s="53">
        <f>B6</f>
        <v>2</v>
      </c>
      <c r="K6" s="41">
        <f>(J6-1)/J6</f>
        <v>0.5</v>
      </c>
      <c r="L6" s="41">
        <f>NORMSINV(K6)</f>
        <v>0</v>
      </c>
      <c r="M6" s="41">
        <f>SK_1!$S$69+SK_1!$S$70*P24h_1!L6</f>
        <v>1.3189239211636365</v>
      </c>
      <c r="N6" s="55">
        <f>10^M6</f>
        <v>20.841257581466909</v>
      </c>
      <c r="Q6" s="53">
        <f>B6</f>
        <v>2</v>
      </c>
      <c r="R6" s="41">
        <f>(Q6-1)/Q6</f>
        <v>0.5</v>
      </c>
      <c r="S6" s="55">
        <f>((LN(-1*LN(R6))*-1)/SK_1!$AF$70)+SK_1!$AF$71</f>
        <v>20.958933578516763</v>
      </c>
      <c r="T6" s="49"/>
      <c r="U6" s="49"/>
      <c r="V6" s="18"/>
      <c r="X6" s="74">
        <f>B6</f>
        <v>2</v>
      </c>
      <c r="Y6" s="89">
        <f>1/X6</f>
        <v>0.5</v>
      </c>
      <c r="Z6" s="223">
        <f>SQRT(LN(1/(Y6^2)))</f>
        <v>1.1774100225154747</v>
      </c>
      <c r="AA6" s="224">
        <f>Z6-(2.515517+0.802853*Z6+0.010328*Z6^2)/(1+1.432788*Z6+0.189269*Z6*Z6+0.001308*Z6^3)</f>
        <v>-1.0100667546808495E-7</v>
      </c>
      <c r="AB6" s="223">
        <f t="shared" ref="AB6:AB21" si="0">AA6+$AA$63*((AA6^2)-1)+(($AA$63^2)/3)*((AA6^3)-6*AA6)-($AA$63^3)*((AA6^2)-1)+(AA6*($AA$63^4))+(($AA$63^5)/3)</f>
        <v>-7.7203695366989511E-2</v>
      </c>
      <c r="AC6" s="90">
        <f>IF(SK_1!$AM$91=FALSE,"-",SK_1!$AI$69+SK_1!$AI$70*P24h_1!AB6)</f>
        <v>21.678240799372862</v>
      </c>
      <c r="AF6" s="53">
        <f>B6</f>
        <v>2</v>
      </c>
      <c r="AG6" s="41">
        <f>1/AF6</f>
        <v>0.5</v>
      </c>
      <c r="AH6" s="138">
        <f>SQRT(LN(1/(AG6^2)))</f>
        <v>1.1774100225154747</v>
      </c>
      <c r="AI6" s="227">
        <f>AH6-(2.515517+0.802853*AH6+0.010328*AH6^2)/(1+1.432788*AH6+0.189269*AH6*AH6+0.001308*AH6^3)</f>
        <v>-1.0100667546808495E-7</v>
      </c>
      <c r="AJ6" s="138">
        <f t="shared" ref="AJ6:AJ21" si="1">AI6+$AI$63*((AI6^2)-1)+(($AI$63^2)/3)*((AI6^3)-6*AI6)-($AI$63^3)*((AI6^2)-1)+(AI6*($AI$63^4))+(($AI$63^5)/3)</f>
        <v>5.390076708376967E-3</v>
      </c>
      <c r="AK6" s="138">
        <f>SK_1!$AQ$69+SK_1!$AQ$70*P24h_1!AJ6</f>
        <v>1.3198052245934664</v>
      </c>
      <c r="AL6" s="90">
        <f>IF(SK_1!$AU$91=FALSE,"-",10^AK6)</f>
        <v>20.883593188994208</v>
      </c>
      <c r="AN6" s="530" t="s">
        <v>53</v>
      </c>
      <c r="AO6" s="531" t="s">
        <v>467</v>
      </c>
      <c r="AP6" s="531"/>
      <c r="AQ6" s="531"/>
      <c r="AR6" s="531"/>
      <c r="AS6" s="531"/>
    </row>
    <row r="7" spans="1:64" x14ac:dyDescent="0.3">
      <c r="B7" s="46">
        <v>5</v>
      </c>
      <c r="C7" s="42">
        <f t="shared" ref="C7:C21" si="2">(B7-1)/B7</f>
        <v>0.8</v>
      </c>
      <c r="D7" s="42">
        <f t="shared" ref="D7:D21" si="3">NORMSINV(C7)</f>
        <v>0.84162123357291474</v>
      </c>
      <c r="E7" s="52">
        <f>SK_1!$K$69+SK_1!$K$70*P24h_1!D7</f>
        <v>29.273573959995453</v>
      </c>
      <c r="F7" s="56">
        <f t="shared" ref="F7:F17" si="4">E7</f>
        <v>29.273573959995453</v>
      </c>
      <c r="G7" s="479">
        <f t="shared" ref="G7:G21" si="5">1/B7</f>
        <v>0.2</v>
      </c>
      <c r="H7" s="479"/>
      <c r="I7" s="40"/>
      <c r="J7" s="46">
        <f t="shared" ref="J7:J21" si="6">B7</f>
        <v>5</v>
      </c>
      <c r="K7" s="42">
        <f t="shared" ref="K7:K21" si="7">(J7-1)/J7</f>
        <v>0.8</v>
      </c>
      <c r="L7" s="42">
        <f t="shared" ref="L7:L21" si="8">NORMSINV(K7)</f>
        <v>0.84162123357291474</v>
      </c>
      <c r="M7" s="42">
        <f>SK_1!$S$69+SK_1!$S$70*P24h_1!L7</f>
        <v>1.4565330350771124</v>
      </c>
      <c r="N7" s="56">
        <f t="shared" ref="N7:N17" si="9">10^M7</f>
        <v>28.610999849993888</v>
      </c>
      <c r="Q7" s="46">
        <f t="shared" ref="Q7:Q21" si="10">B7</f>
        <v>5</v>
      </c>
      <c r="R7" s="42">
        <f t="shared" ref="R7:R21" si="11">(Q7-1)/Q7</f>
        <v>0.8</v>
      </c>
      <c r="S7" s="56">
        <f>((LN(-1*LN(R7))*-1)/SK_1!$AF$70)+SK_1!$AF$71</f>
        <v>28.264438949032247</v>
      </c>
      <c r="T7" s="49"/>
      <c r="U7" s="49"/>
      <c r="V7" s="18"/>
      <c r="X7" s="46">
        <f t="shared" ref="X7:X21" si="12">B7</f>
        <v>5</v>
      </c>
      <c r="Y7" s="42">
        <f t="shared" ref="Y7:Y21" si="13">1/X7</f>
        <v>0.2</v>
      </c>
      <c r="Z7" s="117">
        <f t="shared" ref="Z7:Z21" si="14">SQRT(LN(1/(Y7^2)))</f>
        <v>1.7941225779941015</v>
      </c>
      <c r="AA7" s="225">
        <f t="shared" ref="AA7:AA21" si="15">Z7-(2.515517+0.802853*Z7+0.010328*Z7^2)/(1+1.432788*Z7+0.189269*Z7*Z7+0.001308*Z7^3)</f>
        <v>0.84145671735478367</v>
      </c>
      <c r="AB7" s="117">
        <f t="shared" si="0"/>
        <v>0.80999332440600968</v>
      </c>
      <c r="AC7" s="90">
        <f>IF(SK_1!$AM$91=FALSE,"-",SK_1!$AI$69+SK_1!$AI$70*P24h_1!AB7)</f>
        <v>29.012126430950175</v>
      </c>
      <c r="AF7" s="46">
        <f t="shared" ref="AF7:AF21" si="16">B7</f>
        <v>5</v>
      </c>
      <c r="AG7" s="42">
        <f t="shared" ref="AG7:AG21" si="17">1/AF7</f>
        <v>0.2</v>
      </c>
      <c r="AH7" s="117">
        <f t="shared" ref="AH7:AH21" si="18">SQRT(LN(1/(AG7^2)))</f>
        <v>1.7941225779941015</v>
      </c>
      <c r="AI7" s="103">
        <f t="shared" ref="AI7:AI21" si="19">AH7-(2.515517+0.802853*AH7+0.010328*AH7^2)/(1+1.432788*AH7+0.189269*AH7*AH7+0.001308*AH7^3)</f>
        <v>0.84145671735478367</v>
      </c>
      <c r="AJ7" s="117">
        <f t="shared" si="1"/>
        <v>0.84298725580111988</v>
      </c>
      <c r="AK7" s="117">
        <f>SK_1!$AQ$69+SK_1!$AQ$70*P24h_1!AJ7</f>
        <v>1.456756386272295</v>
      </c>
      <c r="AL7" s="56">
        <f>IF(SK_1!$AU$91=FALSE,"-",10^AK7)</f>
        <v>28.625717846142461</v>
      </c>
      <c r="AN7" s="530"/>
      <c r="AO7" s="416" t="s">
        <v>22</v>
      </c>
      <c r="AP7" s="416" t="s">
        <v>799</v>
      </c>
      <c r="AQ7" s="416" t="s">
        <v>800</v>
      </c>
      <c r="AR7" s="416" t="s">
        <v>23</v>
      </c>
      <c r="AS7" s="416" t="s">
        <v>24</v>
      </c>
    </row>
    <row r="8" spans="1:64" x14ac:dyDescent="0.3">
      <c r="B8" s="46">
        <v>10</v>
      </c>
      <c r="C8" s="42">
        <f t="shared" si="2"/>
        <v>0.9</v>
      </c>
      <c r="D8" s="42">
        <f t="shared" si="3"/>
        <v>1.2815515655446006</v>
      </c>
      <c r="E8" s="52">
        <f>SK_1!$K$69+SK_1!$K$70*P24h_1!D8</f>
        <v>32.910194314477359</v>
      </c>
      <c r="F8" s="56">
        <f t="shared" si="4"/>
        <v>32.910194314477359</v>
      </c>
      <c r="G8" s="479">
        <f t="shared" si="5"/>
        <v>0.1</v>
      </c>
      <c r="H8" s="479"/>
      <c r="I8" s="40"/>
      <c r="J8" s="46">
        <f t="shared" si="6"/>
        <v>10</v>
      </c>
      <c r="K8" s="42">
        <f t="shared" si="7"/>
        <v>0.9</v>
      </c>
      <c r="L8" s="42">
        <f t="shared" si="8"/>
        <v>1.2815515655446006</v>
      </c>
      <c r="M8" s="42">
        <f>SK_1!$S$69+SK_1!$S$70*P24h_1!L8</f>
        <v>1.5284637572967537</v>
      </c>
      <c r="N8" s="56">
        <f t="shared" si="9"/>
        <v>33.764767012389399</v>
      </c>
      <c r="Q8" s="46">
        <f t="shared" si="10"/>
        <v>10</v>
      </c>
      <c r="R8" s="42">
        <f t="shared" si="11"/>
        <v>0.9</v>
      </c>
      <c r="S8" s="56">
        <f>((LN(-1*LN(R8))*-1)/SK_1!$AF$70)+SK_1!$AF$71</f>
        <v>33.101319177310501</v>
      </c>
      <c r="T8" s="49"/>
      <c r="U8" s="49"/>
      <c r="V8" s="18"/>
      <c r="X8" s="46">
        <f t="shared" si="12"/>
        <v>10</v>
      </c>
      <c r="Y8" s="42">
        <f t="shared" si="13"/>
        <v>0.1</v>
      </c>
      <c r="Z8" s="117">
        <f t="shared" si="14"/>
        <v>2.1459660262893472</v>
      </c>
      <c r="AA8" s="225">
        <f t="shared" si="15"/>
        <v>1.2817287565027089</v>
      </c>
      <c r="AB8" s="117">
        <f t="shared" si="0"/>
        <v>1.3201745619257319</v>
      </c>
      <c r="AC8" s="90">
        <f>IF(SK_1!$AM$91=FALSE,"-",SK_1!$AI$69+SK_1!$AI$70*P24h_1!AB8)</f>
        <v>33.229465718568122</v>
      </c>
      <c r="AF8" s="46">
        <f t="shared" si="16"/>
        <v>10</v>
      </c>
      <c r="AG8" s="42">
        <f t="shared" si="17"/>
        <v>0.1</v>
      </c>
      <c r="AH8" s="117">
        <f t="shared" si="18"/>
        <v>2.1459660262893472</v>
      </c>
      <c r="AI8" s="103">
        <f t="shared" si="19"/>
        <v>1.2817287565027089</v>
      </c>
      <c r="AJ8" s="117">
        <f t="shared" si="1"/>
        <v>1.2782097079180661</v>
      </c>
      <c r="AK8" s="117">
        <f>SK_1!$AQ$69+SK_1!$AQ$70*P24h_1!AJ8</f>
        <v>1.5279173475242005</v>
      </c>
      <c r="AL8" s="56">
        <f>IF(SK_1!$AU$91=FALSE,"-",10^AK8)</f>
        <v>33.722312414884307</v>
      </c>
      <c r="AN8" s="43">
        <f>B6</f>
        <v>2</v>
      </c>
      <c r="AO8" s="345">
        <f t="shared" ref="AO8:AO18" si="20">F6</f>
        <v>22.316433962264139</v>
      </c>
      <c r="AP8" s="345">
        <f t="shared" ref="AP8:AP18" si="21">N6</f>
        <v>20.841257581466909</v>
      </c>
      <c r="AQ8" s="345">
        <f t="shared" ref="AQ8:AQ18" si="22">S6</f>
        <v>20.958933578516763</v>
      </c>
      <c r="AR8" s="345">
        <f t="shared" ref="AR8:AR18" si="23">AC6</f>
        <v>21.678240799372862</v>
      </c>
      <c r="AS8" s="345">
        <f t="shared" ref="AS8:AS18" si="24">AL6</f>
        <v>20.883593188994208</v>
      </c>
    </row>
    <row r="9" spans="1:64" x14ac:dyDescent="0.3">
      <c r="B9" s="46">
        <v>20</v>
      </c>
      <c r="C9" s="42">
        <f t="shared" si="2"/>
        <v>0.95</v>
      </c>
      <c r="D9" s="42">
        <f t="shared" si="3"/>
        <v>1.6448536269514715</v>
      </c>
      <c r="E9" s="52">
        <f>SK_1!$K$69+SK_1!$K$70*P24h_1!D9</f>
        <v>35.913378171830693</v>
      </c>
      <c r="F9" s="56">
        <f t="shared" si="4"/>
        <v>35.913378171830693</v>
      </c>
      <c r="G9" s="479">
        <f t="shared" si="5"/>
        <v>0.05</v>
      </c>
      <c r="H9" s="479"/>
      <c r="I9" s="40"/>
      <c r="J9" s="46">
        <f t="shared" si="6"/>
        <v>20</v>
      </c>
      <c r="K9" s="42">
        <f t="shared" si="7"/>
        <v>0.95</v>
      </c>
      <c r="L9" s="42">
        <f t="shared" si="8"/>
        <v>1.6448536269514715</v>
      </c>
      <c r="M9" s="42">
        <f>SK_1!$S$69+SK_1!$S$70*P24h_1!L9</f>
        <v>1.5878653892409735</v>
      </c>
      <c r="N9" s="56">
        <f t="shared" si="9"/>
        <v>38.713763195862036</v>
      </c>
      <c r="Q9" s="46">
        <f t="shared" si="10"/>
        <v>20</v>
      </c>
      <c r="R9" s="42">
        <f t="shared" si="11"/>
        <v>0.95</v>
      </c>
      <c r="S9" s="56">
        <f>((LN(-1*LN(R9))*-1)/SK_1!$AF$70)+SK_1!$AF$71</f>
        <v>37.740970818749503</v>
      </c>
      <c r="T9" s="49"/>
      <c r="U9" s="49"/>
      <c r="V9" s="18"/>
      <c r="X9" s="46">
        <f t="shared" si="12"/>
        <v>20</v>
      </c>
      <c r="Y9" s="42">
        <f t="shared" si="13"/>
        <v>0.05</v>
      </c>
      <c r="Z9" s="117">
        <f t="shared" si="14"/>
        <v>2.4477468306808166</v>
      </c>
      <c r="AA9" s="225">
        <f t="shared" si="15"/>
        <v>1.6452114401438158</v>
      </c>
      <c r="AB9" s="117">
        <f t="shared" si="0"/>
        <v>1.7661427530643321</v>
      </c>
      <c r="AC9" s="90">
        <f>IF(SK_1!$AM$91=FALSE,"-",SK_1!$AI$69+SK_1!$AI$70*P24h_1!AB9)</f>
        <v>36.915997161120472</v>
      </c>
      <c r="AF9" s="46">
        <f t="shared" si="16"/>
        <v>20</v>
      </c>
      <c r="AG9" s="42">
        <f t="shared" si="17"/>
        <v>0.05</v>
      </c>
      <c r="AH9" s="117">
        <f t="shared" si="18"/>
        <v>2.4477468306808166</v>
      </c>
      <c r="AI9" s="103">
        <f t="shared" si="19"/>
        <v>1.6452114401438158</v>
      </c>
      <c r="AJ9" s="117">
        <f t="shared" si="1"/>
        <v>1.6359594377829907</v>
      </c>
      <c r="AK9" s="117">
        <f>SK_1!$AQ$69+SK_1!$AQ$70*P24h_1!AJ9</f>
        <v>1.5864111465940081</v>
      </c>
      <c r="AL9" s="56">
        <f>IF(SK_1!$AU$91=FALSE,"-",10^AK9)</f>
        <v>38.584346282933019</v>
      </c>
      <c r="AN9" s="43">
        <f t="shared" ref="AN9:AN18" si="25">B7</f>
        <v>5</v>
      </c>
      <c r="AO9" s="345">
        <f t="shared" si="20"/>
        <v>29.273573959995453</v>
      </c>
      <c r="AP9" s="345">
        <f t="shared" si="21"/>
        <v>28.610999849993888</v>
      </c>
      <c r="AQ9" s="345">
        <f t="shared" si="22"/>
        <v>28.264438949032247</v>
      </c>
      <c r="AR9" s="345">
        <f t="shared" si="23"/>
        <v>29.012126430950175</v>
      </c>
      <c r="AS9" s="345">
        <f t="shared" si="24"/>
        <v>28.625717846142461</v>
      </c>
      <c r="BH9" s="532"/>
      <c r="BI9" s="532"/>
    </row>
    <row r="10" spans="1:64" x14ac:dyDescent="0.3">
      <c r="B10" s="46">
        <v>25</v>
      </c>
      <c r="C10" s="42">
        <f t="shared" si="2"/>
        <v>0.96</v>
      </c>
      <c r="D10" s="42">
        <f t="shared" si="3"/>
        <v>1.7506860712521695</v>
      </c>
      <c r="E10" s="52">
        <f>SK_1!$K$69+SK_1!$K$70*P24h_1!D10</f>
        <v>36.788226740201878</v>
      </c>
      <c r="F10" s="56">
        <f>E10</f>
        <v>36.788226740201878</v>
      </c>
      <c r="G10" s="479">
        <f t="shared" si="5"/>
        <v>0.04</v>
      </c>
      <c r="H10" s="479"/>
      <c r="I10" s="40"/>
      <c r="J10" s="46">
        <f t="shared" si="6"/>
        <v>25</v>
      </c>
      <c r="K10" s="42">
        <f t="shared" si="7"/>
        <v>0.96</v>
      </c>
      <c r="L10" s="42">
        <f t="shared" si="8"/>
        <v>1.7506860712521695</v>
      </c>
      <c r="M10" s="42">
        <f>SK_1!$S$69+SK_1!$S$70*P24h_1!L10</f>
        <v>1.6051695021869961</v>
      </c>
      <c r="N10" s="56">
        <f>10^M10</f>
        <v>40.287424272579784</v>
      </c>
      <c r="Q10" s="46">
        <f t="shared" si="10"/>
        <v>25</v>
      </c>
      <c r="R10" s="42">
        <f t="shared" si="11"/>
        <v>0.96</v>
      </c>
      <c r="S10" s="56">
        <f>((LN(-1*LN(R10))*-1)/SK_1!$AF$70)+SK_1!$AF$71</f>
        <v>39.212730168060986</v>
      </c>
      <c r="T10" s="49"/>
      <c r="U10" s="49"/>
      <c r="V10" s="18"/>
      <c r="X10" s="46">
        <f t="shared" si="12"/>
        <v>25</v>
      </c>
      <c r="Y10" s="42">
        <f t="shared" si="13"/>
        <v>0.04</v>
      </c>
      <c r="Z10" s="117">
        <f t="shared" si="14"/>
        <v>2.5372724823590391</v>
      </c>
      <c r="AA10" s="225">
        <f t="shared" si="15"/>
        <v>1.751076531101869</v>
      </c>
      <c r="AB10" s="117">
        <f t="shared" si="0"/>
        <v>1.9003354686578406</v>
      </c>
      <c r="AC10" s="90">
        <f>IF(SK_1!$AM$91=FALSE,"-",SK_1!$AI$69+SK_1!$AI$70*P24h_1!AB10)</f>
        <v>38.025281803448721</v>
      </c>
      <c r="AF10" s="46">
        <f t="shared" si="16"/>
        <v>25</v>
      </c>
      <c r="AG10" s="42">
        <f t="shared" si="17"/>
        <v>0.04</v>
      </c>
      <c r="AH10" s="117">
        <f t="shared" si="18"/>
        <v>2.5372724823590391</v>
      </c>
      <c r="AI10" s="103">
        <f t="shared" si="19"/>
        <v>1.751076531101869</v>
      </c>
      <c r="AJ10" s="117">
        <f t="shared" si="1"/>
        <v>1.7398892205082213</v>
      </c>
      <c r="AK10" s="117">
        <f>SK_1!$AQ$69+SK_1!$AQ$70*P24h_1!AJ10</f>
        <v>1.6034041652341444</v>
      </c>
      <c r="AL10" s="56">
        <f>IF(SK_1!$AU$91=FALSE,"-",10^AK10)</f>
        <v>40.123994779525454</v>
      </c>
      <c r="AN10" s="43">
        <f t="shared" si="25"/>
        <v>10</v>
      </c>
      <c r="AO10" s="345">
        <f t="shared" si="20"/>
        <v>32.910194314477359</v>
      </c>
      <c r="AP10" s="345">
        <f t="shared" si="21"/>
        <v>33.764767012389399</v>
      </c>
      <c r="AQ10" s="345">
        <f t="shared" si="22"/>
        <v>33.101319177310501</v>
      </c>
      <c r="AR10" s="345">
        <f t="shared" si="23"/>
        <v>33.229465718568122</v>
      </c>
      <c r="AS10" s="345">
        <f t="shared" si="24"/>
        <v>33.722312414884307</v>
      </c>
      <c r="BH10" s="532"/>
      <c r="BI10" s="532"/>
    </row>
    <row r="11" spans="1:64" x14ac:dyDescent="0.3">
      <c r="B11" s="46">
        <v>50</v>
      </c>
      <c r="C11" s="42">
        <f t="shared" si="2"/>
        <v>0.98</v>
      </c>
      <c r="D11" s="42">
        <f t="shared" si="3"/>
        <v>2.0537489106318221</v>
      </c>
      <c r="E11" s="52">
        <f>SK_1!$K$69+SK_1!$K$70*P24h_1!D11</f>
        <v>39.293451795804685</v>
      </c>
      <c r="F11" s="56">
        <f t="shared" si="4"/>
        <v>39.293451795804685</v>
      </c>
      <c r="G11" s="479">
        <f t="shared" si="5"/>
        <v>0.02</v>
      </c>
      <c r="H11" s="479"/>
      <c r="I11" s="40"/>
      <c r="J11" s="46">
        <f t="shared" si="6"/>
        <v>50</v>
      </c>
      <c r="K11" s="42">
        <f t="shared" si="7"/>
        <v>0.98</v>
      </c>
      <c r="L11" s="42">
        <f t="shared" si="8"/>
        <v>2.0537489106318221</v>
      </c>
      <c r="M11" s="42">
        <f>SK_1!$S$69+SK_1!$S$70*P24h_1!L11</f>
        <v>1.654721732006686</v>
      </c>
      <c r="N11" s="56">
        <f t="shared" si="9"/>
        <v>45.156651685825246</v>
      </c>
      <c r="Q11" s="46">
        <f t="shared" si="10"/>
        <v>50</v>
      </c>
      <c r="R11" s="42">
        <f t="shared" si="11"/>
        <v>0.98</v>
      </c>
      <c r="S11" s="56">
        <f>((LN(-1*LN(R11))*-1)/SK_1!$AF$70)+SK_1!$AF$71</f>
        <v>43.746523959957983</v>
      </c>
      <c r="T11" s="49"/>
      <c r="U11" s="49"/>
      <c r="V11" s="18"/>
      <c r="X11" s="46">
        <f t="shared" si="12"/>
        <v>50</v>
      </c>
      <c r="Y11" s="42">
        <f t="shared" si="13"/>
        <v>0.02</v>
      </c>
      <c r="Z11" s="117">
        <f t="shared" si="14"/>
        <v>2.7971496225365371</v>
      </c>
      <c r="AA11" s="225">
        <f t="shared" si="15"/>
        <v>2.0541885887218987</v>
      </c>
      <c r="AB11" s="117">
        <f t="shared" si="0"/>
        <v>2.2954844840695414</v>
      </c>
      <c r="AC11" s="90">
        <f>IF(SK_1!$AM$91=FALSE,"-",SK_1!$AI$69+SK_1!$AI$70*P24h_1!AB11)</f>
        <v>41.291723892266013</v>
      </c>
      <c r="AF11" s="46">
        <f t="shared" si="16"/>
        <v>50</v>
      </c>
      <c r="AG11" s="42">
        <f t="shared" si="17"/>
        <v>0.02</v>
      </c>
      <c r="AH11" s="117">
        <f t="shared" si="18"/>
        <v>2.7971496225365371</v>
      </c>
      <c r="AI11" s="103">
        <f t="shared" si="19"/>
        <v>2.0541885887218987</v>
      </c>
      <c r="AJ11" s="117">
        <f t="shared" si="1"/>
        <v>2.0367984653112035</v>
      </c>
      <c r="AK11" s="117">
        <f>SK_1!$AQ$69+SK_1!$AQ$70*P24h_1!AJ11</f>
        <v>1.6519502527854371</v>
      </c>
      <c r="AL11" s="56">
        <f>IF(SK_1!$AU$91=FALSE,"-",10^AK11)</f>
        <v>44.86939903514893</v>
      </c>
      <c r="AN11" s="43">
        <f t="shared" si="25"/>
        <v>20</v>
      </c>
      <c r="AO11" s="345">
        <f t="shared" si="20"/>
        <v>35.913378171830693</v>
      </c>
      <c r="AP11" s="345">
        <f t="shared" si="21"/>
        <v>38.713763195862036</v>
      </c>
      <c r="AQ11" s="345">
        <f t="shared" si="22"/>
        <v>37.740970818749503</v>
      </c>
      <c r="AR11" s="345">
        <f t="shared" si="23"/>
        <v>36.915997161120472</v>
      </c>
      <c r="AS11" s="345">
        <f t="shared" si="24"/>
        <v>38.584346282933019</v>
      </c>
      <c r="BH11" s="532"/>
      <c r="BI11" s="532"/>
    </row>
    <row r="12" spans="1:64" x14ac:dyDescent="0.3">
      <c r="B12" s="46">
        <v>75</v>
      </c>
      <c r="C12" s="42">
        <f t="shared" si="2"/>
        <v>0.98666666666666669</v>
      </c>
      <c r="D12" s="42">
        <f t="shared" si="3"/>
        <v>2.2163627792243989</v>
      </c>
      <c r="E12" s="52">
        <f>SK_1!$K$69+SK_1!$K$70*P24h_1!D12</f>
        <v>40.637675781894529</v>
      </c>
      <c r="F12" s="56">
        <f t="shared" si="4"/>
        <v>40.637675781894529</v>
      </c>
      <c r="G12" s="479">
        <f t="shared" si="5"/>
        <v>1.3333333333333334E-2</v>
      </c>
      <c r="H12" s="479"/>
      <c r="I12" s="40"/>
      <c r="J12" s="46">
        <f t="shared" si="6"/>
        <v>75</v>
      </c>
      <c r="K12" s="42">
        <f t="shared" si="7"/>
        <v>0.98666666666666669</v>
      </c>
      <c r="L12" s="42">
        <f t="shared" si="8"/>
        <v>2.2163627792243989</v>
      </c>
      <c r="M12" s="42">
        <f>SK_1!$S$69+SK_1!$S$70*P24h_1!L12</f>
        <v>1.6813098805400466</v>
      </c>
      <c r="N12" s="56">
        <f t="shared" si="9"/>
        <v>48.007587322504463</v>
      </c>
      <c r="Q12" s="46">
        <f t="shared" si="10"/>
        <v>75</v>
      </c>
      <c r="R12" s="42">
        <f t="shared" si="11"/>
        <v>0.98666666666666669</v>
      </c>
      <c r="S12" s="56">
        <f>((LN(-1*LN(R12))*-1)/SK_1!$AF$70)+SK_1!$AF$71</f>
        <v>46.381737764534165</v>
      </c>
      <c r="T12" s="49"/>
      <c r="U12" s="49"/>
      <c r="V12" s="18"/>
      <c r="X12" s="46">
        <f t="shared" si="12"/>
        <v>75</v>
      </c>
      <c r="Y12" s="42">
        <f t="shared" si="13"/>
        <v>1.3333333333333334E-2</v>
      </c>
      <c r="Z12" s="117">
        <f t="shared" si="14"/>
        <v>2.9385330059525656</v>
      </c>
      <c r="AA12" s="225">
        <f t="shared" si="15"/>
        <v>2.2168056500462106</v>
      </c>
      <c r="AB12" s="117">
        <f t="shared" si="0"/>
        <v>2.514242924978741</v>
      </c>
      <c r="AC12" s="90">
        <f>IF(SK_1!$AM$91=FALSE,"-",SK_1!$AI$69+SK_1!$AI$70*P24h_1!AB12)</f>
        <v>43.100058851484796</v>
      </c>
      <c r="AF12" s="46">
        <f t="shared" si="16"/>
        <v>75</v>
      </c>
      <c r="AG12" s="42">
        <f t="shared" si="17"/>
        <v>1.3333333333333334E-2</v>
      </c>
      <c r="AH12" s="117">
        <f t="shared" si="18"/>
        <v>2.9385330059525656</v>
      </c>
      <c r="AI12" s="103">
        <f t="shared" si="19"/>
        <v>2.2168056500462106</v>
      </c>
      <c r="AJ12" s="117">
        <f t="shared" si="1"/>
        <v>2.1956839593751729</v>
      </c>
      <c r="AK12" s="117">
        <f>SK_1!$AQ$69+SK_1!$AQ$70*P24h_1!AJ12</f>
        <v>1.677928794176353</v>
      </c>
      <c r="AL12" s="56">
        <f>IF(SK_1!$AU$91=FALSE,"-",10^AK12)</f>
        <v>47.635287879048313</v>
      </c>
      <c r="AN12" s="43">
        <f t="shared" si="25"/>
        <v>25</v>
      </c>
      <c r="AO12" s="345">
        <f t="shared" si="20"/>
        <v>36.788226740201878</v>
      </c>
      <c r="AP12" s="345">
        <f t="shared" si="21"/>
        <v>40.287424272579784</v>
      </c>
      <c r="AQ12" s="345">
        <f t="shared" si="22"/>
        <v>39.212730168060986</v>
      </c>
      <c r="AR12" s="345">
        <f t="shared" si="23"/>
        <v>38.025281803448721</v>
      </c>
      <c r="AS12" s="345">
        <f t="shared" si="24"/>
        <v>40.123994779525454</v>
      </c>
      <c r="BH12" s="532"/>
      <c r="BI12" s="532"/>
    </row>
    <row r="13" spans="1:64" x14ac:dyDescent="0.3">
      <c r="B13" s="46">
        <v>100</v>
      </c>
      <c r="C13" s="42">
        <f t="shared" si="2"/>
        <v>0.99</v>
      </c>
      <c r="D13" s="42">
        <f t="shared" si="3"/>
        <v>2.3263478740408408</v>
      </c>
      <c r="E13" s="52">
        <f>SK_1!$K$69+SK_1!$K$70*P24h_1!D13</f>
        <v>41.546851634140239</v>
      </c>
      <c r="F13" s="56">
        <f t="shared" si="4"/>
        <v>41.546851634140239</v>
      </c>
      <c r="G13" s="479">
        <f t="shared" si="5"/>
        <v>0.01</v>
      </c>
      <c r="H13" s="479"/>
      <c r="I13" s="40"/>
      <c r="J13" s="46">
        <f t="shared" si="6"/>
        <v>100</v>
      </c>
      <c r="K13" s="42">
        <f t="shared" si="7"/>
        <v>0.99</v>
      </c>
      <c r="L13" s="42">
        <f t="shared" si="8"/>
        <v>2.3263478740408408</v>
      </c>
      <c r="M13" s="42">
        <f>SK_1!$S$69+SK_1!$S$70*P24h_1!L13</f>
        <v>1.6992929717901666</v>
      </c>
      <c r="N13" s="56">
        <f t="shared" si="9"/>
        <v>50.037196831456612</v>
      </c>
      <c r="Q13" s="46">
        <f t="shared" si="10"/>
        <v>100</v>
      </c>
      <c r="R13" s="42">
        <f t="shared" si="11"/>
        <v>0.99</v>
      </c>
      <c r="S13" s="56">
        <f>((LN(-1*LN(R13))*-1)/SK_1!$AF$70)+SK_1!$AF$71</f>
        <v>48.246840930169057</v>
      </c>
      <c r="T13" s="49"/>
      <c r="U13" s="49"/>
      <c r="V13" s="18"/>
      <c r="X13" s="46">
        <f t="shared" si="12"/>
        <v>100</v>
      </c>
      <c r="Y13" s="42">
        <f t="shared" si="13"/>
        <v>0.01</v>
      </c>
      <c r="Z13" s="117">
        <f t="shared" si="14"/>
        <v>3.0348542587702929</v>
      </c>
      <c r="AA13" s="225">
        <f t="shared" si="15"/>
        <v>2.3267853325589662</v>
      </c>
      <c r="AB13" s="117">
        <f t="shared" si="0"/>
        <v>2.6649040193458848</v>
      </c>
      <c r="AC13" s="90">
        <f>IF(SK_1!$AM$91=FALSE,"-",SK_1!$AI$69+SK_1!$AI$70*P24h_1!AB13)</f>
        <v>44.345476961094342</v>
      </c>
      <c r="AF13" s="46">
        <f t="shared" si="16"/>
        <v>100</v>
      </c>
      <c r="AG13" s="42">
        <f t="shared" si="17"/>
        <v>0.01</v>
      </c>
      <c r="AH13" s="117">
        <f t="shared" si="18"/>
        <v>3.0348542587702929</v>
      </c>
      <c r="AI13" s="103">
        <f t="shared" si="19"/>
        <v>2.3267853325589662</v>
      </c>
      <c r="AJ13" s="117">
        <f t="shared" si="1"/>
        <v>2.3029802601478222</v>
      </c>
      <c r="AK13" s="117">
        <f>SK_1!$AQ$69+SK_1!$AQ$70*P24h_1!AJ13</f>
        <v>1.6954722546862986</v>
      </c>
      <c r="AL13" s="56">
        <f>IF(SK_1!$AU$91=FALSE,"-",10^AK13)</f>
        <v>49.598923964213839</v>
      </c>
      <c r="AN13" s="43">
        <f t="shared" si="25"/>
        <v>50</v>
      </c>
      <c r="AO13" s="345">
        <f t="shared" si="20"/>
        <v>39.293451795804685</v>
      </c>
      <c r="AP13" s="345">
        <f t="shared" si="21"/>
        <v>45.156651685825246</v>
      </c>
      <c r="AQ13" s="345">
        <f t="shared" si="22"/>
        <v>43.746523959957983</v>
      </c>
      <c r="AR13" s="345">
        <f t="shared" si="23"/>
        <v>41.291723892266013</v>
      </c>
      <c r="AS13" s="345">
        <f t="shared" si="24"/>
        <v>44.86939903514893</v>
      </c>
      <c r="BH13" s="532"/>
      <c r="BI13" s="532"/>
    </row>
    <row r="14" spans="1:64" x14ac:dyDescent="0.3">
      <c r="B14" s="46">
        <v>150</v>
      </c>
      <c r="C14" s="42">
        <f t="shared" si="2"/>
        <v>0.99333333333333329</v>
      </c>
      <c r="D14" s="42">
        <f t="shared" si="3"/>
        <v>2.4747396492194813</v>
      </c>
      <c r="E14" s="52">
        <f>SK_1!$K$69+SK_1!$K$70*P24h_1!D14</f>
        <v>42.773510745444888</v>
      </c>
      <c r="F14" s="56">
        <f t="shared" si="4"/>
        <v>42.773510745444888</v>
      </c>
      <c r="G14" s="479">
        <f t="shared" si="5"/>
        <v>6.6666666666666671E-3</v>
      </c>
      <c r="H14" s="479"/>
      <c r="I14" s="40"/>
      <c r="J14" s="46">
        <f t="shared" si="6"/>
        <v>150</v>
      </c>
      <c r="K14" s="42">
        <f t="shared" si="7"/>
        <v>0.99333333333333329</v>
      </c>
      <c r="L14" s="42">
        <f t="shared" si="8"/>
        <v>2.4747396492194813</v>
      </c>
      <c r="M14" s="42">
        <f>SK_1!$S$69+SK_1!$S$70*P24h_1!L14</f>
        <v>1.7235557397430279</v>
      </c>
      <c r="N14" s="56">
        <f t="shared" si="9"/>
        <v>52.912190326773818</v>
      </c>
      <c r="Q14" s="46">
        <f t="shared" si="10"/>
        <v>150</v>
      </c>
      <c r="R14" s="42">
        <f t="shared" si="11"/>
        <v>0.99333333333333329</v>
      </c>
      <c r="S14" s="56">
        <f>((LN(-1*LN(R14))*-1)/SK_1!$AF$70)+SK_1!$AF$71</f>
        <v>50.871084393298034</v>
      </c>
      <c r="T14" s="49"/>
      <c r="U14" s="49"/>
      <c r="V14" s="18"/>
      <c r="X14" s="46">
        <f t="shared" si="12"/>
        <v>150</v>
      </c>
      <c r="Y14" s="42">
        <f t="shared" si="13"/>
        <v>6.6666666666666671E-3</v>
      </c>
      <c r="Z14" s="117">
        <f t="shared" si="14"/>
        <v>3.1656390489429636</v>
      </c>
      <c r="AA14" s="225">
        <f t="shared" si="15"/>
        <v>2.4751616014237277</v>
      </c>
      <c r="AB14" s="117">
        <f t="shared" si="0"/>
        <v>2.8716652048202636</v>
      </c>
      <c r="AC14" s="90">
        <f>IF(SK_1!$AM$91=FALSE,"-",SK_1!$AI$69+SK_1!$AI$70*P24h_1!AB14)</f>
        <v>46.05463834635961</v>
      </c>
      <c r="AF14" s="46">
        <f t="shared" si="16"/>
        <v>150</v>
      </c>
      <c r="AG14" s="42">
        <f t="shared" si="17"/>
        <v>6.6666666666666671E-3</v>
      </c>
      <c r="AH14" s="117">
        <f t="shared" si="18"/>
        <v>3.1656390489429636</v>
      </c>
      <c r="AI14" s="103">
        <f t="shared" si="19"/>
        <v>2.4751616014237277</v>
      </c>
      <c r="AJ14" s="117">
        <f t="shared" si="1"/>
        <v>2.4475322927185728</v>
      </c>
      <c r="AK14" s="117">
        <f>SK_1!$AQ$69+SK_1!$AQ$70*P24h_1!AJ14</f>
        <v>1.7191072062808623</v>
      </c>
      <c r="AL14" s="56">
        <f>IF(SK_1!$AU$91=FALSE,"-",10^AK14)</f>
        <v>52.372970413729718</v>
      </c>
      <c r="AN14" s="43">
        <f t="shared" si="25"/>
        <v>75</v>
      </c>
      <c r="AO14" s="345">
        <f t="shared" si="20"/>
        <v>40.637675781894529</v>
      </c>
      <c r="AP14" s="345">
        <f t="shared" si="21"/>
        <v>48.007587322504463</v>
      </c>
      <c r="AQ14" s="345">
        <f t="shared" si="22"/>
        <v>46.381737764534165</v>
      </c>
      <c r="AR14" s="345">
        <f t="shared" si="23"/>
        <v>43.100058851484796</v>
      </c>
      <c r="AS14" s="345">
        <f t="shared" si="24"/>
        <v>47.635287879048313</v>
      </c>
      <c r="BH14" s="532"/>
      <c r="BI14" s="532"/>
    </row>
    <row r="15" spans="1:64" x14ac:dyDescent="0.3">
      <c r="B15" s="46">
        <v>200</v>
      </c>
      <c r="C15" s="42">
        <f t="shared" si="2"/>
        <v>0.995</v>
      </c>
      <c r="D15" s="42">
        <f t="shared" si="3"/>
        <v>2.5758293035488999</v>
      </c>
      <c r="E15" s="52">
        <f>SK_1!$K$69+SK_1!$K$70*P24h_1!D15</f>
        <v>43.60915372762863</v>
      </c>
      <c r="F15" s="56">
        <f t="shared" si="4"/>
        <v>43.60915372762863</v>
      </c>
      <c r="G15" s="479">
        <f t="shared" si="5"/>
        <v>5.0000000000000001E-3</v>
      </c>
      <c r="H15" s="479"/>
      <c r="I15" s="40"/>
      <c r="J15" s="46">
        <f t="shared" si="6"/>
        <v>200</v>
      </c>
      <c r="K15" s="42">
        <f t="shared" si="7"/>
        <v>0.995</v>
      </c>
      <c r="L15" s="42">
        <f t="shared" si="8"/>
        <v>2.5758293035488999</v>
      </c>
      <c r="M15" s="42">
        <f>SK_1!$S$69+SK_1!$S$70*P24h_1!L15</f>
        <v>1.7400843837495905</v>
      </c>
      <c r="N15" s="56">
        <f t="shared" si="9"/>
        <v>54.964766044322992</v>
      </c>
      <c r="Q15" s="46">
        <f t="shared" si="10"/>
        <v>200</v>
      </c>
      <c r="R15" s="42">
        <f t="shared" si="11"/>
        <v>0.995</v>
      </c>
      <c r="S15" s="56">
        <f>((LN(-1*LN(R15))*-1)/SK_1!$AF$70)+SK_1!$AF$71</f>
        <v>52.730736999706117</v>
      </c>
      <c r="T15" s="49"/>
      <c r="U15" s="49"/>
      <c r="V15" s="18"/>
      <c r="X15" s="46">
        <f t="shared" si="12"/>
        <v>200</v>
      </c>
      <c r="Y15" s="42">
        <f t="shared" si="13"/>
        <v>5.0000000000000001E-3</v>
      </c>
      <c r="Z15" s="117">
        <f t="shared" si="14"/>
        <v>3.2552472614374586</v>
      </c>
      <c r="AA15" s="225">
        <f t="shared" si="15"/>
        <v>2.5762360813095708</v>
      </c>
      <c r="AB15" s="117">
        <f t="shared" si="0"/>
        <v>3.0148323859541271</v>
      </c>
      <c r="AC15" s="90">
        <f>IF(SK_1!$AM$91=FALSE,"-",SK_1!$AI$69+SK_1!$AI$70*P24h_1!AB15)</f>
        <v>47.238109107904457</v>
      </c>
      <c r="AF15" s="46">
        <f t="shared" si="16"/>
        <v>200</v>
      </c>
      <c r="AG15" s="42">
        <f t="shared" si="17"/>
        <v>5.0000000000000001E-3</v>
      </c>
      <c r="AH15" s="117">
        <f t="shared" si="18"/>
        <v>3.2552472614374586</v>
      </c>
      <c r="AI15" s="103">
        <f t="shared" si="19"/>
        <v>2.5762360813095708</v>
      </c>
      <c r="AJ15" s="117">
        <f t="shared" si="1"/>
        <v>2.5458675868641829</v>
      </c>
      <c r="AK15" s="117">
        <f>SK_1!$AQ$69+SK_1!$AQ$70*P24h_1!AJ15</f>
        <v>1.7351854991684503</v>
      </c>
      <c r="AL15" s="56">
        <f>IF(SK_1!$AU$91=FALSE,"-",10^AK15)</f>
        <v>54.348241827541692</v>
      </c>
      <c r="AN15" s="517">
        <f t="shared" si="25"/>
        <v>100</v>
      </c>
      <c r="AO15" s="345">
        <f t="shared" si="20"/>
        <v>41.546851634140239</v>
      </c>
      <c r="AP15" s="345">
        <f t="shared" si="21"/>
        <v>50.037196831456612</v>
      </c>
      <c r="AQ15" s="345">
        <f t="shared" si="22"/>
        <v>48.246840930169057</v>
      </c>
      <c r="AR15" s="345">
        <f t="shared" si="23"/>
        <v>44.345476961094342</v>
      </c>
      <c r="AS15" s="345">
        <f t="shared" si="24"/>
        <v>49.598923964213839</v>
      </c>
      <c r="BH15" s="532"/>
      <c r="BI15" s="532"/>
      <c r="BL15" s="40"/>
    </row>
    <row r="16" spans="1:64" x14ac:dyDescent="0.3">
      <c r="B16" s="46">
        <v>500</v>
      </c>
      <c r="C16" s="42">
        <f t="shared" si="2"/>
        <v>0.998</v>
      </c>
      <c r="D16" s="42">
        <f t="shared" si="3"/>
        <v>2.8781617390954826</v>
      </c>
      <c r="E16" s="52">
        <f>SK_1!$K$69+SK_1!$K$70*P24h_1!D16</f>
        <v>46.108341005762369</v>
      </c>
      <c r="F16" s="56">
        <f t="shared" si="4"/>
        <v>46.108341005762369</v>
      </c>
      <c r="G16" s="479">
        <f t="shared" si="5"/>
        <v>2E-3</v>
      </c>
      <c r="H16" s="479"/>
      <c r="I16" s="40"/>
      <c r="J16" s="46">
        <f t="shared" si="6"/>
        <v>500</v>
      </c>
      <c r="K16" s="42">
        <f t="shared" si="7"/>
        <v>0.998</v>
      </c>
      <c r="L16" s="42">
        <f t="shared" si="8"/>
        <v>2.8781617390954826</v>
      </c>
      <c r="M16" s="42">
        <f>SK_1!$S$69+SK_1!$S$70*P24h_1!L16</f>
        <v>1.7895171890345156</v>
      </c>
      <c r="N16" s="56">
        <f t="shared" si="9"/>
        <v>61.590990586329291</v>
      </c>
      <c r="Q16" s="46">
        <f t="shared" si="10"/>
        <v>500</v>
      </c>
      <c r="R16" s="42">
        <f t="shared" si="11"/>
        <v>0.998</v>
      </c>
      <c r="S16" s="56">
        <f>((LN(-1*LN(R16))*-1)/SK_1!$AF$70)+SK_1!$AF$71</f>
        <v>58.646386439898791</v>
      </c>
      <c r="T16" s="49"/>
      <c r="U16" s="49"/>
      <c r="V16" s="18"/>
      <c r="X16" s="46">
        <f t="shared" si="12"/>
        <v>500</v>
      </c>
      <c r="Y16" s="42">
        <f t="shared" si="13"/>
        <v>2E-3</v>
      </c>
      <c r="Z16" s="117">
        <f t="shared" si="14"/>
        <v>3.5255093528232742</v>
      </c>
      <c r="AA16" s="225">
        <f t="shared" si="15"/>
        <v>2.8785061077422442</v>
      </c>
      <c r="AB16" s="117">
        <f t="shared" si="0"/>
        <v>3.4543404456303257</v>
      </c>
      <c r="AC16" s="90">
        <f>IF(SK_1!$AM$91=FALSE,"-",SK_1!$AI$69+SK_1!$AI$70*P24h_1!AB16)</f>
        <v>50.871238809632288</v>
      </c>
      <c r="AF16" s="46">
        <f t="shared" si="16"/>
        <v>500</v>
      </c>
      <c r="AG16" s="42">
        <f t="shared" si="17"/>
        <v>2E-3</v>
      </c>
      <c r="AH16" s="117">
        <f t="shared" si="18"/>
        <v>3.5255093528232742</v>
      </c>
      <c r="AI16" s="103">
        <f t="shared" si="19"/>
        <v>2.8785061077422442</v>
      </c>
      <c r="AJ16" s="117">
        <f t="shared" si="1"/>
        <v>2.8392980931171703</v>
      </c>
      <c r="AK16" s="117">
        <f>SK_1!$AQ$69+SK_1!$AQ$70*P24h_1!AJ16</f>
        <v>1.7831627962587786</v>
      </c>
      <c r="AL16" s="56">
        <f>IF(SK_1!$AU$91=FALSE,"-",10^AK16)</f>
        <v>60.696380869278961</v>
      </c>
      <c r="AN16" s="43">
        <f t="shared" si="25"/>
        <v>150</v>
      </c>
      <c r="AO16" s="345">
        <f t="shared" si="20"/>
        <v>42.773510745444888</v>
      </c>
      <c r="AP16" s="345">
        <f t="shared" si="21"/>
        <v>52.912190326773818</v>
      </c>
      <c r="AQ16" s="345">
        <f t="shared" si="22"/>
        <v>50.871084393298034</v>
      </c>
      <c r="AR16" s="345">
        <f t="shared" si="23"/>
        <v>46.05463834635961</v>
      </c>
      <c r="AS16" s="345">
        <f t="shared" si="24"/>
        <v>52.372970413729718</v>
      </c>
      <c r="BH16" s="532"/>
      <c r="BI16" s="532"/>
      <c r="BL16" s="40"/>
    </row>
    <row r="17" spans="2:64" ht="15" thickBot="1" x14ac:dyDescent="0.35">
      <c r="B17" s="47">
        <v>1000</v>
      </c>
      <c r="C17" s="44">
        <f t="shared" si="2"/>
        <v>0.999</v>
      </c>
      <c r="D17" s="44">
        <f t="shared" si="3"/>
        <v>3.0902323061678132</v>
      </c>
      <c r="E17" s="57">
        <f>SK_1!$K$69+SK_1!$K$70*P24h_1!D17</f>
        <v>47.8613916248122</v>
      </c>
      <c r="F17" s="58">
        <f t="shared" si="4"/>
        <v>47.8613916248122</v>
      </c>
      <c r="G17" s="479">
        <f t="shared" si="5"/>
        <v>1E-3</v>
      </c>
      <c r="H17" s="479"/>
      <c r="I17" s="40"/>
      <c r="J17" s="47">
        <f t="shared" si="6"/>
        <v>1000</v>
      </c>
      <c r="K17" s="44">
        <f t="shared" si="7"/>
        <v>0.999</v>
      </c>
      <c r="L17" s="44">
        <f t="shared" si="8"/>
        <v>3.0902323061678132</v>
      </c>
      <c r="M17" s="44">
        <f>SK_1!$S$69+SK_1!$S$70*P24h_1!L17</f>
        <v>1.8241917453049918</v>
      </c>
      <c r="N17" s="58">
        <f t="shared" si="9"/>
        <v>66.710123599111071</v>
      </c>
      <c r="Q17" s="47">
        <f t="shared" si="10"/>
        <v>1000</v>
      </c>
      <c r="R17" s="44">
        <f t="shared" si="11"/>
        <v>0.999</v>
      </c>
      <c r="S17" s="50">
        <f>((LN(-1*LN(R17))*-1)/SK_1!$AF$70)+SK_1!$AF$71</f>
        <v>63.117294120138702</v>
      </c>
      <c r="T17" s="101"/>
      <c r="U17" s="101"/>
      <c r="V17" s="18"/>
      <c r="X17" s="47">
        <f t="shared" si="12"/>
        <v>1000</v>
      </c>
      <c r="Y17" s="44">
        <f t="shared" si="13"/>
        <v>1E-3</v>
      </c>
      <c r="Z17" s="118">
        <f t="shared" si="14"/>
        <v>3.7169221888498383</v>
      </c>
      <c r="AA17" s="226">
        <f t="shared" si="15"/>
        <v>3.090522225780171</v>
      </c>
      <c r="AB17" s="118">
        <f t="shared" si="0"/>
        <v>3.7729090332361808</v>
      </c>
      <c r="AC17" s="91">
        <f>IF(SK_1!$AM$91=FALSE,"-",SK_1!$AI$69+SK_1!$AI$70*P24h_1!AB17)</f>
        <v>53.504639886556831</v>
      </c>
      <c r="AF17" s="47">
        <f t="shared" si="16"/>
        <v>1000</v>
      </c>
      <c r="AG17" s="44">
        <f t="shared" si="17"/>
        <v>1E-3</v>
      </c>
      <c r="AH17" s="118">
        <f t="shared" si="18"/>
        <v>3.7169221888498383</v>
      </c>
      <c r="AI17" s="222">
        <f t="shared" si="19"/>
        <v>3.090522225780171</v>
      </c>
      <c r="AJ17" s="118">
        <f t="shared" si="1"/>
        <v>3.0445353526872214</v>
      </c>
      <c r="AK17" s="118">
        <f>SK_1!$AQ$69+SK_1!$AQ$70*P24h_1!AJ17</f>
        <v>1.8167200739329261</v>
      </c>
      <c r="AL17" s="58">
        <f>IF(SK_1!$AU$91=FALSE,"-",10^AK17)</f>
        <v>65.572248178475988</v>
      </c>
      <c r="AN17" s="43">
        <f t="shared" si="25"/>
        <v>200</v>
      </c>
      <c r="AO17" s="345">
        <f t="shared" si="20"/>
        <v>43.60915372762863</v>
      </c>
      <c r="AP17" s="345">
        <f t="shared" si="21"/>
        <v>54.964766044322992</v>
      </c>
      <c r="AQ17" s="345">
        <f t="shared" si="22"/>
        <v>52.730736999706117</v>
      </c>
      <c r="AR17" s="345">
        <f t="shared" si="23"/>
        <v>47.238109107904457</v>
      </c>
      <c r="AS17" s="345">
        <f t="shared" si="24"/>
        <v>54.348241827541692</v>
      </c>
      <c r="BH17" s="532"/>
      <c r="BI17" s="532"/>
      <c r="BL17" s="40"/>
    </row>
    <row r="18" spans="2:64" ht="15" thickBot="1" x14ac:dyDescent="0.35">
      <c r="B18" s="492">
        <v>140</v>
      </c>
      <c r="C18" s="493">
        <f t="shared" si="2"/>
        <v>0.99285714285714288</v>
      </c>
      <c r="D18" s="493">
        <f t="shared" si="3"/>
        <v>2.4499976606027292</v>
      </c>
      <c r="E18" s="57">
        <f>SK_1!$K$69+SK_1!$K$70*P24h_1!D18</f>
        <v>42.568984681031964</v>
      </c>
      <c r="F18" s="58">
        <f t="shared" ref="F18" si="26">E18</f>
        <v>42.568984681031964</v>
      </c>
      <c r="G18" s="479">
        <f t="shared" si="5"/>
        <v>7.1428571428571426E-3</v>
      </c>
      <c r="J18" s="492">
        <f t="shared" si="6"/>
        <v>140</v>
      </c>
      <c r="K18" s="493">
        <f t="shared" si="7"/>
        <v>0.99285714285714288</v>
      </c>
      <c r="L18" s="493">
        <f t="shared" si="8"/>
        <v>2.4499976606027292</v>
      </c>
      <c r="M18" s="44">
        <f>SK_1!$S$69+SK_1!$S$70*P24h_1!L18</f>
        <v>1.7195103057708423</v>
      </c>
      <c r="N18" s="58">
        <f t="shared" ref="N18" si="27">10^M18</f>
        <v>52.42160404625907</v>
      </c>
      <c r="Q18" s="492">
        <f t="shared" si="10"/>
        <v>140</v>
      </c>
      <c r="R18" s="493">
        <f t="shared" si="11"/>
        <v>0.99285714285714288</v>
      </c>
      <c r="S18" s="50">
        <f>((LN(-1*LN(R18))*-1)/SK_1!$AF$70)+SK_1!$AF$71</f>
        <v>50.424847237491406</v>
      </c>
      <c r="X18" s="492">
        <f t="shared" si="12"/>
        <v>140</v>
      </c>
      <c r="Y18" s="493">
        <f t="shared" si="13"/>
        <v>7.1428571428571426E-3</v>
      </c>
      <c r="Z18" s="494">
        <f t="shared" si="14"/>
        <v>3.1437692099164356</v>
      </c>
      <c r="AA18" s="495">
        <f t="shared" si="15"/>
        <v>2.4504227899082229</v>
      </c>
      <c r="AB18" s="494">
        <f t="shared" si="0"/>
        <v>2.836911111022538</v>
      </c>
      <c r="AC18" s="91">
        <f>IF(SK_1!$AM$91=FALSE,"-",SK_1!$AI$69+SK_1!$AI$70*P24h_1!AB18)</f>
        <v>45.767348664968608</v>
      </c>
      <c r="AF18" s="492">
        <f t="shared" si="16"/>
        <v>140</v>
      </c>
      <c r="AG18" s="493">
        <f t="shared" si="17"/>
        <v>7.1428571428571426E-3</v>
      </c>
      <c r="AH18" s="494">
        <f t="shared" si="18"/>
        <v>3.1437692099164356</v>
      </c>
      <c r="AI18" s="496">
        <f t="shared" si="19"/>
        <v>2.4504227899082229</v>
      </c>
      <c r="AJ18" s="494">
        <f t="shared" si="1"/>
        <v>2.4234473688450682</v>
      </c>
      <c r="AK18" s="118">
        <f>SK_1!$AQ$69+SK_1!$AQ$70*P24h_1!AJ18</f>
        <v>1.7151692055500154</v>
      </c>
      <c r="AL18" s="58">
        <f>IF(SK_1!$AU$91=FALSE,"-",10^AK18)</f>
        <v>51.900220808503981</v>
      </c>
      <c r="AN18" s="43">
        <f t="shared" si="25"/>
        <v>500</v>
      </c>
      <c r="AO18" s="345">
        <f t="shared" si="20"/>
        <v>46.108341005762369</v>
      </c>
      <c r="AP18" s="345">
        <f t="shared" si="21"/>
        <v>61.590990586329291</v>
      </c>
      <c r="AQ18" s="345">
        <f t="shared" si="22"/>
        <v>58.646386439898791</v>
      </c>
      <c r="AR18" s="345">
        <f t="shared" si="23"/>
        <v>50.871238809632288</v>
      </c>
      <c r="AS18" s="345">
        <f t="shared" si="24"/>
        <v>60.696380869278961</v>
      </c>
      <c r="BH18" s="532"/>
      <c r="BI18" s="532"/>
      <c r="BL18" s="40"/>
    </row>
    <row r="19" spans="2:64" ht="15" thickBot="1" x14ac:dyDescent="0.35">
      <c r="B19" s="100">
        <v>30</v>
      </c>
      <c r="C19" s="479">
        <f t="shared" si="2"/>
        <v>0.96666666666666667</v>
      </c>
      <c r="D19" s="479">
        <f t="shared" si="3"/>
        <v>1.8339146358159142</v>
      </c>
      <c r="E19" s="57">
        <f>SK_1!$K$69+SK_1!$K$70*P24h_1!D19</f>
        <v>37.476223611457186</v>
      </c>
      <c r="F19" s="58">
        <f t="shared" ref="F19:F21" si="28">E19</f>
        <v>37.476223611457186</v>
      </c>
      <c r="G19" s="479">
        <f t="shared" si="5"/>
        <v>3.3333333333333333E-2</v>
      </c>
      <c r="J19" s="100">
        <f t="shared" si="6"/>
        <v>30</v>
      </c>
      <c r="K19" s="479">
        <f t="shared" si="7"/>
        <v>0.96666666666666667</v>
      </c>
      <c r="L19" s="479">
        <f t="shared" si="8"/>
        <v>1.8339146358159142</v>
      </c>
      <c r="M19" s="44">
        <f>SK_1!$S$69+SK_1!$S$70*P24h_1!L19</f>
        <v>1.6187777722318073</v>
      </c>
      <c r="N19" s="58">
        <f t="shared" ref="N19:N21" si="29">10^M19</f>
        <v>41.56978441631604</v>
      </c>
      <c r="Q19" s="100">
        <f t="shared" si="10"/>
        <v>30</v>
      </c>
      <c r="R19" s="479">
        <f t="shared" si="11"/>
        <v>0.96666666666666667</v>
      </c>
      <c r="S19" s="50">
        <f>((LN(-1*LN(R19))*-1)/SK_1!$AF$70)+SK_1!$AF$71</f>
        <v>40.41004794297001</v>
      </c>
      <c r="X19" s="100">
        <f t="shared" si="12"/>
        <v>30</v>
      </c>
      <c r="Y19" s="479">
        <f t="shared" si="13"/>
        <v>3.3333333333333333E-2</v>
      </c>
      <c r="Z19" s="500">
        <f t="shared" si="14"/>
        <v>2.6081400965677268</v>
      </c>
      <c r="AA19" s="501">
        <f t="shared" si="15"/>
        <v>1.8343248635084133</v>
      </c>
      <c r="AB19" s="500">
        <f t="shared" si="0"/>
        <v>2.007240645648416</v>
      </c>
      <c r="AC19" s="91">
        <f>IF(SK_1!$AM$91=FALSE,"-",SK_1!$AI$69+SK_1!$AI$70*P24h_1!AB19)</f>
        <v>38.908997961188987</v>
      </c>
      <c r="AF19" s="100">
        <f t="shared" si="16"/>
        <v>30</v>
      </c>
      <c r="AG19" s="479">
        <f t="shared" si="17"/>
        <v>3.3333333333333333E-2</v>
      </c>
      <c r="AH19" s="500">
        <f t="shared" si="18"/>
        <v>2.6081400965677268</v>
      </c>
      <c r="AI19" s="439">
        <f t="shared" si="19"/>
        <v>1.8343248635084133</v>
      </c>
      <c r="AJ19" s="500">
        <f t="shared" si="1"/>
        <v>1.82153163714373</v>
      </c>
      <c r="AK19" s="118">
        <f>SK_1!$AQ$69+SK_1!$AQ$70*P24h_1!AJ19</f>
        <v>1.6167530924745761</v>
      </c>
      <c r="AL19" s="58">
        <f>IF(SK_1!$AU$91=FALSE,"-",10^AK19)</f>
        <v>41.376437230551268</v>
      </c>
      <c r="AN19" s="43">
        <f>B17</f>
        <v>1000</v>
      </c>
      <c r="AO19" s="345">
        <f>F17</f>
        <v>47.8613916248122</v>
      </c>
      <c r="AP19" s="345">
        <f>N17</f>
        <v>66.710123599111071</v>
      </c>
      <c r="AQ19" s="345">
        <f>S17</f>
        <v>63.117294120138702</v>
      </c>
      <c r="AR19" s="345">
        <f>AC17</f>
        <v>53.504639886556831</v>
      </c>
      <c r="AS19" s="345">
        <f>AL17</f>
        <v>65.572248178475988</v>
      </c>
      <c r="BH19" s="491"/>
      <c r="BI19" s="491"/>
      <c r="BL19" s="40"/>
    </row>
    <row r="20" spans="2:64" ht="15" thickBot="1" x14ac:dyDescent="0.35">
      <c r="B20" s="100">
        <v>35</v>
      </c>
      <c r="C20" s="479">
        <f t="shared" si="2"/>
        <v>0.97142857142857142</v>
      </c>
      <c r="D20" s="479">
        <f t="shared" si="3"/>
        <v>1.9022164957820151</v>
      </c>
      <c r="E20" s="57">
        <f>SK_1!$K$69+SK_1!$K$70*P24h_1!D20</f>
        <v>38.040831041657476</v>
      </c>
      <c r="F20" s="58">
        <f t="shared" si="28"/>
        <v>38.040831041657476</v>
      </c>
      <c r="G20" s="479">
        <f t="shared" si="5"/>
        <v>2.8571428571428571E-2</v>
      </c>
      <c r="J20" s="100">
        <f t="shared" si="6"/>
        <v>35</v>
      </c>
      <c r="K20" s="479">
        <f t="shared" si="7"/>
        <v>0.97142857142857142</v>
      </c>
      <c r="L20" s="479">
        <f t="shared" si="8"/>
        <v>1.9022164957820151</v>
      </c>
      <c r="M20" s="44">
        <f>SK_1!$S$69+SK_1!$S$70*P24h_1!L20</f>
        <v>1.6299454543834044</v>
      </c>
      <c r="N20" s="58">
        <f t="shared" si="29"/>
        <v>42.652594551727745</v>
      </c>
      <c r="Q20" s="100">
        <f t="shared" si="10"/>
        <v>35</v>
      </c>
      <c r="R20" s="479">
        <f t="shared" si="11"/>
        <v>0.97142857142857142</v>
      </c>
      <c r="S20" s="50">
        <f>((LN(-1*LN(R20))*-1)/SK_1!$AF$70)+SK_1!$AF$71</f>
        <v>41.419379964312284</v>
      </c>
      <c r="X20" s="100">
        <f t="shared" si="12"/>
        <v>35</v>
      </c>
      <c r="Y20" s="479">
        <f t="shared" si="13"/>
        <v>2.8571428571428571E-2</v>
      </c>
      <c r="Z20" s="500">
        <f t="shared" si="14"/>
        <v>2.6665888552566233</v>
      </c>
      <c r="AA20" s="501">
        <f t="shared" si="15"/>
        <v>1.9026392713594462</v>
      </c>
      <c r="AB20" s="500">
        <f t="shared" si="0"/>
        <v>2.0958817372341181</v>
      </c>
      <c r="AC20" s="91">
        <f>IF(SK_1!$AM$91=FALSE,"-",SK_1!$AI$69+SK_1!$AI$70*P24h_1!AB20)</f>
        <v>39.64173670293323</v>
      </c>
      <c r="AF20" s="100">
        <f t="shared" si="16"/>
        <v>35</v>
      </c>
      <c r="AG20" s="479">
        <f t="shared" si="17"/>
        <v>2.8571428571428571E-2</v>
      </c>
      <c r="AH20" s="500">
        <f t="shared" si="18"/>
        <v>2.6665888552566233</v>
      </c>
      <c r="AI20" s="439">
        <f t="shared" si="19"/>
        <v>1.9026392713594462</v>
      </c>
      <c r="AJ20" s="500">
        <f t="shared" si="1"/>
        <v>1.8884729554524307</v>
      </c>
      <c r="AK20" s="118">
        <f>SK_1!$AQ$69+SK_1!$AQ$70*P24h_1!AJ20</f>
        <v>1.62769831953064</v>
      </c>
      <c r="AL20" s="58">
        <f>IF(SK_1!$AU$91=FALSE,"-",10^AK20)</f>
        <v>42.432470653233239</v>
      </c>
      <c r="BH20" s="491"/>
      <c r="BI20" s="491"/>
      <c r="BL20" s="40"/>
    </row>
    <row r="21" spans="2:64" ht="15" thickBot="1" x14ac:dyDescent="0.35">
      <c r="B21" s="100">
        <v>71</v>
      </c>
      <c r="C21" s="479">
        <f t="shared" si="2"/>
        <v>0.9859154929577465</v>
      </c>
      <c r="D21" s="479">
        <f t="shared" si="3"/>
        <v>2.1949244993050558</v>
      </c>
      <c r="E21" s="57">
        <f>SK_1!$K$69+SK_1!$K$70*P24h_1!D21</f>
        <v>40.460459346805031</v>
      </c>
      <c r="F21" s="58">
        <f t="shared" si="28"/>
        <v>40.460459346805031</v>
      </c>
      <c r="G21" s="479">
        <f t="shared" si="5"/>
        <v>1.4084507042253521E-2</v>
      </c>
      <c r="J21" s="100">
        <f t="shared" si="6"/>
        <v>71</v>
      </c>
      <c r="K21" s="479">
        <f t="shared" si="7"/>
        <v>0.9859154929577465</v>
      </c>
      <c r="L21" s="479">
        <f t="shared" si="8"/>
        <v>2.1949244993050558</v>
      </c>
      <c r="M21" s="44">
        <f>SK_1!$S$69+SK_1!$S$70*P24h_1!L21</f>
        <v>1.6778046188072766</v>
      </c>
      <c r="N21" s="58">
        <f t="shared" si="29"/>
        <v>47.621669737117692</v>
      </c>
      <c r="Q21" s="100">
        <f t="shared" si="10"/>
        <v>71</v>
      </c>
      <c r="R21" s="479">
        <f t="shared" si="11"/>
        <v>0.9859154929577465</v>
      </c>
      <c r="S21" s="50">
        <f>((LN(-1*LN(R21))*-1)/SK_1!$AF$70)+SK_1!$AF$71</f>
        <v>46.026022370261252</v>
      </c>
      <c r="X21" s="100">
        <f t="shared" si="12"/>
        <v>71</v>
      </c>
      <c r="Y21" s="479">
        <f t="shared" si="13"/>
        <v>1.4084507042253521E-2</v>
      </c>
      <c r="Z21" s="500">
        <f t="shared" si="14"/>
        <v>2.9198218702658267</v>
      </c>
      <c r="AA21" s="501">
        <f t="shared" si="15"/>
        <v>2.1953677508097273</v>
      </c>
      <c r="AB21" s="500">
        <f t="shared" si="0"/>
        <v>2.4851308517903008</v>
      </c>
      <c r="AC21" s="91">
        <f>IF(SK_1!$AM$91=FALSE,"-",SK_1!$AI$69+SK_1!$AI$70*P24h_1!AB21)</f>
        <v>42.859408116074576</v>
      </c>
      <c r="AF21" s="100">
        <f t="shared" si="16"/>
        <v>71</v>
      </c>
      <c r="AG21" s="479">
        <f t="shared" si="17"/>
        <v>1.4084507042253521E-2</v>
      </c>
      <c r="AH21" s="500">
        <f t="shared" si="18"/>
        <v>2.9198218702658267</v>
      </c>
      <c r="AI21" s="439">
        <f t="shared" si="19"/>
        <v>2.1953677508097273</v>
      </c>
      <c r="AJ21" s="500">
        <f t="shared" si="1"/>
        <v>2.1747541190421824</v>
      </c>
      <c r="AK21" s="118">
        <f>SK_1!$AQ$69+SK_1!$AQ$70*P24h_1!AJ21</f>
        <v>1.6745066647579372</v>
      </c>
      <c r="AL21" s="58">
        <f>IF(SK_1!$AU$91=FALSE,"-",10^AK21)</f>
        <v>47.261408965992715</v>
      </c>
      <c r="BH21" s="491"/>
      <c r="BI21" s="491"/>
      <c r="BL21" s="40"/>
    </row>
    <row r="22" spans="2:64" x14ac:dyDescent="0.3">
      <c r="B22" s="100"/>
      <c r="C22" s="479"/>
      <c r="D22" s="479"/>
      <c r="E22" s="499"/>
      <c r="F22" s="49"/>
      <c r="G22" s="479"/>
      <c r="J22" s="100"/>
      <c r="K22" s="479"/>
      <c r="L22" s="479"/>
      <c r="M22" s="479"/>
      <c r="N22" s="49"/>
      <c r="Q22" s="100"/>
      <c r="R22" s="479"/>
      <c r="S22" s="101"/>
      <c r="X22" s="100"/>
      <c r="Y22" s="479"/>
      <c r="Z22" s="500"/>
      <c r="AA22" s="501"/>
      <c r="AB22" s="500"/>
      <c r="AC22" s="49"/>
      <c r="AF22" s="100"/>
      <c r="AG22" s="479"/>
      <c r="AH22" s="500"/>
      <c r="AI22" s="439"/>
      <c r="AJ22" s="500"/>
      <c r="AK22" s="102"/>
      <c r="AL22" s="49"/>
      <c r="BH22" s="491"/>
      <c r="BI22" s="491"/>
      <c r="BL22" s="40"/>
    </row>
    <row r="23" spans="2:64" x14ac:dyDescent="0.3">
      <c r="BL23" s="40"/>
    </row>
    <row r="25" spans="2:64" x14ac:dyDescent="0.3">
      <c r="AN25" s="440" t="s">
        <v>76</v>
      </c>
    </row>
    <row r="26" spans="2:64" x14ac:dyDescent="0.3">
      <c r="AN26" s="24" t="s">
        <v>732</v>
      </c>
    </row>
    <row r="27" spans="2:64" x14ac:dyDescent="0.3">
      <c r="AN27" s="24" t="s">
        <v>331</v>
      </c>
    </row>
    <row r="28" spans="2:64" x14ac:dyDescent="0.3">
      <c r="AN28" s="24" t="s">
        <v>733</v>
      </c>
    </row>
    <row r="30" spans="2:64" ht="15.6" x14ac:dyDescent="0.3">
      <c r="AO30" s="70" t="s">
        <v>59</v>
      </c>
      <c r="AP30" s="537" t="str">
        <f>SK_1!G3</f>
        <v>YANTAC</v>
      </c>
      <c r="AQ30" s="537"/>
    </row>
    <row r="31" spans="2:64" ht="15.6" x14ac:dyDescent="0.3">
      <c r="BG31" s="32" t="str">
        <f>IF(BI15=1,"Normal",IF(BI16=1,"Log Normal",IF(BI17=1,"Gumbel",IF(BI18=1,"Pearson III",IF(BI23=1,"Log Pearson III","")))))</f>
        <v/>
      </c>
      <c r="BH31" s="39"/>
      <c r="BI31" s="39"/>
    </row>
    <row r="32" spans="2:64" x14ac:dyDescent="0.3">
      <c r="AP32" s="535" t="s">
        <v>913</v>
      </c>
      <c r="AQ32" s="535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G32" s="39"/>
      <c r="BH32" s="39"/>
      <c r="BI32" s="39"/>
    </row>
    <row r="33" spans="42:61" x14ac:dyDescent="0.3">
      <c r="AP33" s="535" t="str">
        <f>AP30</f>
        <v>YANTAC</v>
      </c>
      <c r="AQ33" s="535"/>
      <c r="AU33" s="420" t="s">
        <v>1</v>
      </c>
      <c r="AV33" s="420" t="s">
        <v>453</v>
      </c>
      <c r="AW33" s="420" t="s">
        <v>151</v>
      </c>
      <c r="AX33" s="73"/>
      <c r="AY33" s="420" t="s">
        <v>1</v>
      </c>
      <c r="AZ33" s="420" t="s">
        <v>453</v>
      </c>
      <c r="BA33" s="420" t="s">
        <v>151</v>
      </c>
      <c r="BB33" s="73"/>
      <c r="BC33" s="420" t="s">
        <v>1</v>
      </c>
      <c r="BD33" s="420" t="s">
        <v>453</v>
      </c>
      <c r="BE33" s="420" t="s">
        <v>151</v>
      </c>
      <c r="BG33" s="39"/>
      <c r="BH33" s="39"/>
      <c r="BI33" s="39"/>
    </row>
    <row r="34" spans="42:61" x14ac:dyDescent="0.3">
      <c r="AP34" s="534" t="s">
        <v>55</v>
      </c>
      <c r="AQ34" s="534" t="s">
        <v>720</v>
      </c>
      <c r="AS34" s="475"/>
      <c r="AT34" s="475"/>
      <c r="AU34" s="103">
        <v>1</v>
      </c>
      <c r="AV34" s="115">
        <f>IF(SK_1!C7="","",SMALL(Datos1,1))</f>
        <v>11.186999999999999</v>
      </c>
      <c r="AW34" s="345">
        <f>IF(AV34="","",(SK_1!$C$68+1)/(SK_1!$C$68-AU34+1))</f>
        <v>1.0188679245283019</v>
      </c>
      <c r="AX34" s="73"/>
      <c r="AY34" s="103">
        <v>21</v>
      </c>
      <c r="AZ34" s="115">
        <f>IF(SK_1!C27="","",SMALL(Datos1,21))</f>
        <v>17.853999999999999</v>
      </c>
      <c r="BA34" s="345">
        <f>IF(AZ34="","",(SK_1!$C$68+1)/(SK_1!$C$68-AY34+1))</f>
        <v>1.6363636363636365</v>
      </c>
      <c r="BB34" s="73"/>
      <c r="BC34" s="103">
        <v>41</v>
      </c>
      <c r="BD34" s="364">
        <f>IF(SK_1!C47="","",SMALL(Datos1,41))</f>
        <v>29.606000000000002</v>
      </c>
      <c r="BE34" s="345">
        <f>IF(BD34="","",(SK_1!$C$68+1)/(SK_1!$C$68-BC34+1))</f>
        <v>4.1538461538461542</v>
      </c>
      <c r="BG34" s="39"/>
    </row>
    <row r="35" spans="42:61" x14ac:dyDescent="0.3">
      <c r="AP35" s="534"/>
      <c r="AQ35" s="534"/>
      <c r="AS35" s="475"/>
      <c r="AT35" s="475"/>
      <c r="AU35" s="103">
        <v>2</v>
      </c>
      <c r="AV35" s="115">
        <f>IF(SK_1!C8="","",SMALL(Datos1,2))</f>
        <v>11.186999999999999</v>
      </c>
      <c r="AW35" s="345">
        <f>IF(AV35="","",(SK_1!$C$68+1)/(SK_1!$C$68-AU35+1))</f>
        <v>1.0384615384615385</v>
      </c>
      <c r="AX35" s="73"/>
      <c r="AY35" s="103">
        <v>22</v>
      </c>
      <c r="AZ35" s="115">
        <f>IF(SK_1!C28="","",SMALL(Datos1,21))</f>
        <v>17.853999999999999</v>
      </c>
      <c r="BA35" s="345">
        <f>IF(AZ35="","",(SK_1!$C$68+1)/(SK_1!$C$68-AY35+1))</f>
        <v>1.6875</v>
      </c>
      <c r="BB35" s="73"/>
      <c r="BC35" s="103">
        <v>42</v>
      </c>
      <c r="BD35" s="364">
        <f>IF(SK_1!C48="","",SMALL(Datos1,42))</f>
        <v>30.509999999999998</v>
      </c>
      <c r="BE35" s="345">
        <f>IF(BD35="","",(SK_1!$C$68+1)/(SK_1!$C$68-BC35+1))</f>
        <v>4.5</v>
      </c>
      <c r="BI35" s="18"/>
    </row>
    <row r="36" spans="42:61" x14ac:dyDescent="0.3">
      <c r="AP36" s="534"/>
      <c r="AQ36" s="416" t="str">
        <f>SK_1!BC35</f>
        <v>Pearson III</v>
      </c>
      <c r="AS36" s="475"/>
      <c r="AT36" s="475"/>
      <c r="AU36" s="103">
        <v>3</v>
      </c>
      <c r="AV36" s="115">
        <f>IF(SK_1!C9="","",SMALL(Datos1,3))</f>
        <v>11.299999999999999</v>
      </c>
      <c r="AW36" s="345">
        <f>IF(AV36="","",(SK_1!$C$68+1)/(SK_1!$C$68-AU36+1))</f>
        <v>1.0588235294117647</v>
      </c>
      <c r="AX36" s="73"/>
      <c r="AY36" s="103">
        <v>23</v>
      </c>
      <c r="AZ36" s="115">
        <f>IF(SK_1!C29="","",SMALL(Datos1,21))</f>
        <v>17.853999999999999</v>
      </c>
      <c r="BA36" s="345">
        <f>IF(AZ36="","",(SK_1!$C$68+1)/(SK_1!$C$68-AY36+1))</f>
        <v>1.7419354838709677</v>
      </c>
      <c r="BB36" s="73"/>
      <c r="BC36" s="103">
        <v>43</v>
      </c>
      <c r="BD36" s="364">
        <f>IF(SK_1!C49="","",SMALL(Datos1,43))</f>
        <v>30.735999999999997</v>
      </c>
      <c r="BE36" s="345">
        <f>IF(BD36="","",(SK_1!$C$68+1)/(SK_1!$C$68-BC36+1))</f>
        <v>4.9090909090909092</v>
      </c>
      <c r="BI36" s="18"/>
    </row>
    <row r="37" spans="42:61" x14ac:dyDescent="0.3">
      <c r="AP37" s="43">
        <f>AN8</f>
        <v>2</v>
      </c>
      <c r="AQ37" s="345">
        <f t="shared" ref="AQ37:AQ41" si="30">IF($AQ$36=$AO$7,AO8,IF($AQ$36=$AP$7,AP8,IF($AQ$36=$AQ$7,AQ8,IF($AQ$36=$AR$7,AR8,IF($AQ$36=$AS$7,AS8,"")))))</f>
        <v>21.678240799372862</v>
      </c>
      <c r="AS37" s="475"/>
      <c r="AT37" s="475"/>
      <c r="AU37" s="103">
        <v>4</v>
      </c>
      <c r="AV37" s="115">
        <f>IF(SK_1!C10="","",SMALL(Datos1,4))</f>
        <v>11.413</v>
      </c>
      <c r="AW37" s="345">
        <f>IF(AV37="","",(SK_1!$C$68+1)/(SK_1!$C$68-AU37+1))</f>
        <v>1.08</v>
      </c>
      <c r="AX37" s="73"/>
      <c r="AY37" s="103">
        <v>24</v>
      </c>
      <c r="AZ37" s="115">
        <f>IF(SK_1!C30="","",SMALL(Datos1,21))</f>
        <v>17.853999999999999</v>
      </c>
      <c r="BA37" s="345">
        <f>IF(AZ37="","",(SK_1!$C$68+1)/(SK_1!$C$68-AY37+1))</f>
        <v>1.8</v>
      </c>
      <c r="BB37" s="73"/>
      <c r="BC37" s="103">
        <v>44</v>
      </c>
      <c r="BD37" s="364">
        <f>IF(SK_1!C50="","",SMALL(Datos1,44))</f>
        <v>31.074999999999996</v>
      </c>
      <c r="BE37" s="345">
        <f>IF(BD37="","",(SK_1!$C$68+1)/(SK_1!$C$68-BC37+1))</f>
        <v>5.4</v>
      </c>
    </row>
    <row r="38" spans="42:61" x14ac:dyDescent="0.3">
      <c r="AP38" s="43">
        <f t="shared" ref="AP38:AP41" si="31">AN9</f>
        <v>5</v>
      </c>
      <c r="AQ38" s="345">
        <f t="shared" si="30"/>
        <v>29.012126430950175</v>
      </c>
      <c r="AS38" s="475"/>
      <c r="AT38" s="475"/>
      <c r="AU38" s="103">
        <v>5</v>
      </c>
      <c r="AV38" s="115">
        <f>IF(SK_1!C11="","",SMALL(Datos1,5))</f>
        <v>12.090999999999998</v>
      </c>
      <c r="AW38" s="345">
        <f>IF(AV38="","",(SK_1!$C$68+1)/(SK_1!$C$68-AU38+1))</f>
        <v>1.1020408163265305</v>
      </c>
      <c r="AX38" s="73"/>
      <c r="AY38" s="103">
        <v>25</v>
      </c>
      <c r="AZ38" s="115">
        <f>IF(SK_1!C31="","",SMALL(Datos1,25))</f>
        <v>19.774999999999999</v>
      </c>
      <c r="BA38" s="345">
        <f>IF(AZ38="","",(SK_1!$C$68+1)/(SK_1!$C$68-AY38+1))</f>
        <v>1.8620689655172413</v>
      </c>
      <c r="BB38" s="73"/>
      <c r="BC38" s="103">
        <v>45</v>
      </c>
      <c r="BD38" s="364">
        <f>IF(SK_1!C51="","",SMALL(Datos1,45))</f>
        <v>31.753</v>
      </c>
      <c r="BE38" s="345">
        <f>IF(BD38="","",(SK_1!$C$68+1)/(SK_1!$C$68-BC38+1))</f>
        <v>6</v>
      </c>
      <c r="BF38" s="220" t="s">
        <v>164</v>
      </c>
      <c r="BG38" s="221"/>
    </row>
    <row r="39" spans="42:61" x14ac:dyDescent="0.3">
      <c r="AP39" s="43">
        <f t="shared" si="31"/>
        <v>10</v>
      </c>
      <c r="AQ39" s="345">
        <f t="shared" si="30"/>
        <v>33.229465718568122</v>
      </c>
      <c r="AS39" s="475"/>
      <c r="AT39" s="475"/>
      <c r="AU39" s="103">
        <v>6</v>
      </c>
      <c r="AV39" s="115">
        <f>IF(SK_1!C12="","",SMALL(Datos1,6))</f>
        <v>12.090999999999998</v>
      </c>
      <c r="AW39" s="345">
        <f>IF(AV39="","",(SK_1!$C$68+1)/(SK_1!$C$68-AU39+1))</f>
        <v>1.125</v>
      </c>
      <c r="AX39" s="73"/>
      <c r="AY39" s="103">
        <v>26</v>
      </c>
      <c r="AZ39" s="115">
        <f>IF(SK_1!C32="","",SMALL(Datos1,26))</f>
        <v>20.000999999999998</v>
      </c>
      <c r="BA39" s="345">
        <f>IF(AZ39="","",(SK_1!$C$68+1)/(SK_1!$C$68-AY39+1))</f>
        <v>1.9285714285714286</v>
      </c>
      <c r="BB39" s="73"/>
      <c r="BC39" s="103">
        <v>46</v>
      </c>
      <c r="BD39" s="364">
        <f>IF(SK_1!C52="","",SMALL(Datos1,46))</f>
        <v>32.204999999999998</v>
      </c>
      <c r="BE39" s="345">
        <f>IF(BD39="","",(SK_1!$C$68+1)/(SK_1!$C$68-BC39+1))</f>
        <v>6.75</v>
      </c>
      <c r="BF39" s="152" t="s">
        <v>79</v>
      </c>
      <c r="BG39" s="220" t="s">
        <v>85</v>
      </c>
    </row>
    <row r="40" spans="42:61" x14ac:dyDescent="0.3">
      <c r="AP40" s="43">
        <f t="shared" si="31"/>
        <v>20</v>
      </c>
      <c r="AQ40" s="345">
        <f t="shared" si="30"/>
        <v>36.915997161120472</v>
      </c>
      <c r="AS40" s="475"/>
      <c r="AT40" s="475"/>
      <c r="AU40" s="103">
        <v>7</v>
      </c>
      <c r="AV40" s="115">
        <f>IF(SK_1!C13="","",SMALL(Datos1,7))</f>
        <v>12.203999999999999</v>
      </c>
      <c r="AW40" s="345">
        <f>IF(AV40="","",(SK_1!$C$68+1)/(SK_1!$C$68-AU40+1))</f>
        <v>1.1489361702127661</v>
      </c>
      <c r="AX40" s="73"/>
      <c r="AY40" s="103">
        <v>27</v>
      </c>
      <c r="AZ40" s="115">
        <f>IF(SK_1!C33="","",SMALL(Datos1,27))</f>
        <v>20.339999999999996</v>
      </c>
      <c r="BA40" s="345">
        <f>IF(AZ40="","",(SK_1!$C$68+1)/(SK_1!$C$68-AY40+1))</f>
        <v>2</v>
      </c>
      <c r="BB40" s="73"/>
      <c r="BC40" s="103">
        <v>47</v>
      </c>
      <c r="BD40" s="364">
        <f>IF(SK_1!C53="","",SMALL(Datos1,47))</f>
        <v>32.317999999999998</v>
      </c>
      <c r="BE40" s="345">
        <f>IF(BD40="","",(SK_1!$C$68+1)/(SK_1!$C$68-BC40+1))</f>
        <v>7.7142857142857144</v>
      </c>
      <c r="BF40" s="152" t="s">
        <v>173</v>
      </c>
      <c r="BG40" s="220" t="s">
        <v>174</v>
      </c>
    </row>
    <row r="41" spans="42:61" x14ac:dyDescent="0.3">
      <c r="AP41" s="43">
        <f t="shared" si="31"/>
        <v>25</v>
      </c>
      <c r="AQ41" s="345">
        <f t="shared" si="30"/>
        <v>38.025281803448721</v>
      </c>
      <c r="AS41" s="475"/>
      <c r="AT41" s="475"/>
      <c r="AU41" s="103">
        <v>8</v>
      </c>
      <c r="AV41" s="115">
        <f>IF(SK_1!C14="","",SMALL(Datos1,8))</f>
        <v>13.220999999999998</v>
      </c>
      <c r="AW41" s="345">
        <f>IF(AV41="","",(SK_1!$C$68+1)/(SK_1!$C$68-AU41+1))</f>
        <v>1.173913043478261</v>
      </c>
      <c r="AX41" s="73"/>
      <c r="AY41" s="103">
        <v>28</v>
      </c>
      <c r="AZ41" s="115">
        <f>IF(SK_1!C34="","",SMALL(Datos1,28))</f>
        <v>21.244</v>
      </c>
      <c r="BA41" s="345">
        <f>IF(AZ41="","",(SK_1!$C$68+1)/(SK_1!$C$68-AY41+1))</f>
        <v>2.0769230769230771</v>
      </c>
      <c r="BB41" s="73"/>
      <c r="BC41" s="103">
        <v>48</v>
      </c>
      <c r="BD41" s="364">
        <f>IF(SK_1!C54="","",SMALL(Datos1,48))</f>
        <v>33.108999999999995</v>
      </c>
      <c r="BE41" s="345">
        <f>IF(BD41="","",(SK_1!$C$68+1)/(SK_1!$C$68-BC41+1))</f>
        <v>9</v>
      </c>
      <c r="BF41" s="152" t="s">
        <v>175</v>
      </c>
      <c r="BG41" s="220" t="s">
        <v>176</v>
      </c>
    </row>
    <row r="42" spans="42:61" x14ac:dyDescent="0.3">
      <c r="AP42" s="43">
        <f>AP73</f>
        <v>30</v>
      </c>
      <c r="AQ42" s="345">
        <f>AQ73</f>
        <v>38.908997961188987</v>
      </c>
      <c r="AS42" s="475"/>
      <c r="AT42" s="475"/>
      <c r="AU42" s="103">
        <v>9</v>
      </c>
      <c r="AV42" s="115">
        <f>IF(SK_1!C15="","",SMALL(Datos1,9))</f>
        <v>13.898999999999999</v>
      </c>
      <c r="AW42" s="345">
        <f>IF(AV42="","",(SK_1!$C$68+1)/(SK_1!$C$68-AU42+1))</f>
        <v>1.2</v>
      </c>
      <c r="AX42" s="73"/>
      <c r="AY42" s="103">
        <v>29</v>
      </c>
      <c r="AZ42" s="115">
        <f>IF(SK_1!C35="","",SMALL(Datos1,29))</f>
        <v>21.582999999999998</v>
      </c>
      <c r="BA42" s="345">
        <f>IF(AZ42="","",(SK_1!$C$68+1)/(SK_1!$C$68-AY42+1))</f>
        <v>2.16</v>
      </c>
      <c r="BB42" s="73"/>
      <c r="BC42" s="103">
        <v>49</v>
      </c>
      <c r="BD42" s="364">
        <f>IF(SK_1!C55="","",SMALL(Datos1,49))</f>
        <v>35.481999999999992</v>
      </c>
      <c r="BE42" s="345">
        <f>IF(BD42="","",(SK_1!$C$68+1)/(SK_1!$C$68-BC42+1))</f>
        <v>10.8</v>
      </c>
      <c r="BF42" s="221"/>
      <c r="BG42" s="220" t="s">
        <v>461</v>
      </c>
    </row>
    <row r="43" spans="42:61" x14ac:dyDescent="0.3">
      <c r="AP43" s="43">
        <f>AP74</f>
        <v>35</v>
      </c>
      <c r="AQ43" s="345">
        <f>AQ74</f>
        <v>39.64173670293323</v>
      </c>
      <c r="AT43" s="475"/>
      <c r="AU43" s="103">
        <v>10</v>
      </c>
      <c r="AV43" s="115">
        <f>IF(SK_1!C16="","",SMALL(Datos1,10))</f>
        <v>13.898999999999999</v>
      </c>
      <c r="AW43" s="345">
        <f>IF(AV43="","",(SK_1!$C$68+1)/(SK_1!$C$68-AU43+1))</f>
        <v>1.2272727272727273</v>
      </c>
      <c r="AX43" s="73"/>
      <c r="AY43" s="103">
        <v>30</v>
      </c>
      <c r="AZ43" s="115">
        <f>IF(SK_1!C36="","",SMALL(Datos1,30))</f>
        <v>22.034999999999997</v>
      </c>
      <c r="BA43" s="345">
        <f>IF(AZ43="","",(SK_1!$C$68+1)/(SK_1!$C$68-AY43+1))</f>
        <v>2.25</v>
      </c>
      <c r="BB43" s="73"/>
      <c r="BC43" s="103">
        <v>50</v>
      </c>
      <c r="BD43" s="364">
        <f>IF(SK_1!C56="","",SMALL(Datos1,50))</f>
        <v>35.707999999999998</v>
      </c>
      <c r="BE43" s="345">
        <f>IF(BD43="","",(SK_1!$C$68+1)/(SK_1!$C$68-BC43+1))</f>
        <v>13.5</v>
      </c>
      <c r="BG43" s="220" t="s">
        <v>460</v>
      </c>
    </row>
    <row r="44" spans="42:61" x14ac:dyDescent="0.3">
      <c r="AP44" s="43">
        <f>AN13</f>
        <v>50</v>
      </c>
      <c r="AQ44" s="345">
        <f>IF($AQ$36=$AO$7,AO13,IF($AQ$36=$AP$7,AP13,IF($AQ$36=$AQ$7,AQ13,IF($AQ$36=$AR$7,AR13,IF($AQ$36=$AS$7,AS13,"")))))</f>
        <v>41.291723892266013</v>
      </c>
      <c r="AT44" s="475"/>
      <c r="AU44" s="103">
        <v>11</v>
      </c>
      <c r="AV44" s="115">
        <f>IF(SK_1!C17="","",SMALL(Datos1,11))</f>
        <v>13.898999999999999</v>
      </c>
      <c r="AW44" s="345">
        <f>IF(AV44="","",(SK_1!$C$68+1)/(SK_1!$C$68-AU44+1))</f>
        <v>1.2558139534883721</v>
      </c>
      <c r="AX44" s="73"/>
      <c r="AY44" s="103">
        <v>31</v>
      </c>
      <c r="AZ44" s="115">
        <f>IF(SK_1!C37="","",SMALL(Datos1,31))</f>
        <v>22.260999999999996</v>
      </c>
      <c r="BA44" s="345">
        <f>IF(AZ44="","",(SK_1!$C$68+1)/(SK_1!$C$68-AY44+1))</f>
        <v>2.347826086956522</v>
      </c>
      <c r="BB44" s="73"/>
      <c r="BC44" s="103">
        <v>51</v>
      </c>
      <c r="BD44" s="364">
        <f>IF(SK_1!C57="","",SMALL(Datos1,51))</f>
        <v>37.742000000000004</v>
      </c>
      <c r="BE44" s="345">
        <f>IF(BD44="","",(SK_1!$C$68+1)/(SK_1!$C$68-BC44+1))</f>
        <v>18</v>
      </c>
    </row>
    <row r="45" spans="42:61" x14ac:dyDescent="0.3">
      <c r="AP45" s="43">
        <f>AP75</f>
        <v>71</v>
      </c>
      <c r="AQ45" s="345">
        <f>AQ75</f>
        <v>42.859408116074576</v>
      </c>
      <c r="AT45" s="475"/>
      <c r="AU45" s="103">
        <v>12</v>
      </c>
      <c r="AV45" s="115">
        <f>IF(SK_1!C18="","",SMALL(Datos1,12))</f>
        <v>14.011999999999997</v>
      </c>
      <c r="AW45" s="345">
        <f>IF(AV45="","",(SK_1!$C$68+1)/(SK_1!$C$68-AU45+1))</f>
        <v>1.2857142857142858</v>
      </c>
      <c r="AX45" s="73"/>
      <c r="AY45" s="103">
        <v>32</v>
      </c>
      <c r="AZ45" s="115">
        <f>IF(SK_1!C38="","",SMALL(Datos1,32))</f>
        <v>22.260999999999996</v>
      </c>
      <c r="BA45" s="345">
        <f>IF(AZ45="","",(SK_1!$C$68+1)/(SK_1!$C$68-AY45+1))</f>
        <v>2.4545454545454546</v>
      </c>
      <c r="BB45" s="73"/>
      <c r="BC45" s="103">
        <v>52</v>
      </c>
      <c r="BD45" s="364">
        <f>IF(SK_1!C58="","",SMALL(Datos1,52))</f>
        <v>39.549999999999997</v>
      </c>
      <c r="BE45" s="345">
        <f>IF(BD45="","",(SK_1!$C$68+1)/(SK_1!$C$68-BC45+1))</f>
        <v>27</v>
      </c>
    </row>
    <row r="46" spans="42:61" x14ac:dyDescent="0.3">
      <c r="AP46" s="43">
        <f>AN14</f>
        <v>75</v>
      </c>
      <c r="AQ46" s="345">
        <f>IF($AQ$36=$AO$7,AO14,IF($AQ$36=$AP$7,AP14,IF($AQ$36=$AQ$7,AQ14,IF($AQ$36=$AR$7,AR14,IF($AQ$36=$AS$7,AS14,"")))))</f>
        <v>43.100058851484796</v>
      </c>
      <c r="AT46" s="475"/>
      <c r="AU46" s="103">
        <v>13</v>
      </c>
      <c r="AV46" s="115">
        <f>IF(SK_1!C19="","",SMALL(Datos1,13))</f>
        <v>15.254999999999999</v>
      </c>
      <c r="AW46" s="345">
        <f>IF(AV46="","",(SK_1!$C$68+1)/(SK_1!$C$68-AU46+1))</f>
        <v>1.3170731707317074</v>
      </c>
      <c r="AX46" s="73"/>
      <c r="AY46" s="103">
        <v>33</v>
      </c>
      <c r="AZ46" s="115">
        <f>IF(SK_1!C39="","",SMALL(Datos1,33))</f>
        <v>23.616999999999997</v>
      </c>
      <c r="BA46" s="345">
        <f>IF(AZ46="","",(SK_1!$C$68+1)/(SK_1!$C$68-AY46+1))</f>
        <v>2.5714285714285716</v>
      </c>
      <c r="BB46" s="73"/>
      <c r="BC46" s="103">
        <v>53</v>
      </c>
      <c r="BD46" s="364">
        <f>IF(SK_1!C59="","",SMALL(Datos1,53))</f>
        <v>40.227999999999987</v>
      </c>
      <c r="BE46" s="345">
        <f>IF(BD46="","",(SK_1!$C$68+1)/(SK_1!$C$68-BC46+1))</f>
        <v>54</v>
      </c>
    </row>
    <row r="47" spans="42:61" x14ac:dyDescent="0.3">
      <c r="AP47" s="43">
        <f>AN15</f>
        <v>100</v>
      </c>
      <c r="AQ47" s="345">
        <f>IF($AQ$36=$AO$7,AO15,IF($AQ$36=$AP$7,AP15,IF($AQ$36=$AQ$7,AQ15,IF($AQ$36=$AR$7,AR15,IF($AQ$36=$AS$7,AS15,"")))))</f>
        <v>44.345476961094342</v>
      </c>
      <c r="AT47" s="475"/>
      <c r="AU47" s="103">
        <v>14</v>
      </c>
      <c r="AV47" s="115">
        <f>IF(SK_1!C20="","",SMALL(Datos1,14))</f>
        <v>15.932999999999998</v>
      </c>
      <c r="AW47" s="345">
        <f>IF(AV47="","",(SK_1!$C$68+1)/(SK_1!$C$68-AU47+1))</f>
        <v>1.35</v>
      </c>
      <c r="AX47" s="73"/>
      <c r="AY47" s="103">
        <v>34</v>
      </c>
      <c r="AZ47" s="115">
        <f>IF(SK_1!C40="","",SMALL(Datos1,34))</f>
        <v>24.746999999999996</v>
      </c>
      <c r="BA47" s="345">
        <f>IF(AZ47="","",(SK_1!$C$68+1)/(SK_1!$C$68-AY47+1))</f>
        <v>2.7</v>
      </c>
      <c r="BB47" s="24"/>
      <c r="BC47" s="103">
        <v>54</v>
      </c>
      <c r="BD47" s="364" t="str">
        <f>IF(SK_1!C60="","",SMALL(Datos1,54))</f>
        <v/>
      </c>
      <c r="BE47" s="345" t="str">
        <f>IF(BD47="","",(SK_1!$C$68+1)/(SK_1!$C$68-BC47+1))</f>
        <v/>
      </c>
    </row>
    <row r="48" spans="42:61" x14ac:dyDescent="0.3">
      <c r="AP48" s="43">
        <f>AP72</f>
        <v>140</v>
      </c>
      <c r="AQ48" s="345">
        <f>AQ72</f>
        <v>45.767348664968608</v>
      </c>
      <c r="AT48" s="475"/>
      <c r="AU48" s="103">
        <v>15</v>
      </c>
      <c r="AV48" s="115">
        <f>IF(SK_1!C21="","",SMALL(Datos1,15))</f>
        <v>16.724</v>
      </c>
      <c r="AW48" s="345">
        <f>IF(AV48="","",(SK_1!$C$68+1)/(SK_1!$C$68-AU48+1))</f>
        <v>1.3846153846153846</v>
      </c>
      <c r="AX48" s="73"/>
      <c r="AY48" s="103">
        <v>35</v>
      </c>
      <c r="AZ48" s="115">
        <f>IF(SK_1!C41="","",SMALL(Datos1,35))</f>
        <v>26.102999999999998</v>
      </c>
      <c r="BA48" s="345">
        <f>IF(AZ48="","",(SK_1!$C$68+1)/(SK_1!$C$68-AY48+1))</f>
        <v>2.8421052631578947</v>
      </c>
      <c r="BB48" s="73"/>
      <c r="BC48" s="103">
        <v>55</v>
      </c>
      <c r="BD48" s="364" t="str">
        <f>IF(SK_1!C61="","",SMALL(Datos1,55))</f>
        <v/>
      </c>
      <c r="BE48" s="345" t="str">
        <f>IF(BD48="","",(SK_1!$C$68+1)/(SK_1!$C$68-BC48+1))</f>
        <v/>
      </c>
    </row>
    <row r="49" spans="27:59" x14ac:dyDescent="0.3">
      <c r="AP49" s="43">
        <f>AN16</f>
        <v>150</v>
      </c>
      <c r="AQ49" s="345">
        <f>IF($AQ$36=$AO$7,AO16,IF($AQ$36=$AP$7,AP16,IF($AQ$36=$AQ$7,AQ16,IF($AQ$36=$AR$7,AR16,IF($AQ$36=$AS$7,AS16,"")))))</f>
        <v>46.05463834635961</v>
      </c>
      <c r="AT49" s="475"/>
      <c r="AU49" s="103">
        <v>16</v>
      </c>
      <c r="AV49" s="115">
        <f>IF(SK_1!C22="","",SMALL(Datos1,16))</f>
        <v>17.062999999999999</v>
      </c>
      <c r="AW49" s="345">
        <f>IF(AV49="","",(SK_1!$C$68+1)/(SK_1!$C$68-AU49+1))</f>
        <v>1.4210526315789473</v>
      </c>
      <c r="AX49" s="73"/>
      <c r="AY49" s="103">
        <v>36</v>
      </c>
      <c r="AZ49" s="115">
        <f>IF(SK_1!C42="","",SMALL(Datos1,36))</f>
        <v>26.216000000000001</v>
      </c>
      <c r="BA49" s="345">
        <f>IF(AZ49="","",(SK_1!$C$68+1)/(SK_1!$C$68-AY49+1))</f>
        <v>3</v>
      </c>
      <c r="BC49" s="103">
        <v>56</v>
      </c>
      <c r="BD49" s="364" t="str">
        <f>IF(SK_1!C62="","",SMALL(Datos1,56))</f>
        <v/>
      </c>
      <c r="BE49" s="345" t="str">
        <f>IF(BD49="","",(SK_1!$C$68+1)/(SK_1!$C$68-BC49+1))</f>
        <v/>
      </c>
    </row>
    <row r="50" spans="27:59" x14ac:dyDescent="0.3">
      <c r="AP50" s="43">
        <f>AN17</f>
        <v>200</v>
      </c>
      <c r="AQ50" s="345">
        <f>IF($AQ$36=$AO$7,AO17,IF($AQ$36=$AP$7,AP17,IF($AQ$36=$AQ$7,AQ17,IF($AQ$36=$AR$7,AR17,IF($AQ$36=$AS$7,AS17,"")))))</f>
        <v>47.238109107904457</v>
      </c>
      <c r="AT50" s="475"/>
      <c r="AU50" s="103">
        <v>17</v>
      </c>
      <c r="AV50" s="115">
        <f>IF(SK_1!C23="","",SMALL(Datos1,17))</f>
        <v>17.175999999999998</v>
      </c>
      <c r="AW50" s="345">
        <f>IF(AV50="","",(SK_1!$C$68+1)/(SK_1!$C$68-AU50+1))</f>
        <v>1.4594594594594594</v>
      </c>
      <c r="AX50" s="73"/>
      <c r="AY50" s="103">
        <v>37</v>
      </c>
      <c r="AZ50" s="115">
        <f>IF(SK_1!C43="","",SMALL(Datos1,37))</f>
        <v>28.136999999999997</v>
      </c>
      <c r="BA50" s="345">
        <f>IF(AZ50="","",(SK_1!$C$68+1)/(SK_1!$C$68-AY50+1))</f>
        <v>3.1764705882352939</v>
      </c>
      <c r="BC50" s="103">
        <v>57</v>
      </c>
      <c r="BD50" s="364" t="str">
        <f>IF(SK_1!C63="","",SMALL(Datos1,57))</f>
        <v/>
      </c>
      <c r="BE50" s="345" t="str">
        <f>IF(BD50="","",(SK_1!$C$68+1)/(SK_1!$C$68-BC50+1))</f>
        <v/>
      </c>
    </row>
    <row r="51" spans="27:59" x14ac:dyDescent="0.3">
      <c r="AP51" s="43">
        <f>AN18</f>
        <v>500</v>
      </c>
      <c r="AQ51" s="345">
        <f>IF($AQ$36=$AO$7,AO18,IF($AQ$36=$AP$7,AP18,IF($AQ$36=$AQ$7,AQ18,IF($AQ$36=$AR$7,AR18,IF($AQ$36=$AS$7,AS18,"")))))</f>
        <v>50.871238809632288</v>
      </c>
      <c r="AT51" s="475"/>
      <c r="AU51" s="103">
        <v>18</v>
      </c>
      <c r="AV51" s="115">
        <f>IF(SK_1!C24="","",SMALL(Datos1,18))</f>
        <v>17.288999999999998</v>
      </c>
      <c r="AW51" s="345">
        <f>IF(AV51="","",(SK_1!$C$68+1)/(SK_1!$C$68-AU51+1))</f>
        <v>1.5</v>
      </c>
      <c r="AX51" s="73"/>
      <c r="AY51" s="103">
        <v>38</v>
      </c>
      <c r="AZ51" s="115">
        <f>IF(SK_1!C44="","",SMALL(Datos1,38))</f>
        <v>28.249999999999996</v>
      </c>
      <c r="BA51" s="345">
        <f>IF(AZ51="","",(SK_1!$C$68+1)/(SK_1!$C$68-AY51+1))</f>
        <v>3.375</v>
      </c>
      <c r="BC51" s="103">
        <v>58</v>
      </c>
      <c r="BD51" s="364" t="str">
        <f>IF(SK_1!C64="","",SMALL(Datos1,58))</f>
        <v/>
      </c>
      <c r="BE51" s="345" t="str">
        <f>IF(BD51="","",(SK_1!$C$68+1)/(SK_1!$C$68-BC51+1))</f>
        <v/>
      </c>
    </row>
    <row r="52" spans="27:59" x14ac:dyDescent="0.3">
      <c r="AP52" s="43">
        <f>AN19</f>
        <v>1000</v>
      </c>
      <c r="AQ52" s="345">
        <f>IF($AQ$36=$AO$7,AO19,IF($AQ$36=$AP$7,AP19,IF($AQ$36=$AQ$7,AQ19,IF($AQ$36=$AR$7,AR19,IF($AQ$36=$AS$7,AS19,"")))))</f>
        <v>53.504639886556831</v>
      </c>
      <c r="AT52" s="475"/>
      <c r="AU52" s="103">
        <v>19</v>
      </c>
      <c r="AV52" s="115">
        <f>IF(SK_1!C25="","",SMALL(Datos1,19))</f>
        <v>17.288999999999998</v>
      </c>
      <c r="AW52" s="345">
        <f>IF(AV52="","",(SK_1!$C$68+1)/(SK_1!$C$68-AU52+1))</f>
        <v>1.5428571428571429</v>
      </c>
      <c r="AX52" s="73"/>
      <c r="AY52" s="103">
        <v>39</v>
      </c>
      <c r="AZ52" s="364">
        <f>IF(SK_1!C45="","",SMALL(Datos1,39))</f>
        <v>28.475999999999996</v>
      </c>
      <c r="BA52" s="345">
        <f>IF(AZ52="","",(SK_1!$C$68+1)/(SK_1!$C$68-AY52+1))</f>
        <v>3.6</v>
      </c>
      <c r="BC52" s="103">
        <v>59</v>
      </c>
      <c r="BD52" s="364" t="str">
        <f>IF(SK_1!C65="","",SMALL(Datos1,59))</f>
        <v/>
      </c>
      <c r="BE52" s="345" t="str">
        <f>IF(BD52="","",(SK_1!$C$68+1)/(SK_1!$C$68-BC52+1))</f>
        <v/>
      </c>
    </row>
    <row r="53" spans="27:59" x14ac:dyDescent="0.3">
      <c r="AT53" s="475"/>
      <c r="AU53" s="103">
        <v>20</v>
      </c>
      <c r="AV53" s="115">
        <f>IF(SK_1!C26="","",SMALL(Datos1,20))</f>
        <v>17.740999999999996</v>
      </c>
      <c r="AW53" s="345">
        <f>IF(AV53="","",(SK_1!$C$68+1)/(SK_1!$C$68-AU53+1))</f>
        <v>1.588235294117647</v>
      </c>
      <c r="AX53" s="73"/>
      <c r="AY53" s="103">
        <v>40</v>
      </c>
      <c r="AZ53" s="364">
        <f>IF(SK_1!C46="","",SMALL(Datos1,40))</f>
        <v>28.814999999999998</v>
      </c>
      <c r="BA53" s="345">
        <f>IF(AZ53="","",(SK_1!$C$68+1)/(SK_1!$C$68-AY53+1))</f>
        <v>3.8571428571428572</v>
      </c>
      <c r="BC53" s="103">
        <v>60</v>
      </c>
      <c r="BD53" s="364" t="str">
        <f>IF(SK_1!C66="","",SMALL(Datos1,60))</f>
        <v/>
      </c>
      <c r="BE53" s="345" t="str">
        <f>IF(BD53="","",(SK_1!$C$68+1)/(SK_1!$C$68-BC53+1))</f>
        <v/>
      </c>
      <c r="BG53" s="8"/>
    </row>
    <row r="54" spans="27:59" x14ac:dyDescent="0.3">
      <c r="AU54" s="73"/>
      <c r="AV54" s="73"/>
      <c r="AW54" s="73"/>
      <c r="AX54" s="73"/>
      <c r="AY54" s="73"/>
      <c r="AZ54" s="73"/>
      <c r="BA54" s="73"/>
      <c r="BB54" s="73"/>
      <c r="BD54" s="290"/>
      <c r="BF54" s="15"/>
      <c r="BG54" s="15"/>
    </row>
    <row r="55" spans="27:59" x14ac:dyDescent="0.3">
      <c r="AP55" s="401" t="s">
        <v>717</v>
      </c>
      <c r="AQ55" s="449">
        <f>MAX(Datos1)</f>
        <v>40.227999999999987</v>
      </c>
      <c r="AR55" s="402" t="s">
        <v>3</v>
      </c>
    </row>
    <row r="63" spans="27:59" x14ac:dyDescent="0.3">
      <c r="AA63" s="40">
        <f>SK_1!AN68/6</f>
        <v>7.7673149254984447E-2</v>
      </c>
      <c r="AI63" s="40">
        <f>SK_1!$AV$68/6</f>
        <v>-5.3903343306596673E-3</v>
      </c>
    </row>
    <row r="65" spans="36:45" x14ac:dyDescent="0.3">
      <c r="AN65" s="530" t="s">
        <v>53</v>
      </c>
      <c r="AO65" s="531" t="s">
        <v>467</v>
      </c>
      <c r="AP65" s="531"/>
      <c r="AQ65" s="531"/>
      <c r="AR65" s="531"/>
      <c r="AS65" s="531"/>
    </row>
    <row r="66" spans="36:45" x14ac:dyDescent="0.3">
      <c r="AN66" s="530"/>
      <c r="AO66" s="416" t="s">
        <v>22</v>
      </c>
      <c r="AP66" s="416" t="s">
        <v>799</v>
      </c>
      <c r="AQ66" s="416" t="s">
        <v>800</v>
      </c>
      <c r="AR66" s="416" t="s">
        <v>23</v>
      </c>
      <c r="AS66" s="416" t="s">
        <v>24</v>
      </c>
    </row>
    <row r="67" spans="36:45" x14ac:dyDescent="0.3">
      <c r="AN67" s="497">
        <f>B18</f>
        <v>140</v>
      </c>
      <c r="AO67" s="498">
        <f>F18</f>
        <v>42.568984681031964</v>
      </c>
      <c r="AP67" s="498">
        <f>N18</f>
        <v>52.42160404625907</v>
      </c>
      <c r="AQ67" s="498">
        <f>S18</f>
        <v>50.424847237491406</v>
      </c>
      <c r="AR67" s="498">
        <f>AC18</f>
        <v>45.767348664968608</v>
      </c>
      <c r="AS67" s="498">
        <f>AL18</f>
        <v>51.900220808503981</v>
      </c>
    </row>
    <row r="68" spans="36:45" x14ac:dyDescent="0.3">
      <c r="AJ68" s="8"/>
      <c r="AK68" s="8"/>
      <c r="AL68" s="8"/>
      <c r="AM68" s="8"/>
      <c r="AN68" s="497">
        <f>B19</f>
        <v>30</v>
      </c>
      <c r="AO68" s="498">
        <f>F19</f>
        <v>37.476223611457186</v>
      </c>
      <c r="AP68" s="498">
        <f>N19</f>
        <v>41.56978441631604</v>
      </c>
      <c r="AQ68" s="498">
        <f>S19</f>
        <v>40.41004794297001</v>
      </c>
      <c r="AR68" s="498">
        <f>AC19</f>
        <v>38.908997961188987</v>
      </c>
      <c r="AS68" s="498">
        <f>AL19</f>
        <v>41.376437230551268</v>
      </c>
    </row>
    <row r="69" spans="36:45" x14ac:dyDescent="0.3">
      <c r="AJ69" s="8"/>
      <c r="AK69" s="8"/>
      <c r="AL69" s="8"/>
      <c r="AM69" s="8"/>
      <c r="AN69" s="497">
        <f>B20</f>
        <v>35</v>
      </c>
      <c r="AO69" s="498">
        <f>F20</f>
        <v>38.040831041657476</v>
      </c>
      <c r="AP69" s="498">
        <f>N20</f>
        <v>42.652594551727745</v>
      </c>
      <c r="AQ69" s="498">
        <f>S20</f>
        <v>41.419379964312284</v>
      </c>
      <c r="AR69" s="498">
        <f>AC20</f>
        <v>39.64173670293323</v>
      </c>
      <c r="AS69" s="498">
        <f>AL20</f>
        <v>42.432470653233239</v>
      </c>
    </row>
    <row r="70" spans="36:45" x14ac:dyDescent="0.3">
      <c r="AJ70" s="8"/>
      <c r="AK70" s="8"/>
      <c r="AL70" s="8"/>
      <c r="AM70" s="8"/>
      <c r="AN70" s="497">
        <f>B21</f>
        <v>71</v>
      </c>
      <c r="AO70" s="498">
        <f>F21</f>
        <v>40.460459346805031</v>
      </c>
      <c r="AP70" s="498">
        <f>N21</f>
        <v>47.621669737117692</v>
      </c>
      <c r="AQ70" s="498">
        <f>S21</f>
        <v>46.026022370261252</v>
      </c>
      <c r="AR70" s="498">
        <f>AC21</f>
        <v>42.859408116074576</v>
      </c>
      <c r="AS70" s="498">
        <f>AL21</f>
        <v>47.261408965992715</v>
      </c>
    </row>
    <row r="71" spans="36:45" ht="36" customHeight="1" x14ac:dyDescent="0.3">
      <c r="AJ71" s="8"/>
      <c r="AK71" s="8"/>
      <c r="AL71" s="8"/>
      <c r="AM71" s="8"/>
    </row>
    <row r="72" spans="36:45" x14ac:dyDescent="0.3">
      <c r="AJ72" s="8"/>
      <c r="AK72" s="8"/>
      <c r="AL72" s="8"/>
      <c r="AM72" s="8"/>
      <c r="AP72" s="497">
        <f>AN67</f>
        <v>140</v>
      </c>
      <c r="AQ72" s="498">
        <f>IF($AQ$36=$AO$7,AO67,IF($AQ$36=$AP$7,AP67,IF($AQ$36=$AQ$7,AQ67,IF($AQ$36=$AR$7,AR67,IF($AQ$36=$AS$7,AS67,"")))))</f>
        <v>45.767348664968608</v>
      </c>
    </row>
    <row r="73" spans="36:45" x14ac:dyDescent="0.3">
      <c r="AJ73" s="8"/>
      <c r="AK73" s="8"/>
      <c r="AL73" s="8"/>
      <c r="AM73" s="8"/>
      <c r="AP73" s="497">
        <f>AN68</f>
        <v>30</v>
      </c>
      <c r="AQ73" s="498">
        <f>IF($AQ$36=$AO$7,AO68,IF($AQ$36=$AP$7,AP68,IF($AQ$36=$AQ$7,AQ68,IF($AQ$36=$AR$7,AR68,IF($AQ$36=$AS$7,AS68,"")))))</f>
        <v>38.908997961188987</v>
      </c>
    </row>
    <row r="74" spans="36:45" x14ac:dyDescent="0.3">
      <c r="AJ74" s="8"/>
      <c r="AK74" s="8"/>
      <c r="AL74" s="8"/>
      <c r="AM74" s="8"/>
      <c r="AP74" s="497">
        <f>AN69</f>
        <v>35</v>
      </c>
      <c r="AQ74" s="498">
        <f>IF($AQ$36=$AO$7,AO69,IF($AQ$36=$AP$7,AP69,IF($AQ$36=$AQ$7,AQ69,IF($AQ$36=$AR$7,AR69,IF($AQ$36=$AS$7,AS69,"")))))</f>
        <v>39.64173670293323</v>
      </c>
    </row>
    <row r="75" spans="36:45" x14ac:dyDescent="0.3">
      <c r="AJ75" s="14"/>
      <c r="AK75" s="14"/>
      <c r="AL75" s="14"/>
      <c r="AM75" s="14"/>
      <c r="AP75" s="497">
        <f>AN70</f>
        <v>71</v>
      </c>
      <c r="AQ75" s="498">
        <f>IF($AQ$36=$AO$7,AO70,IF($AQ$36=$AP$7,AP70,IF($AQ$36=$AQ$7,AQ70,IF($AQ$36=$AR$7,AR70,IF($AQ$36=$AS$7,AS70,"")))))</f>
        <v>42.859408116074576</v>
      </c>
    </row>
    <row r="76" spans="36:45" x14ac:dyDescent="0.3">
      <c r="AJ76" s="8"/>
      <c r="AK76" s="8"/>
      <c r="AL76" s="8"/>
      <c r="AM76" s="8"/>
    </row>
    <row r="77" spans="36:45" x14ac:dyDescent="0.3">
      <c r="AJ77" s="8"/>
      <c r="AK77" s="8"/>
      <c r="AL77" s="8"/>
      <c r="AM77" s="8"/>
    </row>
    <row r="78" spans="36:45" x14ac:dyDescent="0.3">
      <c r="AJ78" s="8"/>
      <c r="AK78" s="8"/>
      <c r="AL78" s="8"/>
      <c r="AM78" s="8"/>
    </row>
    <row r="79" spans="36:45" x14ac:dyDescent="0.3">
      <c r="AJ79" s="8"/>
      <c r="AK79" s="8"/>
      <c r="AL79" s="8"/>
      <c r="AM79" s="8"/>
    </row>
    <row r="80" spans="36:45" x14ac:dyDescent="0.3">
      <c r="AJ80" s="8"/>
      <c r="AK80" s="8"/>
      <c r="AL80" s="8"/>
      <c r="AM80" s="8"/>
    </row>
    <row r="81" spans="11:39" x14ac:dyDescent="0.3">
      <c r="AJ81" s="8"/>
      <c r="AK81" s="8"/>
      <c r="AL81" s="8"/>
      <c r="AM81" s="8"/>
    </row>
    <row r="82" spans="11:39" x14ac:dyDescent="0.3">
      <c r="K82" s="6"/>
      <c r="AJ82" s="8"/>
      <c r="AK82" s="8"/>
      <c r="AL82" s="8"/>
      <c r="AM82" s="8"/>
    </row>
    <row r="83" spans="11:39" x14ac:dyDescent="0.3">
      <c r="K83" s="6"/>
      <c r="AJ83" s="8"/>
      <c r="AK83" s="8"/>
      <c r="AL83" s="8"/>
      <c r="AM83" s="8"/>
    </row>
    <row r="84" spans="11:39" x14ac:dyDescent="0.3">
      <c r="K84" s="6"/>
      <c r="AJ84" s="8"/>
      <c r="AK84" s="8"/>
      <c r="AL84" s="8"/>
      <c r="AM84" s="8"/>
    </row>
    <row r="85" spans="11:39" x14ac:dyDescent="0.3">
      <c r="K85" s="6"/>
      <c r="AJ85" s="8"/>
      <c r="AK85" s="8"/>
      <c r="AL85" s="8"/>
      <c r="AM85" s="8"/>
    </row>
    <row r="86" spans="11:39" x14ac:dyDescent="0.3">
      <c r="K86" s="6"/>
      <c r="AJ86" s="8"/>
      <c r="AK86" s="8"/>
      <c r="AL86" s="8"/>
      <c r="AM86" s="8"/>
    </row>
    <row r="87" spans="11:39" x14ac:dyDescent="0.3">
      <c r="K87" s="6"/>
      <c r="AJ87" s="8"/>
      <c r="AK87" s="8"/>
      <c r="AL87" s="8"/>
      <c r="AM87" s="8"/>
    </row>
    <row r="88" spans="11:39" x14ac:dyDescent="0.3">
      <c r="K88" s="6"/>
      <c r="AJ88" s="8"/>
      <c r="AK88" s="8"/>
      <c r="AL88" s="8"/>
      <c r="AM88" s="8"/>
    </row>
    <row r="89" spans="11:39" x14ac:dyDescent="0.3">
      <c r="K89" s="6"/>
      <c r="AJ89" s="8"/>
      <c r="AK89" s="8"/>
      <c r="AL89" s="8"/>
      <c r="AM89" s="8"/>
    </row>
    <row r="90" spans="11:39" x14ac:dyDescent="0.3">
      <c r="K90" s="6"/>
      <c r="AJ90" s="8"/>
      <c r="AK90" s="8"/>
      <c r="AL90" s="8"/>
      <c r="AM90" s="8"/>
    </row>
    <row r="91" spans="11:39" x14ac:dyDescent="0.3">
      <c r="K91" s="6"/>
      <c r="AJ91" s="8"/>
      <c r="AK91" s="8"/>
      <c r="AL91" s="8"/>
      <c r="AM91" s="8"/>
    </row>
    <row r="92" spans="11:39" x14ac:dyDescent="0.3">
      <c r="K92" s="6"/>
      <c r="AJ92" s="8"/>
      <c r="AK92" s="8"/>
      <c r="AL92" s="8"/>
      <c r="AM92" s="8"/>
    </row>
    <row r="93" spans="11:39" x14ac:dyDescent="0.3">
      <c r="K93" s="6"/>
      <c r="AJ93" s="8"/>
      <c r="AK93" s="8"/>
      <c r="AL93" s="8"/>
      <c r="AM93" s="8"/>
    </row>
    <row r="94" spans="11:39" x14ac:dyDescent="0.3">
      <c r="K94" s="6"/>
      <c r="AJ94" s="8"/>
      <c r="AK94" s="8"/>
      <c r="AL94" s="8"/>
      <c r="AM94" s="8"/>
    </row>
    <row r="95" spans="11:39" x14ac:dyDescent="0.3">
      <c r="K95" s="6"/>
      <c r="AJ95" s="8"/>
      <c r="AK95" s="8"/>
      <c r="AL95" s="8"/>
      <c r="AM95" s="8"/>
    </row>
    <row r="96" spans="11:39" x14ac:dyDescent="0.3">
      <c r="K96" s="6"/>
    </row>
    <row r="97" spans="11:39" x14ac:dyDescent="0.3">
      <c r="K97" s="6"/>
    </row>
    <row r="99" spans="11:39" x14ac:dyDescent="0.3">
      <c r="K99" s="3"/>
    </row>
    <row r="100" spans="11:39" x14ac:dyDescent="0.3">
      <c r="K100" s="3"/>
    </row>
    <row r="103" spans="11:39" x14ac:dyDescent="0.3">
      <c r="AJ103" s="8"/>
      <c r="AK103" s="8"/>
      <c r="AL103" s="8"/>
      <c r="AM103" s="8"/>
    </row>
    <row r="105" spans="11:39" x14ac:dyDescent="0.3">
      <c r="Y105" s="9"/>
      <c r="Z105" s="10"/>
      <c r="AA105" s="10"/>
      <c r="AB105" s="10"/>
      <c r="AC105" s="10"/>
      <c r="AD105" s="10"/>
      <c r="AE105" s="7"/>
      <c r="AF105" s="10"/>
      <c r="AG105" s="10"/>
      <c r="AH105" s="10"/>
    </row>
    <row r="106" spans="11:39" x14ac:dyDescent="0.3">
      <c r="Y106" s="9"/>
      <c r="Z106" s="10"/>
      <c r="AA106" s="10"/>
      <c r="AB106" s="10"/>
      <c r="AC106" s="10"/>
      <c r="AD106" s="10"/>
      <c r="AE106" s="10"/>
      <c r="AF106" s="10"/>
      <c r="AG106" s="10"/>
      <c r="AH106" s="10"/>
    </row>
    <row r="107" spans="11:39" x14ac:dyDescent="0.3">
      <c r="Y107" s="9"/>
      <c r="Z107" s="10"/>
      <c r="AA107" s="10"/>
      <c r="AB107" s="10"/>
      <c r="AC107" s="10"/>
      <c r="AD107" s="10"/>
      <c r="AE107" s="10"/>
      <c r="AF107" s="10"/>
      <c r="AG107" s="10"/>
      <c r="AH107" s="11"/>
    </row>
    <row r="108" spans="11:39" x14ac:dyDescent="0.3">
      <c r="Y108" s="9"/>
      <c r="Z108" s="10"/>
      <c r="AA108" s="10"/>
      <c r="AB108" s="10"/>
      <c r="AC108" s="10"/>
      <c r="AD108" s="10"/>
      <c r="AE108" s="10"/>
      <c r="AF108" s="10"/>
      <c r="AG108" s="10"/>
      <c r="AH108" s="10"/>
    </row>
    <row r="109" spans="11:39" x14ac:dyDescent="0.3">
      <c r="Y109" s="9"/>
      <c r="Z109" s="10"/>
      <c r="AA109" s="10"/>
      <c r="AB109" s="10"/>
      <c r="AC109" s="10"/>
      <c r="AD109" s="10"/>
      <c r="AE109" s="10"/>
      <c r="AF109" s="10"/>
      <c r="AG109" s="10"/>
      <c r="AH109" s="10"/>
    </row>
    <row r="110" spans="11:39" x14ac:dyDescent="0.3">
      <c r="Y110" s="9"/>
      <c r="Z110" s="10"/>
      <c r="AA110" s="10"/>
      <c r="AB110" s="10"/>
      <c r="AC110" s="10"/>
      <c r="AD110" s="10"/>
      <c r="AE110" s="7"/>
      <c r="AF110" s="10"/>
      <c r="AG110" s="10"/>
      <c r="AH110" s="10"/>
    </row>
    <row r="111" spans="11:39" x14ac:dyDescent="0.3">
      <c r="Y111" s="9"/>
      <c r="Z111" s="10"/>
      <c r="AA111" s="10"/>
      <c r="AB111" s="10"/>
      <c r="AC111" s="10"/>
      <c r="AD111" s="10"/>
      <c r="AE111" s="10"/>
      <c r="AF111" s="10"/>
      <c r="AG111" s="10"/>
      <c r="AH111" s="10"/>
    </row>
    <row r="112" spans="11:39" x14ac:dyDescent="0.3">
      <c r="Y112" s="9"/>
      <c r="Z112" s="10"/>
      <c r="AA112" s="10"/>
      <c r="AB112" s="10"/>
      <c r="AC112" s="10"/>
      <c r="AD112" s="10"/>
      <c r="AE112" s="10"/>
      <c r="AF112" s="10"/>
      <c r="AG112" s="10"/>
      <c r="AH112" s="10"/>
    </row>
    <row r="113" spans="25:34" x14ac:dyDescent="0.3">
      <c r="Y113" s="9"/>
      <c r="Z113" s="10"/>
      <c r="AA113" s="10"/>
      <c r="AB113" s="10"/>
      <c r="AC113" s="10"/>
      <c r="AD113" s="10"/>
      <c r="AE113" s="10"/>
      <c r="AF113" s="10"/>
      <c r="AG113" s="10"/>
      <c r="AH113" s="10"/>
    </row>
    <row r="114" spans="25:34" x14ac:dyDescent="0.3">
      <c r="Y114" s="9"/>
      <c r="Z114" s="10"/>
      <c r="AA114" s="10"/>
      <c r="AB114" s="10"/>
      <c r="AC114" s="10"/>
      <c r="AD114" s="11"/>
      <c r="AE114" s="10"/>
      <c r="AF114" s="10"/>
      <c r="AG114" s="10"/>
      <c r="AH114" s="10"/>
    </row>
    <row r="115" spans="25:34" x14ac:dyDescent="0.3">
      <c r="Y115" s="9"/>
      <c r="Z115" s="10"/>
      <c r="AA115" s="10"/>
      <c r="AB115" s="10"/>
      <c r="AC115" s="10"/>
      <c r="AD115" s="10"/>
      <c r="AE115" s="10"/>
      <c r="AF115" s="10"/>
      <c r="AG115" s="10"/>
      <c r="AH115" s="10"/>
    </row>
    <row r="116" spans="25:34" x14ac:dyDescent="0.3">
      <c r="Y116" s="9"/>
      <c r="Z116" s="10"/>
      <c r="AA116" s="10"/>
      <c r="AB116" s="10"/>
      <c r="AC116" s="10"/>
      <c r="AD116" s="10"/>
      <c r="AE116" s="10"/>
      <c r="AF116" s="10"/>
      <c r="AG116" s="10"/>
      <c r="AH116" s="10"/>
    </row>
    <row r="117" spans="25:34" x14ac:dyDescent="0.3">
      <c r="Y117" s="9"/>
      <c r="Z117" s="10"/>
      <c r="AA117" s="10"/>
      <c r="AB117" s="10"/>
      <c r="AC117" s="10"/>
      <c r="AD117" s="10"/>
      <c r="AE117" s="7"/>
      <c r="AF117" s="10"/>
      <c r="AG117" s="10"/>
      <c r="AH117" s="10"/>
    </row>
    <row r="118" spans="25:34" x14ac:dyDescent="0.3">
      <c r="Y118" s="9"/>
      <c r="Z118" s="10"/>
      <c r="AA118" s="10"/>
      <c r="AB118" s="10"/>
      <c r="AC118" s="10"/>
      <c r="AD118" s="10"/>
      <c r="AE118" s="10"/>
      <c r="AF118" s="10"/>
      <c r="AG118" s="10"/>
      <c r="AH118" s="10"/>
    </row>
    <row r="119" spans="25:34" x14ac:dyDescent="0.3">
      <c r="Y119" s="12"/>
      <c r="Z119" s="10"/>
      <c r="AA119" s="10"/>
      <c r="AB119" s="10"/>
      <c r="AC119" s="11"/>
      <c r="AD119" s="10"/>
      <c r="AE119" s="10"/>
      <c r="AF119" s="10"/>
      <c r="AG119" s="10"/>
      <c r="AH119" s="10"/>
    </row>
    <row r="120" spans="25:34" x14ac:dyDescent="0.3">
      <c r="Y120" s="9"/>
      <c r="Z120" s="10"/>
      <c r="AA120" s="10"/>
      <c r="AB120" s="10"/>
      <c r="AC120" s="10"/>
      <c r="AD120" s="10"/>
      <c r="AE120" s="10"/>
      <c r="AF120" s="10"/>
      <c r="AG120" s="10"/>
      <c r="AH120" s="10"/>
    </row>
    <row r="121" spans="25:34" x14ac:dyDescent="0.3">
      <c r="Y121" s="9"/>
      <c r="Z121" s="10"/>
      <c r="AA121" s="10"/>
      <c r="AB121" s="10"/>
      <c r="AC121" s="10"/>
      <c r="AD121" s="10"/>
      <c r="AE121" s="10"/>
      <c r="AF121" s="10"/>
      <c r="AG121" s="10"/>
      <c r="AH121" s="10"/>
    </row>
    <row r="122" spans="25:34" x14ac:dyDescent="0.3">
      <c r="Y122" s="9"/>
      <c r="Z122" s="10"/>
      <c r="AA122" s="10"/>
      <c r="AB122" s="10"/>
      <c r="AC122" s="10"/>
      <c r="AD122" s="10"/>
      <c r="AE122" s="10"/>
      <c r="AF122" s="10"/>
      <c r="AG122" s="10"/>
      <c r="AH122" s="10"/>
    </row>
    <row r="123" spans="25:34" x14ac:dyDescent="0.3">
      <c r="Y123" s="9"/>
      <c r="Z123" s="10"/>
      <c r="AA123" s="10"/>
      <c r="AB123" s="10"/>
      <c r="AC123" s="10"/>
      <c r="AD123" s="10"/>
      <c r="AE123" s="10"/>
      <c r="AF123" s="10"/>
      <c r="AG123" s="10"/>
      <c r="AH123" s="10"/>
    </row>
    <row r="124" spans="25:34" x14ac:dyDescent="0.3">
      <c r="Y124" s="9"/>
      <c r="Z124" s="10"/>
      <c r="AA124" s="10"/>
      <c r="AB124" s="10"/>
      <c r="AC124" s="10"/>
      <c r="AD124" s="10"/>
      <c r="AE124" s="10"/>
      <c r="AF124" s="10"/>
      <c r="AG124" s="10"/>
      <c r="AH124" s="10"/>
    </row>
    <row r="125" spans="25:34" x14ac:dyDescent="0.3">
      <c r="Y125" s="9"/>
      <c r="Z125" s="10"/>
      <c r="AA125" s="10"/>
      <c r="AB125" s="10"/>
      <c r="AC125" s="10"/>
      <c r="AD125" s="10"/>
      <c r="AE125" s="10"/>
      <c r="AF125" s="10"/>
      <c r="AG125" s="10"/>
      <c r="AH125" s="10"/>
    </row>
    <row r="126" spans="25:34" x14ac:dyDescent="0.3">
      <c r="Y126" s="9"/>
      <c r="Z126" s="10"/>
      <c r="AA126" s="10"/>
      <c r="AB126" s="10"/>
      <c r="AC126" s="10"/>
      <c r="AD126" s="10"/>
      <c r="AE126" s="10"/>
      <c r="AF126" s="10"/>
      <c r="AG126" s="10"/>
      <c r="AH126" s="10"/>
    </row>
    <row r="127" spans="25:34" x14ac:dyDescent="0.3">
      <c r="Y127" s="9"/>
      <c r="Z127" s="10"/>
      <c r="AA127" s="10"/>
      <c r="AB127" s="10"/>
      <c r="AC127" s="10"/>
      <c r="AD127" s="10"/>
      <c r="AE127" s="10"/>
      <c r="AF127" s="10"/>
      <c r="AG127" s="10"/>
      <c r="AH127" s="10"/>
    </row>
    <row r="128" spans="25:34" x14ac:dyDescent="0.3">
      <c r="Y128" s="9"/>
      <c r="Z128" s="10"/>
      <c r="AA128" s="10"/>
      <c r="AB128" s="10"/>
      <c r="AC128" s="10"/>
      <c r="AD128" s="10"/>
      <c r="AE128" s="10"/>
      <c r="AF128" s="10"/>
      <c r="AG128" s="10"/>
      <c r="AH128" s="10"/>
    </row>
    <row r="129" spans="25:34" x14ac:dyDescent="0.3">
      <c r="Y129" s="9"/>
      <c r="Z129" s="10"/>
      <c r="AA129" s="10"/>
      <c r="AB129" s="10"/>
      <c r="AC129" s="10"/>
      <c r="AD129" s="10"/>
      <c r="AE129" s="10"/>
      <c r="AF129" s="10"/>
      <c r="AG129" s="10"/>
      <c r="AH129" s="10"/>
    </row>
    <row r="130" spans="25:34" x14ac:dyDescent="0.3">
      <c r="Y130" s="9"/>
      <c r="Z130" s="10"/>
      <c r="AA130" s="10"/>
      <c r="AB130" s="10"/>
      <c r="AC130" s="10"/>
      <c r="AD130" s="10"/>
      <c r="AE130" s="10"/>
      <c r="AF130" s="10"/>
      <c r="AG130" s="10"/>
      <c r="AH130" s="10"/>
    </row>
    <row r="131" spans="25:34" x14ac:dyDescent="0.3">
      <c r="Y131" s="9"/>
      <c r="Z131" s="10"/>
      <c r="AA131" s="10"/>
      <c r="AB131" s="10"/>
      <c r="AC131" s="10"/>
      <c r="AD131" s="10"/>
      <c r="AE131" s="10"/>
      <c r="AF131" s="10"/>
      <c r="AG131" s="10"/>
      <c r="AH131" s="10"/>
    </row>
    <row r="132" spans="25:34" x14ac:dyDescent="0.3">
      <c r="Y132" s="9"/>
      <c r="Z132" s="10"/>
      <c r="AA132" s="10"/>
      <c r="AB132" s="10"/>
      <c r="AC132" s="10"/>
      <c r="AD132" s="10"/>
      <c r="AE132" s="10"/>
      <c r="AF132" s="10"/>
      <c r="AG132" s="10"/>
      <c r="AH132" s="10"/>
    </row>
    <row r="133" spans="25:34" x14ac:dyDescent="0.3">
      <c r="Y133" s="9"/>
      <c r="Z133" s="10"/>
      <c r="AA133" s="10"/>
      <c r="AB133" s="10"/>
      <c r="AC133" s="10"/>
      <c r="AD133" s="10"/>
      <c r="AE133" s="10"/>
      <c r="AF133" s="10"/>
      <c r="AG133" s="10"/>
      <c r="AH133" s="10"/>
    </row>
    <row r="134" spans="25:34" x14ac:dyDescent="0.3">
      <c r="Y134" s="13"/>
      <c r="Z134" s="10"/>
      <c r="AA134" s="10"/>
      <c r="AB134" s="10"/>
      <c r="AC134" s="10"/>
      <c r="AD134" s="10"/>
      <c r="AE134" s="10"/>
      <c r="AF134" s="10"/>
      <c r="AG134" s="10"/>
      <c r="AH134" s="11"/>
    </row>
  </sheetData>
  <mergeCells count="17">
    <mergeCell ref="A1:H1"/>
    <mergeCell ref="I1:O1"/>
    <mergeCell ref="AE1:AL1"/>
    <mergeCell ref="AP30:AQ30"/>
    <mergeCell ref="AN6:AN7"/>
    <mergeCell ref="AO6:AS6"/>
    <mergeCell ref="AM1:AT1"/>
    <mergeCell ref="P1:V1"/>
    <mergeCell ref="W1:AD1"/>
    <mergeCell ref="AN65:AN66"/>
    <mergeCell ref="AO65:AS65"/>
    <mergeCell ref="BH9:BI18"/>
    <mergeCell ref="AU1:BG1"/>
    <mergeCell ref="AP34:AP36"/>
    <mergeCell ref="AQ34:AQ35"/>
    <mergeCell ref="AP32:AQ32"/>
    <mergeCell ref="AP33:AQ33"/>
  </mergeCells>
  <printOptions horizontalCentered="1"/>
  <pageMargins left="0.78740157480314965" right="0.39370078740157483" top="0.86614173228346458" bottom="0.86614173228346458" header="0.31496062992125984" footer="0.31496062992125984"/>
  <pageSetup paperSize="9" scale="75" orientation="portrait" r:id="rId1"/>
  <headerFooter scaleWithDoc="0">
    <oddHeader xml:space="preserve">&amp;R&amp;"Arial Narrow,Negrita"&amp;9Ing. Aquiles Berrocal Rodríguez&amp;"Arial Narrow,Normal"
Ing. Civil – CIP: 196696
Especialista Hidrología, Hidráulica y Drenaje </oddHeader>
    <oddFooter>&amp;L&amp;"Arial Narrow,Normal"&amp;9Rev.:B - Agosto 2018
Proyecto: Actualización Hidrológica para el Estudio de Pre-Factibilidad de
la Presa de Relaves Pukaqaqa, U.M. Pukaqaqa, Milpo - Huancavelica&amp;R&amp;"Arial Narrow,Negrita"&amp;9ANEXO A: HIDROLOGIA</oddFooter>
  </headerFooter>
  <colBreaks count="7" manualBreakCount="7">
    <brk id="8" max="49" man="1"/>
    <brk id="15" max="49" man="1"/>
    <brk id="22" max="49" man="1"/>
    <brk id="30" max="49" man="1"/>
    <brk id="38" max="49" man="1"/>
    <brk id="46" max="54" man="1"/>
    <brk id="62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paraImpresion2">
                <anchor moveWithCells="1" sizeWithCells="1">
                  <from>
                    <xdr:col>1</xdr:col>
                    <xdr:colOff>822960</xdr:colOff>
                    <xdr:row>54</xdr:row>
                    <xdr:rowOff>137160</xdr:rowOff>
                  </from>
                  <to>
                    <xdr:col>3</xdr:col>
                    <xdr:colOff>251460</xdr:colOff>
                    <xdr:row>57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stauraColores2">
                <anchor moveWithCells="1" sizeWithCells="1">
                  <from>
                    <xdr:col>3</xdr:col>
                    <xdr:colOff>487680</xdr:colOff>
                    <xdr:row>55</xdr:row>
                    <xdr:rowOff>22860</xdr:rowOff>
                  </from>
                  <to>
                    <xdr:col>5</xdr:col>
                    <xdr:colOff>899160</xdr:colOff>
                    <xdr:row>57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tabColor rgb="FF0070C0"/>
  </sheetPr>
  <dimension ref="A1:CH401"/>
  <sheetViews>
    <sheetView showGridLines="0" tabSelected="1" view="pageBreakPreview" topLeftCell="A128" zoomScale="85" zoomScaleNormal="70" zoomScaleSheetLayoutView="85" workbookViewId="0">
      <selection activeCell="F144" sqref="F144"/>
    </sheetView>
  </sheetViews>
  <sheetFormatPr baseColWidth="10" defaultRowHeight="14.4" x14ac:dyDescent="0.3"/>
  <cols>
    <col min="1" max="1" width="7.6640625" customWidth="1"/>
    <col min="2" max="2" width="9.5546875" customWidth="1"/>
    <col min="3" max="3" width="11.5546875" customWidth="1"/>
    <col min="4" max="4" width="10.6640625" customWidth="1"/>
    <col min="5" max="5" width="12.6640625" customWidth="1"/>
    <col min="6" max="11" width="13.6640625" customWidth="1"/>
    <col min="12" max="12" width="10.33203125" customWidth="1"/>
    <col min="13" max="13" width="14.109375" customWidth="1"/>
    <col min="14" max="14" width="13.6640625" bestFit="1" customWidth="1"/>
    <col min="15" max="18" width="13.6640625" customWidth="1"/>
    <col min="19" max="19" width="14.88671875" customWidth="1"/>
    <col min="20" max="21" width="13.6640625" customWidth="1"/>
    <col min="23" max="23" width="12.33203125" customWidth="1"/>
    <col min="25" max="31" width="13.6640625" customWidth="1"/>
    <col min="33" max="33" width="12.33203125" customWidth="1"/>
    <col min="35" max="41" width="13.6640625" customWidth="1"/>
    <col min="43" max="43" width="12.33203125" customWidth="1"/>
    <col min="45" max="51" width="13.6640625" customWidth="1"/>
    <col min="53" max="53" width="10.44140625" customWidth="1"/>
    <col min="55" max="62" width="12.6640625" customWidth="1"/>
    <col min="68" max="68" width="32.44140625" customWidth="1"/>
    <col min="69" max="69" width="15.6640625" customWidth="1"/>
    <col min="70" max="70" width="16.5546875" customWidth="1"/>
    <col min="71" max="71" width="22.33203125" customWidth="1"/>
    <col min="72" max="72" width="14" customWidth="1"/>
    <col min="73" max="73" width="15.33203125" customWidth="1"/>
    <col min="74" max="74" width="14.5546875" customWidth="1"/>
    <col min="75" max="75" width="13.33203125" customWidth="1"/>
    <col min="76" max="76" width="14.33203125" customWidth="1"/>
    <col min="77" max="77" width="32.44140625" customWidth="1"/>
    <col min="78" max="78" width="15.6640625" customWidth="1"/>
    <col min="79" max="79" width="16.5546875" customWidth="1"/>
    <col min="80" max="80" width="22.33203125" customWidth="1"/>
    <col min="81" max="81" width="14" customWidth="1"/>
    <col min="82" max="82" width="15.33203125" customWidth="1"/>
    <col min="83" max="83" width="14.5546875" customWidth="1"/>
    <col min="84" max="84" width="13.33203125" customWidth="1"/>
    <col min="85" max="85" width="14.33203125" customWidth="1"/>
    <col min="86" max="178" width="8.33203125" customWidth="1"/>
    <col min="179" max="179" width="9.33203125" customWidth="1"/>
  </cols>
  <sheetData>
    <row r="1" spans="2:76" ht="15.6" x14ac:dyDescent="0.3">
      <c r="B1" s="533" t="s">
        <v>78</v>
      </c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 t="s">
        <v>78</v>
      </c>
      <c r="N1" s="533"/>
      <c r="O1" s="533"/>
      <c r="P1" s="533"/>
      <c r="Q1" s="533"/>
      <c r="R1" s="533"/>
      <c r="S1" s="533"/>
      <c r="T1" s="533"/>
      <c r="U1" s="533"/>
      <c r="V1" s="533"/>
      <c r="W1" s="533" t="s">
        <v>78</v>
      </c>
      <c r="X1" s="533"/>
      <c r="Y1" s="533"/>
      <c r="Z1" s="533"/>
      <c r="AA1" s="533"/>
      <c r="AB1" s="533"/>
      <c r="AC1" s="533"/>
      <c r="AD1" s="533"/>
      <c r="AE1" s="533"/>
      <c r="AF1" s="533"/>
      <c r="BK1" s="167" t="s">
        <v>525</v>
      </c>
      <c r="BL1" s="105" t="s">
        <v>116</v>
      </c>
      <c r="BM1" s="105" t="s">
        <v>117</v>
      </c>
      <c r="BN1" s="105" t="s">
        <v>118</v>
      </c>
      <c r="BO1" s="105"/>
      <c r="BP1" t="s">
        <v>123</v>
      </c>
    </row>
    <row r="2" spans="2:76" ht="14.1" customHeight="1" thickBot="1" x14ac:dyDescent="0.35">
      <c r="BL2" s="107" t="s">
        <v>119</v>
      </c>
      <c r="BM2" s="107" t="s">
        <v>120</v>
      </c>
      <c r="BN2" s="107" t="s">
        <v>121</v>
      </c>
      <c r="BO2" s="105"/>
    </row>
    <row r="3" spans="2:76" ht="15.6" x14ac:dyDescent="0.3">
      <c r="B3" s="70" t="s">
        <v>82</v>
      </c>
      <c r="C3" s="29" t="s">
        <v>158</v>
      </c>
      <c r="D3" s="29"/>
      <c r="J3" s="104" t="s">
        <v>59</v>
      </c>
      <c r="K3" s="569" t="str">
        <f>SK_1!G3</f>
        <v>YANTAC</v>
      </c>
      <c r="L3" s="569"/>
      <c r="M3" s="70" t="s">
        <v>82</v>
      </c>
      <c r="N3" s="29" t="s">
        <v>158</v>
      </c>
      <c r="O3" s="29"/>
      <c r="T3" s="104" t="s">
        <v>59</v>
      </c>
      <c r="U3" s="569" t="str">
        <f>K3</f>
        <v>YANTAC</v>
      </c>
      <c r="V3" s="569"/>
      <c r="W3" s="70" t="s">
        <v>82</v>
      </c>
      <c r="X3" s="29" t="s">
        <v>158</v>
      </c>
      <c r="Y3" s="29"/>
      <c r="AD3" s="104" t="s">
        <v>59</v>
      </c>
      <c r="AE3" s="569" t="str">
        <f>U3</f>
        <v>YANTAC</v>
      </c>
      <c r="AF3" s="569"/>
      <c r="AG3" s="114"/>
      <c r="AH3" s="114"/>
      <c r="AI3" s="114"/>
      <c r="AJ3" s="114"/>
      <c r="AK3" s="114"/>
      <c r="AL3" s="114"/>
      <c r="AM3" s="114"/>
      <c r="AN3" s="114"/>
      <c r="AO3" s="114"/>
      <c r="AP3" s="114"/>
      <c r="AQ3" s="114"/>
      <c r="AR3" s="114"/>
      <c r="AS3" s="114"/>
      <c r="AT3" s="114"/>
      <c r="AU3" s="114"/>
      <c r="AV3" s="114"/>
      <c r="AW3" s="114"/>
      <c r="AX3" s="114"/>
      <c r="AY3" s="114"/>
      <c r="AZ3" s="114"/>
      <c r="BA3" s="114"/>
      <c r="BB3" s="114"/>
      <c r="BC3" s="114"/>
      <c r="BD3" s="114"/>
      <c r="BE3" s="114"/>
      <c r="BF3" s="114"/>
      <c r="BG3" s="114"/>
      <c r="BH3" s="114"/>
      <c r="BI3" s="114"/>
      <c r="BJ3" s="114"/>
      <c r="BK3" s="114"/>
      <c r="BL3">
        <f>LOG(P20)</f>
        <v>1.4173693748207759</v>
      </c>
      <c r="BM3">
        <f>LOG(N20)</f>
        <v>0.3010299956639812</v>
      </c>
      <c r="BN3">
        <f>LOG($P$19)</f>
        <v>0.69897000433601886</v>
      </c>
      <c r="BP3" s="518" t="s">
        <v>124</v>
      </c>
      <c r="BQ3" s="518"/>
    </row>
    <row r="4" spans="2:76" ht="14.1" customHeight="1" x14ac:dyDescent="0.3">
      <c r="BL4">
        <f t="shared" ref="BL4:BL9" si="0">LOG(P21)</f>
        <v>1.5276597265603058</v>
      </c>
      <c r="BM4">
        <f t="shared" ref="BM4:BM9" si="1">LOG(N21)</f>
        <v>0.69897000433601886</v>
      </c>
      <c r="BN4">
        <f t="shared" ref="BN4:BN9" si="2">LOG($P$19)</f>
        <v>0.69897000433601886</v>
      </c>
      <c r="BP4" t="s">
        <v>125</v>
      </c>
      <c r="BQ4">
        <v>0.99593810085297574</v>
      </c>
    </row>
    <row r="5" spans="2:76" x14ac:dyDescent="0.3">
      <c r="B5" s="533" t="s">
        <v>1</v>
      </c>
      <c r="C5" s="592" t="s">
        <v>286</v>
      </c>
      <c r="D5" s="530" t="s">
        <v>159</v>
      </c>
      <c r="E5" s="534" t="s">
        <v>160</v>
      </c>
      <c r="N5" s="533" t="s">
        <v>81</v>
      </c>
      <c r="O5" s="533"/>
      <c r="P5" s="533"/>
      <c r="Q5" s="533"/>
      <c r="R5" s="533"/>
      <c r="S5" s="533"/>
      <c r="T5" s="533"/>
      <c r="U5" s="533"/>
      <c r="V5" s="533"/>
      <c r="W5" s="24" t="s">
        <v>180</v>
      </c>
      <c r="BL5">
        <f t="shared" si="0"/>
        <v>1.5957174988032097</v>
      </c>
      <c r="BM5">
        <f t="shared" si="1"/>
        <v>1</v>
      </c>
      <c r="BN5">
        <f t="shared" si="2"/>
        <v>0.69897000433601886</v>
      </c>
      <c r="BP5" t="s">
        <v>126</v>
      </c>
      <c r="BQ5">
        <v>0.99189270073063218</v>
      </c>
    </row>
    <row r="6" spans="2:76" x14ac:dyDescent="0.3">
      <c r="B6" s="533"/>
      <c r="C6" s="592"/>
      <c r="D6" s="530"/>
      <c r="E6" s="534"/>
      <c r="N6" s="530" t="s">
        <v>55</v>
      </c>
      <c r="O6" s="530" t="s">
        <v>45</v>
      </c>
      <c r="P6" s="533" t="s">
        <v>80</v>
      </c>
      <c r="Q6" s="533"/>
      <c r="R6" s="533"/>
      <c r="S6" s="533"/>
      <c r="T6" s="533"/>
      <c r="U6" s="533"/>
      <c r="V6" s="533"/>
      <c r="BL6">
        <f t="shared" si="0"/>
        <v>1.654540821618198</v>
      </c>
      <c r="BM6">
        <f t="shared" si="1"/>
        <v>1.3010299956639813</v>
      </c>
      <c r="BN6">
        <f t="shared" si="2"/>
        <v>0.69897000433601886</v>
      </c>
      <c r="BP6" t="s">
        <v>127</v>
      </c>
      <c r="BQ6">
        <v>0.99154020945805099</v>
      </c>
    </row>
    <row r="7" spans="2:76" ht="13.5" customHeight="1" x14ac:dyDescent="0.3">
      <c r="B7" s="103">
        <v>1</v>
      </c>
      <c r="C7" s="364">
        <f>IF(SK_1!F7="","",SK_1!F7)</f>
        <v>40.227999999999987</v>
      </c>
      <c r="D7" s="345">
        <f t="shared" ref="D7:D66" si="3">IF(B7="","",($C$68+1)/B7)</f>
        <v>54</v>
      </c>
      <c r="E7" s="115">
        <f>IF(B7="","",(C7)/((0.21*LN(D7)+0.52)*(0.54*(1440^0.25)-0.5)))</f>
        <v>10.482952196118669</v>
      </c>
      <c r="N7" s="530"/>
      <c r="O7" s="530"/>
      <c r="P7" s="416">
        <v>5</v>
      </c>
      <c r="Q7" s="416">
        <v>10</v>
      </c>
      <c r="R7" s="416">
        <v>15</v>
      </c>
      <c r="S7" s="416">
        <v>20</v>
      </c>
      <c r="T7" s="416">
        <v>30</v>
      </c>
      <c r="U7" s="416">
        <v>60</v>
      </c>
      <c r="V7" s="416">
        <v>120</v>
      </c>
      <c r="BL7">
        <f t="shared" si="0"/>
        <v>1.6718996484778852</v>
      </c>
      <c r="BM7">
        <f t="shared" si="1"/>
        <v>1.3979400086720377</v>
      </c>
      <c r="BN7">
        <f t="shared" si="2"/>
        <v>0.69897000433601886</v>
      </c>
      <c r="BP7" t="s">
        <v>128</v>
      </c>
      <c r="BQ7">
        <v>2.4683125373223026E-2</v>
      </c>
    </row>
    <row r="8" spans="2:76" ht="13.5" customHeight="1" thickBot="1" x14ac:dyDescent="0.35">
      <c r="B8" s="103">
        <f t="shared" ref="B8:B66" si="4">IF(C8="","",B7+1)</f>
        <v>2</v>
      </c>
      <c r="C8" s="364">
        <f>IF(SK_1!F8="","",SK_1!F8)</f>
        <v>39.549999999999997</v>
      </c>
      <c r="D8" s="345">
        <f t="shared" si="3"/>
        <v>27</v>
      </c>
      <c r="E8" s="115">
        <f t="shared" ref="E8:E66" si="5">IF(B8="","",(C8)/((0.21*LN(D8)+0.52)*(0.54*(1440^0.25)-0.5)))</f>
        <v>11.543925754051847</v>
      </c>
      <c r="F8" s="24" t="s">
        <v>163</v>
      </c>
      <c r="N8" s="43">
        <v>2</v>
      </c>
      <c r="O8" s="364">
        <f t="shared" ref="O8:O14" si="6">VLOOKUP(N8,Pmax24h_1,2,FALSE)</f>
        <v>21.678240799372862</v>
      </c>
      <c r="P8" s="115">
        <f>(0.21*LN(N8)+0.52)*(0.54*($P$7^0.25)-0.5)*$H$37</f>
        <v>2.178653322485347</v>
      </c>
      <c r="Q8" s="115">
        <f>(0.21*LN(N8)+0.52)*(0.54*($Q$7^0.25)-0.5)*$H$37</f>
        <v>3.2611665176869966</v>
      </c>
      <c r="R8" s="115">
        <f>(0.21*LN(N8)+0.52)*(0.54*($R$7^0.25)-0.5)*$H$37</f>
        <v>3.9870117960897318</v>
      </c>
      <c r="S8" s="115">
        <f>(0.21*LN(N8)+0.52)*(0.54*($S$7^0.25)-0.5)*$H$37</f>
        <v>4.548498911505126</v>
      </c>
      <c r="T8" s="115">
        <f>(0.21*LN(N8)+0.52)*(0.54*($T$7^0.25)-0.5)*$H$37</f>
        <v>5.4116792809727903</v>
      </c>
      <c r="U8" s="115">
        <f>(0.21*LN(N8)+0.52)*(0.54*($U$7^0.25)-0.5)*$H$37</f>
        <v>7.1059039905087547</v>
      </c>
      <c r="V8" s="115">
        <f>(0.21*LN(N8)+0.52)*(0.54*($V$7^0.25)-0.5)*$H$37</f>
        <v>9.1206880695023429</v>
      </c>
      <c r="BL8">
        <f t="shared" si="0"/>
        <v>1.7217802850282315</v>
      </c>
      <c r="BM8">
        <f t="shared" si="1"/>
        <v>1.6989700043360187</v>
      </c>
      <c r="BN8">
        <f t="shared" si="2"/>
        <v>0.69897000433601886</v>
      </c>
      <c r="BP8" s="108" t="s">
        <v>129</v>
      </c>
      <c r="BQ8" s="108">
        <v>49</v>
      </c>
    </row>
    <row r="9" spans="2:76" ht="13.5" customHeight="1" x14ac:dyDescent="0.3">
      <c r="B9" s="103">
        <f t="shared" si="4"/>
        <v>3</v>
      </c>
      <c r="C9" s="364">
        <f>IF(SK_1!F9="","",SK_1!F9)</f>
        <v>37.742000000000004</v>
      </c>
      <c r="D9" s="345">
        <f t="shared" si="3"/>
        <v>18</v>
      </c>
      <c r="E9" s="115">
        <f t="shared" si="5"/>
        <v>11.848521391139778</v>
      </c>
      <c r="N9" s="43">
        <v>5</v>
      </c>
      <c r="O9" s="364">
        <f t="shared" si="6"/>
        <v>29.012126430950175</v>
      </c>
      <c r="P9" s="115">
        <f t="shared" ref="P9:P14" si="7">(0.21*LN(N9)+0.52)*(0.54*($P$7^0.25)-0.5)*$H$37</f>
        <v>2.8085262055807316</v>
      </c>
      <c r="Q9" s="115">
        <f t="shared" ref="Q9:Q14" si="8">(0.21*LN(N9)+0.52)*(0.54*($Q$7^0.25)-0.5)*$H$37</f>
        <v>4.2040059935914789</v>
      </c>
      <c r="R9" s="115">
        <f t="shared" ref="R9:R14" si="9">(0.21*LN(N9)+0.52)*(0.54*($R$7^0.25)-0.5)*$H$37</f>
        <v>5.1397012070298409</v>
      </c>
      <c r="S9" s="115">
        <f t="shared" ref="S9:S14" si="10">(0.21*LN(N9)+0.52)*(0.54*($S$7^0.25)-0.5)*$H$37</f>
        <v>5.8635204863363466</v>
      </c>
      <c r="T9" s="115">
        <f t="shared" ref="T9:T14" si="11">(0.21*LN(N9)+0.52)*(0.54*($T$7^0.25)-0.5)*$H$37</f>
        <v>6.9762558916312374</v>
      </c>
      <c r="U9" s="115">
        <f t="shared" ref="U9:U14" si="12">(0.21*LN(N9)+0.52)*(0.54*($U$7^0.25)-0.5)*$H$37</f>
        <v>9.1602997896507965</v>
      </c>
      <c r="V9" s="115">
        <f t="shared" ref="V9:V14" si="13">(0.21*LN(N9)+0.52)*(0.54*($V$7^0.25)-0.5)*$H$37</f>
        <v>11.757580332653934</v>
      </c>
      <c r="BL9" s="106">
        <f t="shared" si="0"/>
        <v>1.7665175781338882</v>
      </c>
      <c r="BM9" s="106">
        <f t="shared" si="1"/>
        <v>2</v>
      </c>
      <c r="BN9" s="106">
        <f t="shared" si="2"/>
        <v>0.69897000433601886</v>
      </c>
    </row>
    <row r="10" spans="2:76" ht="13.5" customHeight="1" thickBot="1" x14ac:dyDescent="0.35">
      <c r="B10" s="103">
        <f t="shared" si="4"/>
        <v>4</v>
      </c>
      <c r="C10" s="364">
        <f>IF(SK_1!F10="","",SK_1!F10)</f>
        <v>35.707999999999998</v>
      </c>
      <c r="D10" s="345">
        <f t="shared" si="3"/>
        <v>13.5</v>
      </c>
      <c r="E10" s="115">
        <f t="shared" si="5"/>
        <v>11.844943057142055</v>
      </c>
      <c r="N10" s="43">
        <v>10</v>
      </c>
      <c r="O10" s="364">
        <f t="shared" si="6"/>
        <v>33.229465718568122</v>
      </c>
      <c r="P10" s="115">
        <f t="shared" si="7"/>
        <v>3.2850066476951376</v>
      </c>
      <c r="Q10" s="115">
        <f t="shared" si="8"/>
        <v>4.9172365237171132</v>
      </c>
      <c r="R10" s="115">
        <f t="shared" si="9"/>
        <v>6.0116770848390857</v>
      </c>
      <c r="S10" s="115">
        <f t="shared" si="10"/>
        <v>6.8582959056024535</v>
      </c>
      <c r="T10" s="115">
        <f t="shared" si="11"/>
        <v>8.1598124078362737</v>
      </c>
      <c r="U10" s="115">
        <f t="shared" si="12"/>
        <v>10.714390217933198</v>
      </c>
      <c r="V10" s="115">
        <f t="shared" si="13"/>
        <v>13.752312325528532</v>
      </c>
      <c r="BL10">
        <f>LOG(Q20)</f>
        <v>1.291524225168218</v>
      </c>
      <c r="BM10">
        <f>LOG(N20)</f>
        <v>0.3010299956639812</v>
      </c>
      <c r="BN10">
        <f>LOG($Q$19)</f>
        <v>1</v>
      </c>
      <c r="BP10" t="s">
        <v>130</v>
      </c>
    </row>
    <row r="11" spans="2:76" ht="13.5" customHeight="1" x14ac:dyDescent="0.3">
      <c r="B11" s="103">
        <f t="shared" si="4"/>
        <v>5</v>
      </c>
      <c r="C11" s="364">
        <f>IF(SK_1!F11="","",SK_1!F11)</f>
        <v>35.481999999999992</v>
      </c>
      <c r="D11" s="345">
        <f t="shared" si="3"/>
        <v>10.8</v>
      </c>
      <c r="E11" s="115">
        <f t="shared" si="5"/>
        <v>12.310859844396795</v>
      </c>
      <c r="N11" s="43">
        <v>20</v>
      </c>
      <c r="O11" s="364">
        <f t="shared" si="6"/>
        <v>36.915997161120472</v>
      </c>
      <c r="P11" s="115">
        <f t="shared" si="7"/>
        <v>3.7614870898095436</v>
      </c>
      <c r="Q11" s="115">
        <f t="shared" si="8"/>
        <v>5.6304670538427466</v>
      </c>
      <c r="R11" s="115">
        <f t="shared" si="9"/>
        <v>6.8836529626483296</v>
      </c>
      <c r="S11" s="115">
        <f t="shared" si="10"/>
        <v>7.8530713248685586</v>
      </c>
      <c r="T11" s="115">
        <f t="shared" si="11"/>
        <v>9.3433689240413109</v>
      </c>
      <c r="U11" s="115">
        <f t="shared" si="12"/>
        <v>12.268480646215602</v>
      </c>
      <c r="V11" s="115">
        <f t="shared" si="13"/>
        <v>15.747044318403134</v>
      </c>
      <c r="BL11">
        <f t="shared" ref="BL11:BL16" si="14">LOG(Q21)</f>
        <v>1.4018145769077479</v>
      </c>
      <c r="BM11">
        <f t="shared" ref="BM11:BM16" si="15">LOG(N21)</f>
        <v>0.69897000433601886</v>
      </c>
      <c r="BN11">
        <f t="shared" ref="BN11:BN16" si="16">LOG($Q$19)</f>
        <v>1</v>
      </c>
      <c r="BP11" s="109"/>
      <c r="BQ11" s="109" t="s">
        <v>135</v>
      </c>
      <c r="BR11" s="109" t="s">
        <v>136</v>
      </c>
      <c r="BS11" s="109" t="s">
        <v>137</v>
      </c>
      <c r="BT11" s="109" t="s">
        <v>138</v>
      </c>
      <c r="BU11" s="109" t="s">
        <v>139</v>
      </c>
    </row>
    <row r="12" spans="2:76" ht="13.5" customHeight="1" x14ac:dyDescent="0.3">
      <c r="B12" s="103">
        <f t="shared" si="4"/>
        <v>6</v>
      </c>
      <c r="C12" s="364">
        <f>IF(SK_1!F12="","",SK_1!F12)</f>
        <v>33.108999999999995</v>
      </c>
      <c r="D12" s="345">
        <f t="shared" si="3"/>
        <v>9</v>
      </c>
      <c r="E12" s="115">
        <f t="shared" si="5"/>
        <v>11.935678921466893</v>
      </c>
      <c r="F12" s="24" t="s">
        <v>164</v>
      </c>
      <c r="H12" s="29"/>
      <c r="N12" s="43">
        <v>25</v>
      </c>
      <c r="O12" s="364">
        <f t="shared" si="6"/>
        <v>38.025281803448721</v>
      </c>
      <c r="P12" s="115">
        <f t="shared" si="7"/>
        <v>3.9148795307905222</v>
      </c>
      <c r="Q12" s="115">
        <f t="shared" si="8"/>
        <v>5.8600759996215945</v>
      </c>
      <c r="R12" s="115">
        <f t="shared" si="9"/>
        <v>7.164366495779193</v>
      </c>
      <c r="S12" s="115">
        <f t="shared" si="10"/>
        <v>8.1733174804336723</v>
      </c>
      <c r="T12" s="115">
        <f t="shared" si="11"/>
        <v>9.7243890184947208</v>
      </c>
      <c r="U12" s="115">
        <f t="shared" si="12"/>
        <v>12.768786017075239</v>
      </c>
      <c r="V12" s="115">
        <f t="shared" si="13"/>
        <v>16.389204588680119</v>
      </c>
      <c r="BL12">
        <f t="shared" si="14"/>
        <v>1.4698723491506518</v>
      </c>
      <c r="BM12">
        <f t="shared" si="15"/>
        <v>1</v>
      </c>
      <c r="BN12">
        <f t="shared" si="16"/>
        <v>1</v>
      </c>
      <c r="BP12" t="s">
        <v>131</v>
      </c>
      <c r="BQ12">
        <v>2</v>
      </c>
      <c r="BR12">
        <v>3.4288352590577471</v>
      </c>
      <c r="BS12">
        <v>1.7144176295288736</v>
      </c>
      <c r="BT12">
        <v>2813.9496716251501</v>
      </c>
      <c r="BU12">
        <v>8.0196000058513928E-49</v>
      </c>
    </row>
    <row r="13" spans="2:76" ht="13.5" customHeight="1" x14ac:dyDescent="0.3">
      <c r="B13" s="103">
        <f t="shared" si="4"/>
        <v>7</v>
      </c>
      <c r="C13" s="364">
        <f>IF(SK_1!F13="","",SK_1!F13)</f>
        <v>32.317999999999998</v>
      </c>
      <c r="D13" s="345">
        <f t="shared" si="3"/>
        <v>7.7142857142857144</v>
      </c>
      <c r="E13" s="115">
        <f t="shared" si="5"/>
        <v>12.047921949585142</v>
      </c>
      <c r="F13" s="99" t="s">
        <v>79</v>
      </c>
      <c r="G13" s="24" t="s">
        <v>85</v>
      </c>
      <c r="N13" s="43">
        <v>50</v>
      </c>
      <c r="O13" s="364">
        <f t="shared" si="6"/>
        <v>41.291723892266013</v>
      </c>
      <c r="P13" s="115">
        <f t="shared" si="7"/>
        <v>4.3913599729049286</v>
      </c>
      <c r="Q13" s="115">
        <f t="shared" si="8"/>
        <v>6.5733065297472288</v>
      </c>
      <c r="R13" s="115">
        <f t="shared" si="9"/>
        <v>8.0363423735884378</v>
      </c>
      <c r="S13" s="115">
        <f t="shared" si="10"/>
        <v>9.1680928996997793</v>
      </c>
      <c r="T13" s="115">
        <f t="shared" si="11"/>
        <v>10.907945534699758</v>
      </c>
      <c r="U13" s="115">
        <f t="shared" si="12"/>
        <v>14.322876445357643</v>
      </c>
      <c r="V13" s="115">
        <f t="shared" si="13"/>
        <v>18.383936581554721</v>
      </c>
      <c r="BL13">
        <f t="shared" si="14"/>
        <v>1.5286956719656402</v>
      </c>
      <c r="BM13">
        <f t="shared" si="15"/>
        <v>1.3010299956639813</v>
      </c>
      <c r="BN13">
        <f t="shared" si="16"/>
        <v>1</v>
      </c>
      <c r="BP13" t="s">
        <v>132</v>
      </c>
      <c r="BQ13">
        <v>46</v>
      </c>
      <c r="BR13">
        <v>2.8025807196751334E-2</v>
      </c>
      <c r="BS13">
        <v>6.0925667819024633E-4</v>
      </c>
    </row>
    <row r="14" spans="2:76" ht="13.5" customHeight="1" thickBot="1" x14ac:dyDescent="0.35">
      <c r="B14" s="103">
        <f t="shared" si="4"/>
        <v>8</v>
      </c>
      <c r="C14" s="364">
        <f>IF(SK_1!F14="","",SK_1!F14)</f>
        <v>32.204999999999998</v>
      </c>
      <c r="D14" s="345">
        <f t="shared" si="3"/>
        <v>6.75</v>
      </c>
      <c r="E14" s="115">
        <f t="shared" si="5"/>
        <v>12.371334039070645</v>
      </c>
      <c r="F14" s="99" t="s">
        <v>86</v>
      </c>
      <c r="G14" s="24" t="s">
        <v>87</v>
      </c>
      <c r="N14" s="43">
        <v>100</v>
      </c>
      <c r="O14" s="364">
        <f t="shared" si="6"/>
        <v>44.345476961094342</v>
      </c>
      <c r="P14" s="115">
        <f t="shared" si="7"/>
        <v>4.8678404150193337</v>
      </c>
      <c r="Q14" s="115">
        <f t="shared" si="8"/>
        <v>7.2865370598728632</v>
      </c>
      <c r="R14" s="115">
        <f t="shared" si="9"/>
        <v>8.9083182513976826</v>
      </c>
      <c r="S14" s="115">
        <f t="shared" si="10"/>
        <v>10.162868318965884</v>
      </c>
      <c r="T14" s="115">
        <f t="shared" si="11"/>
        <v>12.091502050904793</v>
      </c>
      <c r="U14" s="115">
        <f t="shared" si="12"/>
        <v>15.876966873640043</v>
      </c>
      <c r="V14" s="115">
        <f t="shared" si="13"/>
        <v>20.378668574429319</v>
      </c>
      <c r="BL14">
        <f t="shared" si="14"/>
        <v>1.5460544988253273</v>
      </c>
      <c r="BM14">
        <f t="shared" si="15"/>
        <v>1.3979400086720377</v>
      </c>
      <c r="BN14">
        <f t="shared" si="16"/>
        <v>1</v>
      </c>
      <c r="BP14" s="108" t="s">
        <v>133</v>
      </c>
      <c r="BQ14" s="108">
        <v>48</v>
      </c>
      <c r="BR14" s="108">
        <v>3.4568610662544983</v>
      </c>
      <c r="BS14" s="108"/>
      <c r="BT14" s="108"/>
      <c r="BU14" s="108"/>
    </row>
    <row r="15" spans="2:76" ht="13.5" customHeight="1" thickBot="1" x14ac:dyDescent="0.35">
      <c r="B15" s="103">
        <f t="shared" si="4"/>
        <v>9</v>
      </c>
      <c r="C15" s="364">
        <f>IF(SK_1!F15="","",SK_1!F15)</f>
        <v>31.753</v>
      </c>
      <c r="D15" s="345">
        <f t="shared" si="3"/>
        <v>6</v>
      </c>
      <c r="E15" s="115">
        <f t="shared" si="5"/>
        <v>12.534322446113402</v>
      </c>
      <c r="F15" s="99" t="s">
        <v>161</v>
      </c>
      <c r="G15" s="24" t="s">
        <v>89</v>
      </c>
      <c r="BL15">
        <f t="shared" si="14"/>
        <v>1.5959351353756737</v>
      </c>
      <c r="BM15">
        <f t="shared" si="15"/>
        <v>1.6989700043360187</v>
      </c>
      <c r="BN15">
        <f t="shared" si="16"/>
        <v>1</v>
      </c>
    </row>
    <row r="16" spans="2:76" ht="13.5" customHeight="1" x14ac:dyDescent="0.3">
      <c r="B16" s="103">
        <f t="shared" si="4"/>
        <v>10</v>
      </c>
      <c r="C16" s="364">
        <f>IF(SK_1!F16="","",SK_1!F16)</f>
        <v>31.074999999999996</v>
      </c>
      <c r="D16" s="345">
        <f t="shared" si="3"/>
        <v>5.4</v>
      </c>
      <c r="E16" s="115">
        <f t="shared" si="5"/>
        <v>12.577171328138709</v>
      </c>
      <c r="F16" s="99" t="s">
        <v>162</v>
      </c>
      <c r="G16" s="24" t="s">
        <v>171</v>
      </c>
      <c r="BL16" s="106">
        <f t="shared" si="14"/>
        <v>1.6406724284813303</v>
      </c>
      <c r="BM16" s="106">
        <f t="shared" si="15"/>
        <v>2</v>
      </c>
      <c r="BN16" s="106">
        <f t="shared" si="16"/>
        <v>1</v>
      </c>
      <c r="BP16" s="109"/>
      <c r="BQ16" s="109" t="s">
        <v>140</v>
      </c>
      <c r="BR16" s="109" t="s">
        <v>128</v>
      </c>
      <c r="BS16" s="109" t="s">
        <v>141</v>
      </c>
      <c r="BT16" s="109" t="s">
        <v>142</v>
      </c>
      <c r="BU16" s="109" t="s">
        <v>143</v>
      </c>
      <c r="BV16" s="109" t="s">
        <v>144</v>
      </c>
      <c r="BW16" s="109" t="s">
        <v>145</v>
      </c>
      <c r="BX16" s="109" t="s">
        <v>146</v>
      </c>
    </row>
    <row r="17" spans="2:76" ht="13.5" customHeight="1" x14ac:dyDescent="0.3">
      <c r="B17" s="103">
        <f t="shared" si="4"/>
        <v>11</v>
      </c>
      <c r="C17" s="364">
        <f>IF(SK_1!F17="","",SK_1!F17)</f>
        <v>30.735999999999997</v>
      </c>
      <c r="D17" s="345">
        <f t="shared" si="3"/>
        <v>4.9090909090909092</v>
      </c>
      <c r="E17" s="115">
        <f t="shared" si="5"/>
        <v>12.731476512432916</v>
      </c>
      <c r="N17" s="533" t="s">
        <v>149</v>
      </c>
      <c r="O17" s="533"/>
      <c r="P17" s="533"/>
      <c r="Q17" s="533"/>
      <c r="R17" s="533"/>
      <c r="S17" s="533"/>
      <c r="T17" s="533"/>
      <c r="U17" s="533"/>
      <c r="V17" s="533"/>
      <c r="BL17">
        <f>LOG(R20)</f>
        <v>1.2027075119086161</v>
      </c>
      <c r="BM17">
        <f>LOG(N20)</f>
        <v>0.3010299956639812</v>
      </c>
      <c r="BN17">
        <f>LOG($R$19)</f>
        <v>1.1760912590556813</v>
      </c>
      <c r="BP17" t="s">
        <v>134</v>
      </c>
      <c r="BQ17">
        <v>1.8007840864934532</v>
      </c>
      <c r="BR17">
        <v>1.4021176310051221E-2</v>
      </c>
      <c r="BS17">
        <v>128.43316756544479</v>
      </c>
      <c r="BT17">
        <v>1.9286024443270809E-60</v>
      </c>
      <c r="BU17">
        <v>1.7725609224072778</v>
      </c>
      <c r="BV17">
        <v>1.8290072505796287</v>
      </c>
      <c r="BW17">
        <v>1.6868527806127132</v>
      </c>
      <c r="BX17">
        <v>1.7424964872270983</v>
      </c>
    </row>
    <row r="18" spans="2:76" ht="13.5" customHeight="1" x14ac:dyDescent="0.3">
      <c r="B18" s="103">
        <f t="shared" si="4"/>
        <v>12</v>
      </c>
      <c r="C18" s="364">
        <f>IF(SK_1!F18="","",SK_1!F18)</f>
        <v>30.509999999999998</v>
      </c>
      <c r="D18" s="345">
        <f t="shared" si="3"/>
        <v>4.5</v>
      </c>
      <c r="E18" s="115">
        <f t="shared" si="5"/>
        <v>12.914135033922468</v>
      </c>
      <c r="F18" s="24" t="s">
        <v>165</v>
      </c>
      <c r="N18" s="530" t="s">
        <v>55</v>
      </c>
      <c r="O18" s="530" t="s">
        <v>45</v>
      </c>
      <c r="P18" s="533" t="s">
        <v>80</v>
      </c>
      <c r="Q18" s="533"/>
      <c r="R18" s="533"/>
      <c r="S18" s="533"/>
      <c r="T18" s="533"/>
      <c r="U18" s="533"/>
      <c r="V18" s="533"/>
      <c r="BL18">
        <f t="shared" ref="BL18:BL23" si="17">LOG(R21)</f>
        <v>1.3129978636481461</v>
      </c>
      <c r="BM18">
        <f t="shared" ref="BM18:BM23" si="18">LOG(N21)</f>
        <v>0.69897000433601886</v>
      </c>
      <c r="BN18">
        <f t="shared" ref="BN18:BN23" si="19">LOG($R$19)</f>
        <v>1.1760912590556813</v>
      </c>
      <c r="BP18" t="s">
        <v>147</v>
      </c>
      <c r="BQ18">
        <v>0.20370056178095952</v>
      </c>
      <c r="BR18">
        <v>6.5357961069710084E-3</v>
      </c>
      <c r="BS18">
        <v>31.166908888680712</v>
      </c>
      <c r="BT18">
        <v>1.4098550652838838E-32</v>
      </c>
      <c r="BU18">
        <v>0.19054468656180285</v>
      </c>
      <c r="BV18">
        <v>0.2168564370001162</v>
      </c>
      <c r="BW18">
        <v>0.1913399795167432</v>
      </c>
      <c r="BX18">
        <v>0.21662779242477237</v>
      </c>
    </row>
    <row r="19" spans="2:76" ht="13.5" customHeight="1" thickBot="1" x14ac:dyDescent="0.35">
      <c r="B19" s="103">
        <f t="shared" si="4"/>
        <v>13</v>
      </c>
      <c r="C19" s="364">
        <f>IF(SK_1!F19="","",SK_1!F19)</f>
        <v>29.606000000000002</v>
      </c>
      <c r="D19" s="345">
        <f t="shared" si="3"/>
        <v>4.1538461538461542</v>
      </c>
      <c r="E19" s="115">
        <f t="shared" si="5"/>
        <v>12.788672663294392</v>
      </c>
      <c r="N19" s="530"/>
      <c r="O19" s="530"/>
      <c r="P19" s="416">
        <f t="shared" ref="P19:V19" si="20">P7</f>
        <v>5</v>
      </c>
      <c r="Q19" s="416">
        <f t="shared" si="20"/>
        <v>10</v>
      </c>
      <c r="R19" s="416">
        <f t="shared" si="20"/>
        <v>15</v>
      </c>
      <c r="S19" s="416">
        <f t="shared" si="20"/>
        <v>20</v>
      </c>
      <c r="T19" s="416">
        <f t="shared" si="20"/>
        <v>30</v>
      </c>
      <c r="U19" s="416">
        <f t="shared" si="20"/>
        <v>60</v>
      </c>
      <c r="V19" s="416">
        <f t="shared" si="20"/>
        <v>120</v>
      </c>
      <c r="BL19">
        <f t="shared" si="17"/>
        <v>1.38105563589105</v>
      </c>
      <c r="BM19">
        <f t="shared" si="18"/>
        <v>1</v>
      </c>
      <c r="BN19">
        <f t="shared" si="19"/>
        <v>1.1760912590556813</v>
      </c>
      <c r="BP19" s="108" t="s">
        <v>148</v>
      </c>
      <c r="BQ19" s="108">
        <v>-0.55629671454653917</v>
      </c>
      <c r="BR19" s="108">
        <v>8.1522147693679423E-3</v>
      </c>
      <c r="BS19" s="108">
        <v>-68.238721658417489</v>
      </c>
      <c r="BT19" s="108">
        <v>7.0805139041894493E-48</v>
      </c>
      <c r="BU19" s="108">
        <v>-0.57270627177724587</v>
      </c>
      <c r="BV19" s="108">
        <v>-0.53988715731583248</v>
      </c>
      <c r="BW19" s="108">
        <v>-0.57244960822574842</v>
      </c>
      <c r="BX19" s="108">
        <v>-0.54014382086732993</v>
      </c>
    </row>
    <row r="20" spans="2:76" ht="13.5" customHeight="1" x14ac:dyDescent="0.3">
      <c r="B20" s="103">
        <f t="shared" si="4"/>
        <v>14</v>
      </c>
      <c r="C20" s="364">
        <f>IF(SK_1!F20="","",SK_1!F20)</f>
        <v>28.814999999999998</v>
      </c>
      <c r="D20" s="345">
        <f t="shared" si="3"/>
        <v>3.8571428571428572</v>
      </c>
      <c r="E20" s="115">
        <f t="shared" si="5"/>
        <v>12.688076031061394</v>
      </c>
      <c r="N20" s="43">
        <f t="shared" ref="N20:N26" si="21">N8</f>
        <v>2</v>
      </c>
      <c r="O20" s="364">
        <f t="shared" ref="O20:O26" si="22">O8</f>
        <v>21.678240799372862</v>
      </c>
      <c r="P20" s="115">
        <f>P8/($P$7/60)</f>
        <v>26.143839869824166</v>
      </c>
      <c r="Q20" s="115">
        <f>Q8/($Q$7/60)</f>
        <v>19.56699910612198</v>
      </c>
      <c r="R20" s="115">
        <f>R8/($R$7/60)</f>
        <v>15.948047184358927</v>
      </c>
      <c r="S20" s="115">
        <f>S8/($S$7/60)</f>
        <v>13.645496734515378</v>
      </c>
      <c r="T20" s="115">
        <f>T8/($T$7/60)</f>
        <v>10.823358561945581</v>
      </c>
      <c r="U20" s="115">
        <f>U8/($U$7/60)</f>
        <v>7.1059039905087547</v>
      </c>
      <c r="V20" s="115">
        <f>V8/($V$7/60)</f>
        <v>4.5603440347511714</v>
      </c>
      <c r="BL20">
        <f t="shared" si="17"/>
        <v>1.4398789587060383</v>
      </c>
      <c r="BM20">
        <f t="shared" si="18"/>
        <v>1.3010299956639813</v>
      </c>
      <c r="BN20">
        <f t="shared" si="19"/>
        <v>1.1760912590556813</v>
      </c>
    </row>
    <row r="21" spans="2:76" ht="13.5" customHeight="1" x14ac:dyDescent="0.3">
      <c r="B21" s="103">
        <f t="shared" si="4"/>
        <v>15</v>
      </c>
      <c r="C21" s="364">
        <f>IF(SK_1!F21="","",SK_1!F21)</f>
        <v>28.475999999999996</v>
      </c>
      <c r="D21" s="345">
        <f t="shared" si="3"/>
        <v>3.6</v>
      </c>
      <c r="E21" s="115">
        <f t="shared" si="5"/>
        <v>12.769057278022016</v>
      </c>
      <c r="N21" s="43">
        <f t="shared" si="21"/>
        <v>5</v>
      </c>
      <c r="O21" s="364">
        <f t="shared" si="22"/>
        <v>29.012126430950175</v>
      </c>
      <c r="P21" s="115">
        <f t="shared" ref="P21:P26" si="23">P9/($P$7/60)</f>
        <v>33.70231446696878</v>
      </c>
      <c r="Q21" s="115">
        <f t="shared" ref="Q21:Q26" si="24">Q9/($Q$7/60)</f>
        <v>25.224035961548875</v>
      </c>
      <c r="R21" s="115">
        <f t="shared" ref="R21:R26" si="25">R9/($R$7/60)</f>
        <v>20.558804828119364</v>
      </c>
      <c r="S21" s="115">
        <f t="shared" ref="S21:S26" si="26">S9/($S$7/60)</f>
        <v>17.590561459009042</v>
      </c>
      <c r="T21" s="115">
        <f t="shared" ref="T21:T26" si="27">T9/($T$7/60)</f>
        <v>13.952511783262475</v>
      </c>
      <c r="U21" s="115">
        <f t="shared" ref="U21:U26" si="28">U9/($U$7/60)</f>
        <v>9.1602997896507965</v>
      </c>
      <c r="V21" s="115">
        <f t="shared" ref="V21:V26" si="29">V9/($V$7/60)</f>
        <v>5.8787901663269668</v>
      </c>
      <c r="BL21">
        <f t="shared" si="17"/>
        <v>1.4572377855657255</v>
      </c>
      <c r="BM21">
        <f t="shared" si="18"/>
        <v>1.3979400086720377</v>
      </c>
      <c r="BN21">
        <f t="shared" si="19"/>
        <v>1.1760912590556813</v>
      </c>
    </row>
    <row r="22" spans="2:76" ht="13.5" customHeight="1" x14ac:dyDescent="0.3">
      <c r="B22" s="103">
        <f t="shared" si="4"/>
        <v>16</v>
      </c>
      <c r="C22" s="364">
        <f>IF(SK_1!F22="","",SK_1!F22)</f>
        <v>28.249999999999996</v>
      </c>
      <c r="D22" s="345">
        <f t="shared" si="3"/>
        <v>3.375</v>
      </c>
      <c r="E22" s="115">
        <f t="shared" si="5"/>
        <v>12.88912019310261</v>
      </c>
      <c r="F22" s="24" t="s">
        <v>166</v>
      </c>
      <c r="N22" s="43">
        <f t="shared" si="21"/>
        <v>10</v>
      </c>
      <c r="O22" s="364">
        <f t="shared" si="22"/>
        <v>33.229465718568122</v>
      </c>
      <c r="P22" s="115">
        <f t="shared" si="23"/>
        <v>39.420079772341651</v>
      </c>
      <c r="Q22" s="115">
        <f t="shared" si="24"/>
        <v>29.503419142302679</v>
      </c>
      <c r="R22" s="115">
        <f t="shared" si="25"/>
        <v>24.046708339356343</v>
      </c>
      <c r="S22" s="115">
        <f t="shared" si="26"/>
        <v>20.574887716807361</v>
      </c>
      <c r="T22" s="115">
        <f t="shared" si="27"/>
        <v>16.319624815672547</v>
      </c>
      <c r="U22" s="115">
        <f t="shared" si="28"/>
        <v>10.714390217933198</v>
      </c>
      <c r="V22" s="115">
        <f t="shared" si="29"/>
        <v>6.876156162764266</v>
      </c>
      <c r="BL22">
        <f t="shared" si="17"/>
        <v>1.5071184221160716</v>
      </c>
      <c r="BM22">
        <f t="shared" si="18"/>
        <v>1.6989700043360187</v>
      </c>
      <c r="BN22">
        <f t="shared" si="19"/>
        <v>1.1760912590556813</v>
      </c>
    </row>
    <row r="23" spans="2:76" ht="13.5" customHeight="1" x14ac:dyDescent="0.3">
      <c r="B23" s="103">
        <f t="shared" si="4"/>
        <v>17</v>
      </c>
      <c r="C23" s="364">
        <f>IF(SK_1!F23="","",SK_1!F23)</f>
        <v>28.136999999999997</v>
      </c>
      <c r="D23" s="345">
        <f t="shared" si="3"/>
        <v>3.1764705882352939</v>
      </c>
      <c r="E23" s="115">
        <f t="shared" si="5"/>
        <v>13.051848063624748</v>
      </c>
      <c r="F23" s="24" t="s">
        <v>167</v>
      </c>
      <c r="N23" s="43">
        <f t="shared" si="21"/>
        <v>20</v>
      </c>
      <c r="O23" s="364">
        <f t="shared" si="22"/>
        <v>36.915997161120472</v>
      </c>
      <c r="P23" s="115">
        <f t="shared" si="23"/>
        <v>45.137845077714523</v>
      </c>
      <c r="Q23" s="115">
        <f t="shared" si="24"/>
        <v>33.78280232305648</v>
      </c>
      <c r="R23" s="115">
        <f t="shared" si="25"/>
        <v>27.534611850593318</v>
      </c>
      <c r="S23" s="115">
        <f t="shared" si="26"/>
        <v>23.559213974605676</v>
      </c>
      <c r="T23" s="115">
        <f t="shared" si="27"/>
        <v>18.686737848082622</v>
      </c>
      <c r="U23" s="115">
        <f t="shared" si="28"/>
        <v>12.268480646215602</v>
      </c>
      <c r="V23" s="115">
        <f t="shared" si="29"/>
        <v>7.873522159201567</v>
      </c>
      <c r="BL23" s="106">
        <f t="shared" si="17"/>
        <v>1.5518557152217285</v>
      </c>
      <c r="BM23" s="106">
        <f t="shared" si="18"/>
        <v>2</v>
      </c>
      <c r="BN23" s="106">
        <f t="shared" si="19"/>
        <v>1.1760912590556813</v>
      </c>
    </row>
    <row r="24" spans="2:76" ht="13.5" customHeight="1" x14ac:dyDescent="0.3">
      <c r="B24" s="103">
        <f t="shared" si="4"/>
        <v>18</v>
      </c>
      <c r="C24" s="364">
        <f>IF(SK_1!F24="","",SK_1!F24)</f>
        <v>26.216000000000001</v>
      </c>
      <c r="D24" s="345">
        <f t="shared" si="3"/>
        <v>3</v>
      </c>
      <c r="E24" s="115">
        <f t="shared" si="5"/>
        <v>12.355199431284875</v>
      </c>
      <c r="F24" s="24" t="s">
        <v>168</v>
      </c>
      <c r="N24" s="43">
        <f t="shared" si="21"/>
        <v>25</v>
      </c>
      <c r="O24" s="364">
        <f t="shared" si="22"/>
        <v>38.025281803448721</v>
      </c>
      <c r="P24" s="115">
        <f t="shared" si="23"/>
        <v>46.978554369486268</v>
      </c>
      <c r="Q24" s="115">
        <f t="shared" si="24"/>
        <v>35.160455997729571</v>
      </c>
      <c r="R24" s="115">
        <f t="shared" si="25"/>
        <v>28.657465983116772</v>
      </c>
      <c r="S24" s="115">
        <f t="shared" si="26"/>
        <v>24.519952441301019</v>
      </c>
      <c r="T24" s="115">
        <f t="shared" si="27"/>
        <v>19.448778036989442</v>
      </c>
      <c r="U24" s="115">
        <f t="shared" si="28"/>
        <v>12.768786017075239</v>
      </c>
      <c r="V24" s="115">
        <f t="shared" si="29"/>
        <v>8.1946022943400596</v>
      </c>
      <c r="BL24">
        <f>LOG(S20)</f>
        <v>1.1349893498360641</v>
      </c>
      <c r="BM24">
        <f>LOG(N20)</f>
        <v>0.3010299956639812</v>
      </c>
      <c r="BN24">
        <f>LOG($S$19)</f>
        <v>1.3010299956639813</v>
      </c>
    </row>
    <row r="25" spans="2:76" ht="13.5" customHeight="1" x14ac:dyDescent="0.3">
      <c r="B25" s="103">
        <f t="shared" si="4"/>
        <v>19</v>
      </c>
      <c r="C25" s="364">
        <f>IF(SK_1!F25="","",SK_1!F25)</f>
        <v>26.102999999999998</v>
      </c>
      <c r="D25" s="345">
        <f t="shared" si="3"/>
        <v>2.8421052631578947</v>
      </c>
      <c r="E25" s="115">
        <f t="shared" si="5"/>
        <v>12.490862722875965</v>
      </c>
      <c r="N25" s="43">
        <f t="shared" si="21"/>
        <v>50</v>
      </c>
      <c r="O25" s="364">
        <f t="shared" si="22"/>
        <v>41.291723892266013</v>
      </c>
      <c r="P25" s="115">
        <f t="shared" si="23"/>
        <v>52.696319674859147</v>
      </c>
      <c r="Q25" s="115">
        <f t="shared" si="24"/>
        <v>39.439839178483375</v>
      </c>
      <c r="R25" s="115">
        <f t="shared" si="25"/>
        <v>32.145369494353751</v>
      </c>
      <c r="S25" s="115">
        <f t="shared" si="26"/>
        <v>27.504278699099338</v>
      </c>
      <c r="T25" s="115">
        <f t="shared" si="27"/>
        <v>21.815891069399516</v>
      </c>
      <c r="U25" s="115">
        <f t="shared" si="28"/>
        <v>14.322876445357643</v>
      </c>
      <c r="V25" s="115">
        <f t="shared" si="29"/>
        <v>9.1919682907773606</v>
      </c>
      <c r="BL25">
        <f t="shared" ref="BL25:BL30" si="30">LOG(S21)</f>
        <v>1.2452797015755941</v>
      </c>
      <c r="BM25">
        <f t="shared" ref="BM25:BM30" si="31">LOG(N21)</f>
        <v>0.69897000433601886</v>
      </c>
      <c r="BN25">
        <f t="shared" ref="BN25:BN30" si="32">LOG($S$19)</f>
        <v>1.3010299956639813</v>
      </c>
    </row>
    <row r="26" spans="2:76" ht="13.5" customHeight="1" x14ac:dyDescent="0.3">
      <c r="B26" s="103">
        <f t="shared" si="4"/>
        <v>20</v>
      </c>
      <c r="C26" s="364">
        <f>IF(SK_1!F26="","",SK_1!F26)</f>
        <v>24.746999999999996</v>
      </c>
      <c r="D26" s="345">
        <f t="shared" si="3"/>
        <v>2.7</v>
      </c>
      <c r="E26" s="115">
        <f t="shared" si="5"/>
        <v>12.017062287812825</v>
      </c>
      <c r="N26" s="43">
        <f t="shared" si="21"/>
        <v>100</v>
      </c>
      <c r="O26" s="364">
        <f t="shared" si="22"/>
        <v>44.345476961094342</v>
      </c>
      <c r="P26" s="115">
        <f t="shared" si="23"/>
        <v>58.414084980232005</v>
      </c>
      <c r="Q26" s="115">
        <f t="shared" si="24"/>
        <v>43.719222359237179</v>
      </c>
      <c r="R26" s="115">
        <f t="shared" si="25"/>
        <v>35.633273005590731</v>
      </c>
      <c r="S26" s="115">
        <f t="shared" si="26"/>
        <v>30.488604956897653</v>
      </c>
      <c r="T26" s="115">
        <f t="shared" si="27"/>
        <v>24.183004101809587</v>
      </c>
      <c r="U26" s="115">
        <f t="shared" si="28"/>
        <v>15.876966873640043</v>
      </c>
      <c r="V26" s="115">
        <f t="shared" si="29"/>
        <v>10.18933428721466</v>
      </c>
      <c r="BL26">
        <f t="shared" si="30"/>
        <v>1.3133374738184977</v>
      </c>
      <c r="BM26">
        <f t="shared" si="31"/>
        <v>1</v>
      </c>
      <c r="BN26">
        <f t="shared" si="32"/>
        <v>1.3010299956639813</v>
      </c>
    </row>
    <row r="27" spans="2:76" ht="13.5" customHeight="1" x14ac:dyDescent="0.3">
      <c r="B27" s="103">
        <f t="shared" si="4"/>
        <v>21</v>
      </c>
      <c r="C27" s="364">
        <f>IF(SK_1!F27="","",SK_1!F27)</f>
        <v>23.616999999999997</v>
      </c>
      <c r="D27" s="345">
        <f t="shared" si="3"/>
        <v>2.5714285714285716</v>
      </c>
      <c r="E27" s="115">
        <f t="shared" si="5"/>
        <v>11.631915592492446</v>
      </c>
      <c r="BL27">
        <f t="shared" si="30"/>
        <v>1.3721607966334863</v>
      </c>
      <c r="BM27">
        <f t="shared" si="31"/>
        <v>1.3010299956639813</v>
      </c>
      <c r="BN27">
        <f t="shared" si="32"/>
        <v>1.3010299956639813</v>
      </c>
    </row>
    <row r="28" spans="2:76" ht="13.5" customHeight="1" x14ac:dyDescent="0.3">
      <c r="B28" s="103">
        <f t="shared" si="4"/>
        <v>22</v>
      </c>
      <c r="C28" s="364">
        <f>IF(SK_1!F28="","",SK_1!F28)</f>
        <v>22.260999999999996</v>
      </c>
      <c r="D28" s="345">
        <f t="shared" si="3"/>
        <v>2.4545454545454546</v>
      </c>
      <c r="E28" s="115">
        <f t="shared" si="5"/>
        <v>11.115218612405929</v>
      </c>
      <c r="M28" s="24" t="s">
        <v>178</v>
      </c>
      <c r="BL28">
        <f t="shared" si="30"/>
        <v>1.3895196234931733</v>
      </c>
      <c r="BM28">
        <f t="shared" si="31"/>
        <v>1.3979400086720377</v>
      </c>
      <c r="BN28">
        <f t="shared" si="32"/>
        <v>1.3010299956639813</v>
      </c>
    </row>
    <row r="29" spans="2:76" ht="13.5" customHeight="1" x14ac:dyDescent="0.3">
      <c r="B29" s="103">
        <f t="shared" si="4"/>
        <v>23</v>
      </c>
      <c r="C29" s="364">
        <f>IF(SK_1!F29="","",SK_1!F29)</f>
        <v>22.260999999999996</v>
      </c>
      <c r="D29" s="345">
        <f t="shared" si="3"/>
        <v>2.347826086956522</v>
      </c>
      <c r="E29" s="115">
        <f t="shared" si="5"/>
        <v>11.263608551724948</v>
      </c>
      <c r="F29" s="24" t="s">
        <v>172</v>
      </c>
      <c r="M29" s="24" t="s">
        <v>179</v>
      </c>
      <c r="BL29">
        <f t="shared" si="30"/>
        <v>1.4394002600435196</v>
      </c>
      <c r="BM29">
        <f t="shared" si="31"/>
        <v>1.6989700043360187</v>
      </c>
      <c r="BN29">
        <f t="shared" si="32"/>
        <v>1.3010299956639813</v>
      </c>
    </row>
    <row r="30" spans="2:76" ht="13.5" customHeight="1" x14ac:dyDescent="0.3">
      <c r="B30" s="103">
        <f t="shared" si="4"/>
        <v>24</v>
      </c>
      <c r="C30" s="364">
        <f>IF(SK_1!F30="","",SK_1!F30)</f>
        <v>22.034999999999997</v>
      </c>
      <c r="D30" s="345">
        <f t="shared" si="3"/>
        <v>2.25</v>
      </c>
      <c r="E30" s="115">
        <f t="shared" si="5"/>
        <v>11.293610911998494</v>
      </c>
      <c r="I30" s="24" t="s">
        <v>164</v>
      </c>
      <c r="M30" s="24"/>
      <c r="BL30" s="106">
        <f t="shared" si="30"/>
        <v>1.4841375531491763</v>
      </c>
      <c r="BM30" s="106">
        <f t="shared" si="31"/>
        <v>2</v>
      </c>
      <c r="BN30" s="106">
        <f t="shared" si="32"/>
        <v>1.3010299956639813</v>
      </c>
    </row>
    <row r="31" spans="2:76" ht="13.5" customHeight="1" x14ac:dyDescent="0.3">
      <c r="B31" s="103">
        <f t="shared" si="4"/>
        <v>25</v>
      </c>
      <c r="C31" s="364">
        <f>IF(SK_1!F31="","",SK_1!F31)</f>
        <v>21.582999999999998</v>
      </c>
      <c r="D31" s="345">
        <f t="shared" si="3"/>
        <v>2.16</v>
      </c>
      <c r="E31" s="115">
        <f t="shared" si="5"/>
        <v>11.201050362123329</v>
      </c>
      <c r="I31" s="99" t="s">
        <v>79</v>
      </c>
      <c r="J31" s="24" t="s">
        <v>85</v>
      </c>
      <c r="R31" s="21" t="s">
        <v>108</v>
      </c>
      <c r="BL31">
        <f>LOG(T20)</f>
        <v>1.0343620462224137</v>
      </c>
      <c r="BM31">
        <f>LOG(N20)</f>
        <v>0.3010299956639812</v>
      </c>
      <c r="BN31">
        <f>LOG($T$19)</f>
        <v>1.4771212547196624</v>
      </c>
    </row>
    <row r="32" spans="2:76" ht="13.5" customHeight="1" x14ac:dyDescent="0.3">
      <c r="B32" s="103">
        <f t="shared" si="4"/>
        <v>26</v>
      </c>
      <c r="C32" s="364">
        <f>IF(SK_1!F32="","",SK_1!F32)</f>
        <v>21.244</v>
      </c>
      <c r="D32" s="345">
        <f t="shared" si="3"/>
        <v>2.0769230769230771</v>
      </c>
      <c r="E32" s="115">
        <f t="shared" si="5"/>
        <v>11.159948460693627</v>
      </c>
      <c r="I32" s="99" t="s">
        <v>173</v>
      </c>
      <c r="J32" s="24" t="s">
        <v>174</v>
      </c>
      <c r="R32" s="21" t="s">
        <v>109</v>
      </c>
      <c r="BL32">
        <f t="shared" ref="BL32:BL37" si="33">LOG(T21)</f>
        <v>1.1446523979619438</v>
      </c>
      <c r="BM32">
        <f t="shared" ref="BM32:BM37" si="34">LOG(N21)</f>
        <v>0.69897000433601886</v>
      </c>
      <c r="BN32">
        <f t="shared" ref="BN32:BN37" si="35">LOG($T$19)</f>
        <v>1.4771212547196624</v>
      </c>
    </row>
    <row r="33" spans="2:66" ht="13.5" customHeight="1" x14ac:dyDescent="0.3">
      <c r="B33" s="103">
        <f t="shared" si="4"/>
        <v>27</v>
      </c>
      <c r="C33" s="364">
        <f>IF(SK_1!F33="","",SK_1!F33)</f>
        <v>20.339999999999996</v>
      </c>
      <c r="D33" s="345">
        <f t="shared" si="3"/>
        <v>2</v>
      </c>
      <c r="E33" s="115">
        <f t="shared" si="5"/>
        <v>10.812294207738676</v>
      </c>
      <c r="I33" s="99" t="s">
        <v>175</v>
      </c>
      <c r="J33" s="24" t="s">
        <v>176</v>
      </c>
      <c r="M33" s="24" t="s">
        <v>107</v>
      </c>
      <c r="BL33">
        <f t="shared" si="33"/>
        <v>1.2127101702048475</v>
      </c>
      <c r="BM33">
        <f t="shared" si="34"/>
        <v>1</v>
      </c>
      <c r="BN33">
        <f t="shared" si="35"/>
        <v>1.4771212547196624</v>
      </c>
    </row>
    <row r="34" spans="2:66" ht="13.5" customHeight="1" x14ac:dyDescent="0.3">
      <c r="B34" s="103">
        <f t="shared" si="4"/>
        <v>28</v>
      </c>
      <c r="C34" s="364">
        <f>IF(SK_1!F34="","",SK_1!F34)</f>
        <v>20.000999999999998</v>
      </c>
      <c r="D34" s="345">
        <f t="shared" si="3"/>
        <v>1.9285714285714286</v>
      </c>
      <c r="E34" s="115">
        <f t="shared" si="5"/>
        <v>10.755507032201734</v>
      </c>
      <c r="J34" s="24" t="s">
        <v>177</v>
      </c>
      <c r="BL34">
        <f t="shared" si="33"/>
        <v>1.2715334930198361</v>
      </c>
      <c r="BM34">
        <f t="shared" si="34"/>
        <v>1.3010299956639813</v>
      </c>
      <c r="BN34">
        <f t="shared" si="35"/>
        <v>1.4771212547196624</v>
      </c>
    </row>
    <row r="35" spans="2:66" ht="13.5" customHeight="1" x14ac:dyDescent="0.3">
      <c r="B35" s="103">
        <f t="shared" si="4"/>
        <v>29</v>
      </c>
      <c r="C35" s="364">
        <f>IF(SK_1!F35="","",SK_1!F35)</f>
        <v>19.774999999999999</v>
      </c>
      <c r="D35" s="345">
        <f t="shared" si="3"/>
        <v>1.8620689655172413</v>
      </c>
      <c r="E35" s="115">
        <f t="shared" si="5"/>
        <v>10.754432580623671</v>
      </c>
      <c r="M35" s="573" t="s">
        <v>100</v>
      </c>
      <c r="N35" s="573"/>
      <c r="O35" s="110">
        <f>BQ17</f>
        <v>1.8007840864934532</v>
      </c>
      <c r="P35" s="103"/>
      <c r="R35" s="99" t="s">
        <v>110</v>
      </c>
      <c r="S35" s="68">
        <f>O35</f>
        <v>1.8007840864934532</v>
      </c>
      <c r="T35" s="99" t="s">
        <v>111</v>
      </c>
      <c r="U35" s="73">
        <f>ROUND(10^S35,2)</f>
        <v>63.21</v>
      </c>
      <c r="BL35">
        <f t="shared" si="33"/>
        <v>1.288892319879523</v>
      </c>
      <c r="BM35">
        <f t="shared" si="34"/>
        <v>1.3979400086720377</v>
      </c>
      <c r="BN35">
        <f t="shared" si="35"/>
        <v>1.4771212547196624</v>
      </c>
    </row>
    <row r="36" spans="2:66" ht="13.5" customHeight="1" x14ac:dyDescent="0.3">
      <c r="B36" s="103">
        <f t="shared" si="4"/>
        <v>30</v>
      </c>
      <c r="C36" s="364">
        <f>IF(SK_1!F36="","",SK_1!F36)</f>
        <v>18.870999999999999</v>
      </c>
      <c r="D36" s="345">
        <f t="shared" si="3"/>
        <v>1.8</v>
      </c>
      <c r="E36" s="115">
        <f t="shared" si="5"/>
        <v>10.376354734288931</v>
      </c>
      <c r="F36" s="24" t="s">
        <v>169</v>
      </c>
      <c r="M36" s="573" t="s">
        <v>101</v>
      </c>
      <c r="N36" s="573"/>
      <c r="O36" s="110">
        <f>BQ7</f>
        <v>2.4683125373223026E-2</v>
      </c>
      <c r="P36" s="103"/>
      <c r="T36" s="99" t="s">
        <v>112</v>
      </c>
      <c r="U36" s="102">
        <f>O40</f>
        <v>0.20370056178095952</v>
      </c>
      <c r="AD36" s="99" t="s">
        <v>111</v>
      </c>
      <c r="AE36" s="73">
        <f>U35</f>
        <v>63.21</v>
      </c>
      <c r="BL36">
        <f t="shared" si="33"/>
        <v>1.3387729564298694</v>
      </c>
      <c r="BM36">
        <f t="shared" si="34"/>
        <v>1.6989700043360187</v>
      </c>
      <c r="BN36">
        <f t="shared" si="35"/>
        <v>1.4771212547196624</v>
      </c>
    </row>
    <row r="37" spans="2:66" ht="14.7" customHeight="1" x14ac:dyDescent="0.3">
      <c r="B37" s="103">
        <f t="shared" si="4"/>
        <v>31</v>
      </c>
      <c r="C37" s="364">
        <f>IF(SK_1!F37="","",SK_1!F37)</f>
        <v>18.645</v>
      </c>
      <c r="D37" s="345">
        <f t="shared" si="3"/>
        <v>1.7419354838709677</v>
      </c>
      <c r="E37" s="115">
        <f t="shared" si="5"/>
        <v>10.362988808626923</v>
      </c>
      <c r="G37" s="70" t="s">
        <v>170</v>
      </c>
      <c r="H37" s="78">
        <f>AVERAGE(E7:E66)</f>
        <v>10.645637377773758</v>
      </c>
      <c r="I37" s="31" t="s">
        <v>3</v>
      </c>
      <c r="M37" s="573" t="s">
        <v>102</v>
      </c>
      <c r="N37" s="573"/>
      <c r="O37" s="110">
        <f>BQ6</f>
        <v>0.99154020945805099</v>
      </c>
      <c r="P37" s="103"/>
      <c r="T37" s="99" t="s">
        <v>113</v>
      </c>
      <c r="U37" s="102">
        <f>P40*-1</f>
        <v>0.55629671454653917</v>
      </c>
      <c r="AD37" s="99" t="s">
        <v>112</v>
      </c>
      <c r="AE37" s="102">
        <f>U36</f>
        <v>0.20370056178095952</v>
      </c>
      <c r="BL37" s="106">
        <f t="shared" si="33"/>
        <v>1.383510249535526</v>
      </c>
      <c r="BM37" s="106">
        <f t="shared" si="34"/>
        <v>2</v>
      </c>
      <c r="BN37" s="106">
        <f t="shared" si="35"/>
        <v>1.4771212547196624</v>
      </c>
    </row>
    <row r="38" spans="2:66" ht="13.5" customHeight="1" x14ac:dyDescent="0.3">
      <c r="B38" s="103">
        <f t="shared" si="4"/>
        <v>32</v>
      </c>
      <c r="C38" s="364">
        <f>IF(SK_1!F38="","",SK_1!F38)</f>
        <v>18.645</v>
      </c>
      <c r="D38" s="345">
        <f t="shared" si="3"/>
        <v>1.6875</v>
      </c>
      <c r="E38" s="115">
        <f t="shared" si="5"/>
        <v>10.472679803179563</v>
      </c>
      <c r="M38" s="573" t="s">
        <v>103</v>
      </c>
      <c r="N38" s="573"/>
      <c r="O38" s="103">
        <f>BQ8</f>
        <v>49</v>
      </c>
      <c r="P38" s="103"/>
      <c r="AD38" s="99" t="s">
        <v>113</v>
      </c>
      <c r="AE38" s="102">
        <f>U37</f>
        <v>0.55629671454653917</v>
      </c>
      <c r="BL38">
        <f>LOG(U20)</f>
        <v>0.85161933534104606</v>
      </c>
      <c r="BM38">
        <f>LOG(N20)</f>
        <v>0.3010299956639812</v>
      </c>
      <c r="BN38">
        <f>LOG($U$19)</f>
        <v>1.7781512503836436</v>
      </c>
    </row>
    <row r="39" spans="2:66" ht="13.5" customHeight="1" x14ac:dyDescent="0.3">
      <c r="B39" s="103">
        <f t="shared" si="4"/>
        <v>33</v>
      </c>
      <c r="C39" s="364">
        <f>IF(SK_1!F39="","",SK_1!F39)</f>
        <v>17.853999999999999</v>
      </c>
      <c r="D39" s="345">
        <f t="shared" si="3"/>
        <v>1.6363636363636365</v>
      </c>
      <c r="E39" s="115">
        <f t="shared" si="5"/>
        <v>10.132333315439837</v>
      </c>
      <c r="M39" s="573" t="s">
        <v>104</v>
      </c>
      <c r="N39" s="573"/>
      <c r="O39" s="103">
        <f>BQ13</f>
        <v>46</v>
      </c>
      <c r="P39" s="103"/>
      <c r="R39" s="24" t="s">
        <v>84</v>
      </c>
      <c r="S39" s="99" t="s">
        <v>114</v>
      </c>
      <c r="T39" s="24" t="s">
        <v>115</v>
      </c>
      <c r="AB39" s="99" t="s">
        <v>84</v>
      </c>
      <c r="AC39" s="99" t="s">
        <v>114</v>
      </c>
      <c r="AD39" s="24" t="s">
        <v>115</v>
      </c>
      <c r="BL39">
        <f t="shared" ref="BL39:BL44" si="36">LOG(U21)</f>
        <v>0.96190968708057611</v>
      </c>
      <c r="BM39">
        <f t="shared" ref="BM39:BM44" si="37">LOG(N21)</f>
        <v>0.69897000433601886</v>
      </c>
      <c r="BN39">
        <f t="shared" ref="BN39:BN44" si="38">LOG($U$19)</f>
        <v>1.7781512503836436</v>
      </c>
    </row>
    <row r="40" spans="2:66" ht="13.5" customHeight="1" x14ac:dyDescent="0.3">
      <c r="B40" s="103">
        <f t="shared" si="4"/>
        <v>34</v>
      </c>
      <c r="C40" s="364">
        <f>IF(SK_1!F40="","",SK_1!F40)</f>
        <v>17.740999999999996</v>
      </c>
      <c r="D40" s="345">
        <f t="shared" si="3"/>
        <v>1.588235294117647</v>
      </c>
      <c r="E40" s="115">
        <f t="shared" si="5"/>
        <v>10.170479126754328</v>
      </c>
      <c r="M40" s="573" t="s">
        <v>105</v>
      </c>
      <c r="N40" s="573"/>
      <c r="O40" s="110">
        <f>BQ18</f>
        <v>0.20370056178095952</v>
      </c>
      <c r="P40" s="110">
        <f>BQ19</f>
        <v>-0.55629671454653917</v>
      </c>
      <c r="S40" s="99" t="s">
        <v>79</v>
      </c>
      <c r="T40" s="24" t="s">
        <v>85</v>
      </c>
      <c r="AC40" s="99" t="s">
        <v>79</v>
      </c>
      <c r="AD40" s="24" t="s">
        <v>85</v>
      </c>
      <c r="BL40">
        <f t="shared" si="36"/>
        <v>1.0299674593234798</v>
      </c>
      <c r="BM40">
        <f t="shared" si="37"/>
        <v>1</v>
      </c>
      <c r="BN40">
        <f t="shared" si="38"/>
        <v>1.7781512503836436</v>
      </c>
    </row>
    <row r="41" spans="2:66" ht="13.5" customHeight="1" x14ac:dyDescent="0.3">
      <c r="B41" s="103">
        <f t="shared" si="4"/>
        <v>35</v>
      </c>
      <c r="C41" s="364">
        <f>IF(SK_1!F41="","",SK_1!F41)</f>
        <v>17.288999999999998</v>
      </c>
      <c r="D41" s="345">
        <f t="shared" si="3"/>
        <v>1.5428571428571429</v>
      </c>
      <c r="E41" s="115">
        <f t="shared" si="5"/>
        <v>10.010095068527525</v>
      </c>
      <c r="M41" s="573" t="s">
        <v>106</v>
      </c>
      <c r="N41" s="573"/>
      <c r="O41" s="110">
        <f>BR18</f>
        <v>6.5357961069710084E-3</v>
      </c>
      <c r="P41" s="110">
        <f>BR19</f>
        <v>8.1522147693679423E-3</v>
      </c>
      <c r="S41" s="99" t="s">
        <v>86</v>
      </c>
      <c r="T41" s="24" t="s">
        <v>87</v>
      </c>
      <c r="AC41" s="99" t="s">
        <v>86</v>
      </c>
      <c r="AD41" s="24" t="s">
        <v>87</v>
      </c>
      <c r="BL41">
        <f t="shared" si="36"/>
        <v>1.0887907821384684</v>
      </c>
      <c r="BM41">
        <f t="shared" si="37"/>
        <v>1.3010299956639813</v>
      </c>
      <c r="BN41">
        <f t="shared" si="38"/>
        <v>1.7781512503836436</v>
      </c>
    </row>
    <row r="42" spans="2:66" ht="13.5" customHeight="1" x14ac:dyDescent="0.3">
      <c r="B42" s="103">
        <f t="shared" si="4"/>
        <v>36</v>
      </c>
      <c r="C42" s="364">
        <f>IF(SK_1!F42="","",SK_1!F42)</f>
        <v>17.288999999999998</v>
      </c>
      <c r="D42" s="345">
        <f t="shared" si="3"/>
        <v>1.5</v>
      </c>
      <c r="E42" s="115">
        <f t="shared" si="5"/>
        <v>10.107953104767848</v>
      </c>
      <c r="BL42">
        <f t="shared" si="36"/>
        <v>1.1061496089981553</v>
      </c>
      <c r="BM42">
        <f t="shared" si="37"/>
        <v>1.3979400086720377</v>
      </c>
      <c r="BN42">
        <f t="shared" si="38"/>
        <v>1.7781512503836436</v>
      </c>
    </row>
    <row r="43" spans="2:66" ht="13.5" customHeight="1" x14ac:dyDescent="0.3">
      <c r="B43" s="103">
        <f t="shared" si="4"/>
        <v>37</v>
      </c>
      <c r="C43" s="364">
        <f>IF(SK_1!F43="","",SK_1!F43)</f>
        <v>17.175999999999998</v>
      </c>
      <c r="D43" s="345">
        <f t="shared" si="3"/>
        <v>1.4594594594594594</v>
      </c>
      <c r="E43" s="115">
        <f t="shared" si="5"/>
        <v>10.138283530238644</v>
      </c>
      <c r="M43" s="24" t="s">
        <v>181</v>
      </c>
      <c r="R43" s="24"/>
      <c r="BL43">
        <f t="shared" si="36"/>
        <v>1.1560302455485016</v>
      </c>
      <c r="BM43">
        <f t="shared" si="37"/>
        <v>1.6989700043360187</v>
      </c>
      <c r="BN43">
        <f t="shared" si="38"/>
        <v>1.7781512503836436</v>
      </c>
    </row>
    <row r="44" spans="2:66" ht="13.5" customHeight="1" x14ac:dyDescent="0.3">
      <c r="B44" s="103">
        <f t="shared" si="4"/>
        <v>38</v>
      </c>
      <c r="C44" s="364">
        <f>IF(SK_1!F44="","",SK_1!F44)</f>
        <v>17.062999999999999</v>
      </c>
      <c r="D44" s="345">
        <f t="shared" si="3"/>
        <v>1.4210526315789473</v>
      </c>
      <c r="E44" s="115">
        <f t="shared" si="5"/>
        <v>10.166573900362748</v>
      </c>
      <c r="BL44" s="106">
        <f t="shared" si="36"/>
        <v>1.2007675386541583</v>
      </c>
      <c r="BM44" s="106">
        <f t="shared" si="37"/>
        <v>2</v>
      </c>
      <c r="BN44" s="106">
        <f t="shared" si="38"/>
        <v>1.7781512503836436</v>
      </c>
    </row>
    <row r="45" spans="2:66" ht="13.5" customHeight="1" x14ac:dyDescent="0.3">
      <c r="B45" s="103">
        <f t="shared" si="4"/>
        <v>39</v>
      </c>
      <c r="C45" s="364">
        <f>IF(SK_1!F45="","",SK_1!F45)</f>
        <v>16.724</v>
      </c>
      <c r="D45" s="345">
        <f t="shared" si="3"/>
        <v>1.3846153846153846</v>
      </c>
      <c r="E45" s="115">
        <f t="shared" si="5"/>
        <v>10.056976858273394</v>
      </c>
      <c r="N45" s="533" t="s">
        <v>149</v>
      </c>
      <c r="O45" s="533"/>
      <c r="P45" s="533"/>
      <c r="Q45" s="533"/>
      <c r="R45" s="533"/>
      <c r="S45" s="533"/>
      <c r="T45" s="533"/>
      <c r="U45" s="533"/>
      <c r="V45" s="533"/>
      <c r="BL45">
        <f>LOG(V20)</f>
        <v>0.65899760730434731</v>
      </c>
      <c r="BM45">
        <f>LOG(N20)</f>
        <v>0.3010299956639812</v>
      </c>
      <c r="BN45">
        <f>LOG($V$19)</f>
        <v>2.0791812460476247</v>
      </c>
    </row>
    <row r="46" spans="2:66" ht="13.5" customHeight="1" x14ac:dyDescent="0.3">
      <c r="B46" s="103">
        <f t="shared" si="4"/>
        <v>40</v>
      </c>
      <c r="C46" s="364">
        <f>IF(SK_1!F46="","",SK_1!F46)</f>
        <v>15.932999999999998</v>
      </c>
      <c r="D46" s="345">
        <f t="shared" si="3"/>
        <v>1.35</v>
      </c>
      <c r="E46" s="115">
        <f t="shared" si="5"/>
        <v>9.6686836595606813</v>
      </c>
      <c r="N46" s="530" t="s">
        <v>458</v>
      </c>
      <c r="O46" s="533" t="s">
        <v>151</v>
      </c>
      <c r="P46" s="533"/>
      <c r="Q46" s="533"/>
      <c r="R46" s="533"/>
      <c r="S46" s="533"/>
      <c r="T46" s="533"/>
      <c r="U46" s="533"/>
      <c r="V46" s="533"/>
      <c r="BL46">
        <f t="shared" ref="BL46:BL48" si="39">LOG(V21)</f>
        <v>0.76928795904387737</v>
      </c>
      <c r="BM46">
        <f t="shared" ref="BM46:BM48" si="40">LOG(N21)</f>
        <v>0.69897000433601886</v>
      </c>
      <c r="BN46">
        <f t="shared" ref="BN46:BN51" si="41">LOG($V$19)</f>
        <v>2.0791812460476247</v>
      </c>
    </row>
    <row r="47" spans="2:66" ht="13.5" customHeight="1" x14ac:dyDescent="0.3">
      <c r="B47" s="103">
        <f t="shared" si="4"/>
        <v>41</v>
      </c>
      <c r="C47" s="364">
        <f>IF(SK_1!F47="","",SK_1!F47)</f>
        <v>15.254999999999999</v>
      </c>
      <c r="D47" s="345">
        <f t="shared" si="3"/>
        <v>1.3170731707317074</v>
      </c>
      <c r="E47" s="115">
        <f t="shared" si="5"/>
        <v>9.3403239755164815</v>
      </c>
      <c r="N47" s="530"/>
      <c r="O47" s="416">
        <f>N8</f>
        <v>2</v>
      </c>
      <c r="P47" s="416">
        <f>N9</f>
        <v>5</v>
      </c>
      <c r="Q47" s="416">
        <f>N10</f>
        <v>10</v>
      </c>
      <c r="R47" s="416">
        <f>N11</f>
        <v>20</v>
      </c>
      <c r="S47" s="416">
        <f>N12</f>
        <v>25</v>
      </c>
      <c r="T47" s="416">
        <f>N13</f>
        <v>50</v>
      </c>
      <c r="U47" s="416">
        <f>N14</f>
        <v>100</v>
      </c>
      <c r="V47" s="416">
        <v>500</v>
      </c>
      <c r="BL47">
        <f t="shared" si="39"/>
        <v>0.83734573128678103</v>
      </c>
      <c r="BM47">
        <f t="shared" si="40"/>
        <v>1</v>
      </c>
      <c r="BN47">
        <f t="shared" si="41"/>
        <v>2.0791812460476247</v>
      </c>
    </row>
    <row r="48" spans="2:66" ht="13.5" customHeight="1" x14ac:dyDescent="0.3">
      <c r="B48" s="103">
        <f t="shared" si="4"/>
        <v>42</v>
      </c>
      <c r="C48" s="364">
        <f>IF(SK_1!F48="","",SK_1!F48)</f>
        <v>14.011999999999997</v>
      </c>
      <c r="D48" s="345">
        <f t="shared" si="3"/>
        <v>1.2857142857142858</v>
      </c>
      <c r="E48" s="115">
        <f t="shared" si="5"/>
        <v>8.655058451248216</v>
      </c>
      <c r="N48" s="103">
        <v>5</v>
      </c>
      <c r="O48" s="115">
        <f t="shared" ref="O48:O61" si="42">$U$35*($O$47^$U$36)/($N48^$U$37)</f>
        <v>29.735212916709404</v>
      </c>
      <c r="P48" s="115">
        <f t="shared" ref="P48:V61" si="43">$U$35*(P$47^$U$36)/($N48^$U$37)</f>
        <v>35.837000759700679</v>
      </c>
      <c r="Q48" s="115">
        <f t="shared" si="43"/>
        <v>41.271631301515093</v>
      </c>
      <c r="R48" s="115">
        <f t="shared" si="43"/>
        <v>47.530415888029431</v>
      </c>
      <c r="S48" s="115">
        <f t="shared" si="43"/>
        <v>49.74073958876361</v>
      </c>
      <c r="T48" s="115">
        <f t="shared" si="43"/>
        <v>57.283852483565738</v>
      </c>
      <c r="U48" s="115">
        <f t="shared" si="43"/>
        <v>65.970867793453465</v>
      </c>
      <c r="V48" s="115">
        <f>$U$35*(V$47^$U$36)/($N48^$U$37)</f>
        <v>91.565691486352165</v>
      </c>
      <c r="BL48">
        <f t="shared" si="39"/>
        <v>0.89616905410176961</v>
      </c>
      <c r="BM48">
        <f t="shared" si="40"/>
        <v>1.3010299956639813</v>
      </c>
      <c r="BN48">
        <f t="shared" si="41"/>
        <v>2.0791812460476247</v>
      </c>
    </row>
    <row r="49" spans="2:66" ht="13.5" customHeight="1" x14ac:dyDescent="0.3">
      <c r="B49" s="103">
        <f t="shared" si="4"/>
        <v>43</v>
      </c>
      <c r="C49" s="364">
        <f>IF(SK_1!F49="","",SK_1!F49)</f>
        <v>13.898999999999999</v>
      </c>
      <c r="D49" s="345">
        <f t="shared" si="3"/>
        <v>1.2558139534883721</v>
      </c>
      <c r="E49" s="115">
        <f t="shared" si="5"/>
        <v>8.6599701477542084</v>
      </c>
      <c r="N49" s="103">
        <v>10</v>
      </c>
      <c r="O49" s="115">
        <f t="shared" si="42"/>
        <v>20.221299192354657</v>
      </c>
      <c r="P49" s="115">
        <f t="shared" si="43"/>
        <v>24.370792855877863</v>
      </c>
      <c r="Q49" s="115">
        <f t="shared" si="43"/>
        <v>28.066589166257842</v>
      </c>
      <c r="R49" s="115">
        <f t="shared" si="43"/>
        <v>32.322847766420232</v>
      </c>
      <c r="S49" s="115">
        <f t="shared" si="43"/>
        <v>33.825968560937298</v>
      </c>
      <c r="T49" s="115">
        <f t="shared" si="43"/>
        <v>38.955628910595962</v>
      </c>
      <c r="U49" s="115">
        <f t="shared" si="43"/>
        <v>44.863195006115433</v>
      </c>
      <c r="V49" s="115">
        <f t="shared" si="43"/>
        <v>62.268840935720817</v>
      </c>
      <c r="BL49">
        <f>LOG(V24)</f>
        <v>0.91352788096145654</v>
      </c>
      <c r="BM49">
        <f>LOG(N24)</f>
        <v>1.3979400086720377</v>
      </c>
      <c r="BN49">
        <f t="shared" si="41"/>
        <v>2.0791812460476247</v>
      </c>
    </row>
    <row r="50" spans="2:66" ht="13.5" customHeight="1" x14ac:dyDescent="0.3">
      <c r="B50" s="103">
        <f t="shared" si="4"/>
        <v>44</v>
      </c>
      <c r="C50" s="364">
        <f>IF(SK_1!F50="","",SK_1!F50)</f>
        <v>13.898999999999999</v>
      </c>
      <c r="D50" s="345">
        <f t="shared" si="3"/>
        <v>1.2272727272727273</v>
      </c>
      <c r="E50" s="115">
        <f t="shared" si="5"/>
        <v>8.734229626935214</v>
      </c>
      <c r="N50" s="103">
        <v>15</v>
      </c>
      <c r="O50" s="115">
        <f t="shared" si="42"/>
        <v>16.138013191764763</v>
      </c>
      <c r="P50" s="115">
        <f t="shared" si="43"/>
        <v>19.449599793796743</v>
      </c>
      <c r="Q50" s="115">
        <f t="shared" si="43"/>
        <v>22.399104127995884</v>
      </c>
      <c r="R50" s="115">
        <f t="shared" si="43"/>
        <v>25.795896628002637</v>
      </c>
      <c r="S50" s="115">
        <f t="shared" si="43"/>
        <v>26.995492310752027</v>
      </c>
      <c r="T50" s="115">
        <f t="shared" si="43"/>
        <v>31.089320585809784</v>
      </c>
      <c r="U50" s="115">
        <f t="shared" si="43"/>
        <v>35.803972135832872</v>
      </c>
      <c r="V50" s="115">
        <f t="shared" si="43"/>
        <v>49.694896796566802</v>
      </c>
      <c r="BL50">
        <f>LOG(V25)</f>
        <v>0.9634085175118029</v>
      </c>
      <c r="BM50">
        <f>LOG(N25)</f>
        <v>1.6989700043360187</v>
      </c>
      <c r="BN50">
        <f t="shared" si="41"/>
        <v>2.0791812460476247</v>
      </c>
    </row>
    <row r="51" spans="2:66" ht="13.5" customHeight="1" x14ac:dyDescent="0.3">
      <c r="B51" s="103">
        <f t="shared" si="4"/>
        <v>45</v>
      </c>
      <c r="C51" s="364">
        <f>IF(SK_1!F51="","",SK_1!F51)</f>
        <v>13.898999999999999</v>
      </c>
      <c r="D51" s="345">
        <f t="shared" si="3"/>
        <v>1.2</v>
      </c>
      <c r="E51" s="115">
        <f t="shared" si="5"/>
        <v>8.808061560343674</v>
      </c>
      <c r="N51" s="103">
        <v>20</v>
      </c>
      <c r="O51" s="115">
        <f t="shared" si="42"/>
        <v>13.751404510607875</v>
      </c>
      <c r="P51" s="115">
        <f t="shared" si="43"/>
        <v>16.57324920705971</v>
      </c>
      <c r="Q51" s="115">
        <f t="shared" si="43"/>
        <v>19.086559037916786</v>
      </c>
      <c r="R51" s="115">
        <f t="shared" si="43"/>
        <v>21.981008754318577</v>
      </c>
      <c r="S51" s="115">
        <f t="shared" si="43"/>
        <v>23.003199360228084</v>
      </c>
      <c r="T51" s="115">
        <f t="shared" si="43"/>
        <v>26.491602048857139</v>
      </c>
      <c r="U51" s="115">
        <f t="shared" si="43"/>
        <v>30.509016077494586</v>
      </c>
      <c r="V51" s="115">
        <f t="shared" si="43"/>
        <v>42.345648119263402</v>
      </c>
      <c r="BL51" s="106">
        <f>LOG(V26)</f>
        <v>1.0081458106174594</v>
      </c>
      <c r="BM51" s="106">
        <f>LOG(N26)</f>
        <v>2</v>
      </c>
      <c r="BN51" s="106">
        <f t="shared" si="41"/>
        <v>2.0791812460476247</v>
      </c>
    </row>
    <row r="52" spans="2:66" ht="13.5" customHeight="1" x14ac:dyDescent="0.3">
      <c r="B52" s="103">
        <f t="shared" si="4"/>
        <v>46</v>
      </c>
      <c r="C52" s="364">
        <f>IF(SK_1!F52="","",SK_1!F52)</f>
        <v>13.220999999999998</v>
      </c>
      <c r="D52" s="345">
        <f t="shared" si="3"/>
        <v>1.173913043478261</v>
      </c>
      <c r="E52" s="115">
        <f t="shared" si="5"/>
        <v>8.4482447994277905</v>
      </c>
      <c r="N52" s="103">
        <v>30</v>
      </c>
      <c r="O52" s="115">
        <f t="shared" si="42"/>
        <v>10.974584040643036</v>
      </c>
      <c r="P52" s="115">
        <f t="shared" si="43"/>
        <v>13.226613769458318</v>
      </c>
      <c r="Q52" s="115">
        <f t="shared" si="43"/>
        <v>15.232411063664742</v>
      </c>
      <c r="R52" s="115">
        <f t="shared" si="43"/>
        <v>17.542384684145684</v>
      </c>
      <c r="S52" s="115">
        <f t="shared" si="43"/>
        <v>18.358164388790112</v>
      </c>
      <c r="T52" s="115">
        <f t="shared" si="43"/>
        <v>21.14215408558308</v>
      </c>
      <c r="U52" s="115">
        <f t="shared" si="43"/>
        <v>24.348331887227211</v>
      </c>
      <c r="V52" s="115">
        <f t="shared" si="43"/>
        <v>33.794793374150466</v>
      </c>
    </row>
    <row r="53" spans="2:66" ht="13.5" customHeight="1" x14ac:dyDescent="0.3">
      <c r="B53" s="103">
        <f t="shared" si="4"/>
        <v>47</v>
      </c>
      <c r="C53" s="364">
        <f>IF(SK_1!F53="","",SK_1!F53)</f>
        <v>12.203999999999999</v>
      </c>
      <c r="D53" s="345">
        <f t="shared" si="3"/>
        <v>1.1489361702127661</v>
      </c>
      <c r="E53" s="115">
        <f t="shared" si="5"/>
        <v>7.8625143579235059</v>
      </c>
      <c r="N53" s="103">
        <v>40</v>
      </c>
      <c r="O53" s="115">
        <f t="shared" si="42"/>
        <v>9.351581429835262</v>
      </c>
      <c r="P53" s="115">
        <f t="shared" si="43"/>
        <v>11.270564355605629</v>
      </c>
      <c r="Q53" s="115">
        <f t="shared" si="43"/>
        <v>12.979729519319255</v>
      </c>
      <c r="R53" s="115">
        <f t="shared" si="43"/>
        <v>14.948087165741105</v>
      </c>
      <c r="S53" s="115">
        <f t="shared" si="43"/>
        <v>15.643223337511888</v>
      </c>
      <c r="T53" s="115">
        <f t="shared" si="43"/>
        <v>18.015496059007795</v>
      </c>
      <c r="U53" s="115">
        <f t="shared" si="43"/>
        <v>20.747520587643006</v>
      </c>
      <c r="V53" s="115">
        <f t="shared" si="43"/>
        <v>28.79696952271075</v>
      </c>
    </row>
    <row r="54" spans="2:66" ht="13.5" customHeight="1" x14ac:dyDescent="0.3">
      <c r="B54" s="103">
        <f t="shared" si="4"/>
        <v>48</v>
      </c>
      <c r="C54" s="364">
        <f>IF(SK_1!F54="","",SK_1!F54)</f>
        <v>12.090999999999998</v>
      </c>
      <c r="D54" s="345">
        <f t="shared" si="3"/>
        <v>1.125</v>
      </c>
      <c r="E54" s="115">
        <f t="shared" si="5"/>
        <v>7.8529367748795504</v>
      </c>
      <c r="N54" s="103">
        <v>50</v>
      </c>
      <c r="O54" s="115">
        <f t="shared" si="42"/>
        <v>8.2598914137469706</v>
      </c>
      <c r="P54" s="115">
        <f t="shared" si="43"/>
        <v>9.9548550635450663</v>
      </c>
      <c r="Q54" s="115">
        <f t="shared" si="43"/>
        <v>11.464494771690379</v>
      </c>
      <c r="R54" s="115">
        <f t="shared" si="43"/>
        <v>13.203069209056897</v>
      </c>
      <c r="S54" s="115">
        <f t="shared" si="43"/>
        <v>13.817056195073611</v>
      </c>
      <c r="T54" s="115">
        <f t="shared" si="43"/>
        <v>15.912393249064852</v>
      </c>
      <c r="U54" s="115">
        <f t="shared" si="43"/>
        <v>18.325485207417998</v>
      </c>
      <c r="V54" s="115">
        <f t="shared" si="43"/>
        <v>25.435253180141732</v>
      </c>
    </row>
    <row r="55" spans="2:66" ht="13.5" customHeight="1" x14ac:dyDescent="0.3">
      <c r="B55" s="103">
        <f t="shared" si="4"/>
        <v>49</v>
      </c>
      <c r="C55" s="364">
        <f>IF(SK_1!F55="","",SK_1!F55)</f>
        <v>12.090999999999998</v>
      </c>
      <c r="D55" s="345">
        <f t="shared" si="3"/>
        <v>1.1020408163265305</v>
      </c>
      <c r="E55" s="115">
        <f t="shared" si="5"/>
        <v>7.9158593050137611</v>
      </c>
      <c r="N55" s="103">
        <v>60</v>
      </c>
      <c r="O55" s="115">
        <f t="shared" si="42"/>
        <v>7.4632170288842126</v>
      </c>
      <c r="P55" s="115">
        <f t="shared" si="43"/>
        <v>8.9946998221639944</v>
      </c>
      <c r="Q55" s="115">
        <f t="shared" si="43"/>
        <v>10.358733344270417</v>
      </c>
      <c r="R55" s="115">
        <f t="shared" si="43"/>
        <v>11.92962062316874</v>
      </c>
      <c r="S55" s="115">
        <f t="shared" si="43"/>
        <v>12.484387980270657</v>
      </c>
      <c r="T55" s="115">
        <f t="shared" si="43"/>
        <v>14.377627782015896</v>
      </c>
      <c r="U55" s="115">
        <f t="shared" si="43"/>
        <v>16.557974725302778</v>
      </c>
      <c r="V55" s="115">
        <f t="shared" si="43"/>
        <v>22.981998813214691</v>
      </c>
    </row>
    <row r="56" spans="2:66" ht="13.5" customHeight="1" x14ac:dyDescent="0.3">
      <c r="B56" s="103">
        <f t="shared" si="4"/>
        <v>50</v>
      </c>
      <c r="C56" s="364">
        <f>IF(SK_1!F56="","",SK_1!F56)</f>
        <v>11.413</v>
      </c>
      <c r="D56" s="345">
        <f t="shared" si="3"/>
        <v>1.08</v>
      </c>
      <c r="E56" s="115">
        <f t="shared" si="5"/>
        <v>7.5311040025665728</v>
      </c>
      <c r="N56" s="103">
        <v>70</v>
      </c>
      <c r="O56" s="115">
        <f t="shared" si="42"/>
        <v>6.8498930680079066</v>
      </c>
      <c r="P56" s="115">
        <f t="shared" si="43"/>
        <v>8.2555192649763391</v>
      </c>
      <c r="Q56" s="115">
        <f t="shared" si="43"/>
        <v>9.5074570997526777</v>
      </c>
      <c r="R56" s="115">
        <f t="shared" si="43"/>
        <v>10.949249538683823</v>
      </c>
      <c r="S56" s="115">
        <f t="shared" si="43"/>
        <v>11.458426353328543</v>
      </c>
      <c r="T56" s="115">
        <f t="shared" si="43"/>
        <v>13.196080523622745</v>
      </c>
      <c r="U56" s="115">
        <f t="shared" si="43"/>
        <v>15.19724749422951</v>
      </c>
      <c r="V56" s="115">
        <f t="shared" si="43"/>
        <v>21.093348049552961</v>
      </c>
    </row>
    <row r="57" spans="2:66" ht="13.5" customHeight="1" x14ac:dyDescent="0.3">
      <c r="B57" s="103">
        <f t="shared" si="4"/>
        <v>51</v>
      </c>
      <c r="C57" s="364">
        <f>IF(SK_1!F57="","",SK_1!F57)</f>
        <v>11.299999999999999</v>
      </c>
      <c r="D57" s="345">
        <f t="shared" si="3"/>
        <v>1.0588235294117647</v>
      </c>
      <c r="E57" s="115">
        <f t="shared" si="5"/>
        <v>7.5148247276133944</v>
      </c>
      <c r="N57" s="103">
        <v>80</v>
      </c>
      <c r="O57" s="115">
        <f t="shared" si="42"/>
        <v>6.3595013274010626</v>
      </c>
      <c r="P57" s="115">
        <f t="shared" si="43"/>
        <v>7.6644971246639422</v>
      </c>
      <c r="Q57" s="115">
        <f t="shared" si="43"/>
        <v>8.8268072867405554</v>
      </c>
      <c r="R57" s="115">
        <f t="shared" si="43"/>
        <v>10.165380143015229</v>
      </c>
      <c r="S57" s="115">
        <f t="shared" si="43"/>
        <v>10.638104402571685</v>
      </c>
      <c r="T57" s="115">
        <f t="shared" si="43"/>
        <v>12.251357907821472</v>
      </c>
      <c r="U57" s="115">
        <f t="shared" si="43"/>
        <v>14.109259028258379</v>
      </c>
      <c r="V57" s="115">
        <f t="shared" si="43"/>
        <v>19.583250948394195</v>
      </c>
    </row>
    <row r="58" spans="2:66" ht="13.5" customHeight="1" x14ac:dyDescent="0.3">
      <c r="B58" s="103">
        <f t="shared" si="4"/>
        <v>52</v>
      </c>
      <c r="C58" s="364">
        <f>IF(SK_1!F58="","",SK_1!F58)</f>
        <v>11.186999999999999</v>
      </c>
      <c r="D58" s="345">
        <f t="shared" si="3"/>
        <v>1.0384615384615385</v>
      </c>
      <c r="E58" s="115">
        <f t="shared" si="5"/>
        <v>7.4971419747750652</v>
      </c>
      <c r="N58" s="103">
        <v>90</v>
      </c>
      <c r="O58" s="115">
        <f t="shared" si="42"/>
        <v>5.956169963138362</v>
      </c>
      <c r="P58" s="115">
        <f t="shared" si="43"/>
        <v>7.1784005075662005</v>
      </c>
      <c r="Q58" s="115">
        <f t="shared" si="43"/>
        <v>8.2669948043206585</v>
      </c>
      <c r="R58" s="115">
        <f t="shared" si="43"/>
        <v>9.5206728884282015</v>
      </c>
      <c r="S58" s="115">
        <f t="shared" si="43"/>
        <v>9.9634160990452596</v>
      </c>
      <c r="T58" s="115">
        <f t="shared" si="43"/>
        <v>11.474354076130844</v>
      </c>
      <c r="U58" s="115">
        <f t="shared" si="43"/>
        <v>13.214423663088496</v>
      </c>
      <c r="V58" s="115">
        <f t="shared" si="43"/>
        <v>18.341244867244033</v>
      </c>
    </row>
    <row r="59" spans="2:66" ht="13.5" customHeight="1" x14ac:dyDescent="0.3">
      <c r="B59" s="103">
        <f t="shared" si="4"/>
        <v>53</v>
      </c>
      <c r="C59" s="364">
        <f>IF(SK_1!F59="","",SK_1!F59)</f>
        <v>11.186999999999999</v>
      </c>
      <c r="D59" s="345">
        <f t="shared" si="3"/>
        <v>1.0188679245283019</v>
      </c>
      <c r="E59" s="115">
        <f t="shared" si="5"/>
        <v>7.5543819513301678</v>
      </c>
      <c r="N59" s="103">
        <v>100</v>
      </c>
      <c r="O59" s="115">
        <f t="shared" si="42"/>
        <v>5.6171023910805875</v>
      </c>
      <c r="P59" s="115">
        <f t="shared" si="43"/>
        <v>6.7697548768299871</v>
      </c>
      <c r="Q59" s="115">
        <f t="shared" si="43"/>
        <v>7.796378640936652</v>
      </c>
      <c r="R59" s="115">
        <f t="shared" si="43"/>
        <v>8.9786884486600176</v>
      </c>
      <c r="S59" s="115">
        <f t="shared" si="43"/>
        <v>9.3962275656400482</v>
      </c>
      <c r="T59" s="115">
        <f t="shared" si="43"/>
        <v>10.821152202845997</v>
      </c>
      <c r="U59" s="115">
        <f t="shared" si="43"/>
        <v>12.462164648433825</v>
      </c>
      <c r="V59" s="115">
        <f t="shared" si="43"/>
        <v>17.297130712654539</v>
      </c>
    </row>
    <row r="60" spans="2:66" ht="13.5" customHeight="1" x14ac:dyDescent="0.3">
      <c r="B60" s="103" t="str">
        <f t="shared" si="4"/>
        <v/>
      </c>
      <c r="C60" s="364" t="str">
        <f>IF(SK_1!F60="","",SK_1!F60)</f>
        <v/>
      </c>
      <c r="D60" s="345" t="str">
        <f t="shared" si="3"/>
        <v/>
      </c>
      <c r="E60" s="115" t="str">
        <f t="shared" si="5"/>
        <v/>
      </c>
      <c r="N60" s="103">
        <v>110</v>
      </c>
      <c r="O60" s="115">
        <f t="shared" si="42"/>
        <v>5.3270371524678124</v>
      </c>
      <c r="P60" s="115">
        <f t="shared" si="43"/>
        <v>6.4201670596636484</v>
      </c>
      <c r="Q60" s="115">
        <f t="shared" si="43"/>
        <v>7.3937763251252457</v>
      </c>
      <c r="R60" s="115">
        <f t="shared" si="43"/>
        <v>8.5150320603723699</v>
      </c>
      <c r="S60" s="115">
        <f t="shared" si="43"/>
        <v>8.9110096007307433</v>
      </c>
      <c r="T60" s="115">
        <f t="shared" si="43"/>
        <v>10.26235161897773</v>
      </c>
      <c r="U60" s="115">
        <f t="shared" si="43"/>
        <v>11.818622745384369</v>
      </c>
      <c r="V60" s="115">
        <f t="shared" si="43"/>
        <v>16.403912822332746</v>
      </c>
    </row>
    <row r="61" spans="2:66" ht="13.5" customHeight="1" x14ac:dyDescent="0.3">
      <c r="B61" s="103" t="str">
        <f t="shared" si="4"/>
        <v/>
      </c>
      <c r="C61" s="364" t="str">
        <f>IF(SK_1!F61="","",SK_1!F61)</f>
        <v/>
      </c>
      <c r="D61" s="345" t="str">
        <f t="shared" si="3"/>
        <v/>
      </c>
      <c r="E61" s="115" t="str">
        <f t="shared" si="5"/>
        <v/>
      </c>
      <c r="N61" s="103">
        <v>120</v>
      </c>
      <c r="O61" s="115">
        <f t="shared" si="42"/>
        <v>5.0753275216582745</v>
      </c>
      <c r="P61" s="115">
        <f t="shared" si="43"/>
        <v>6.1168055785869013</v>
      </c>
      <c r="Q61" s="115">
        <f t="shared" si="43"/>
        <v>7.0444105039720348</v>
      </c>
      <c r="R61" s="115">
        <f t="shared" si="43"/>
        <v>8.1126854059558919</v>
      </c>
      <c r="S61" s="115">
        <f t="shared" si="43"/>
        <v>8.4899524778794238</v>
      </c>
      <c r="T61" s="115">
        <f t="shared" si="43"/>
        <v>9.7774417782318519</v>
      </c>
      <c r="U61" s="115">
        <f t="shared" si="43"/>
        <v>11.260177012273655</v>
      </c>
      <c r="V61" s="115">
        <f t="shared" si="43"/>
        <v>15.628805999879217</v>
      </c>
    </row>
    <row r="62" spans="2:66" ht="13.5" customHeight="1" x14ac:dyDescent="0.3">
      <c r="B62" s="103" t="str">
        <f t="shared" si="4"/>
        <v/>
      </c>
      <c r="C62" s="364" t="str">
        <f>IF(SK_1!F62="","",SK_1!F62)</f>
        <v/>
      </c>
      <c r="D62" s="345" t="str">
        <f t="shared" si="3"/>
        <v/>
      </c>
      <c r="E62" s="115" t="str">
        <f t="shared" si="5"/>
        <v/>
      </c>
    </row>
    <row r="63" spans="2:66" ht="13.5" customHeight="1" x14ac:dyDescent="0.3">
      <c r="B63" s="103" t="str">
        <f t="shared" si="4"/>
        <v/>
      </c>
      <c r="C63" s="364" t="str">
        <f>IF(SK_1!F63="","",SK_1!F63)</f>
        <v/>
      </c>
      <c r="D63" s="345" t="str">
        <f t="shared" si="3"/>
        <v/>
      </c>
      <c r="E63" s="115" t="str">
        <f t="shared" si="5"/>
        <v/>
      </c>
    </row>
    <row r="64" spans="2:66" ht="13.5" customHeight="1" x14ac:dyDescent="0.3">
      <c r="B64" s="103" t="str">
        <f t="shared" si="4"/>
        <v/>
      </c>
      <c r="C64" s="364" t="str">
        <f>IF(SK_1!F64="","",SK_1!F64)</f>
        <v/>
      </c>
      <c r="D64" s="345" t="str">
        <f t="shared" si="3"/>
        <v/>
      </c>
      <c r="E64" s="115" t="str">
        <f t="shared" si="5"/>
        <v/>
      </c>
    </row>
    <row r="65" spans="2:73" ht="13.5" customHeight="1" x14ac:dyDescent="0.3">
      <c r="B65" s="103" t="str">
        <f t="shared" si="4"/>
        <v/>
      </c>
      <c r="C65" s="364" t="str">
        <f>IF(SK_1!F65="","",SK_1!F65)</f>
        <v/>
      </c>
      <c r="D65" s="345" t="str">
        <f t="shared" si="3"/>
        <v/>
      </c>
      <c r="E65" s="115" t="str">
        <f t="shared" si="5"/>
        <v/>
      </c>
    </row>
    <row r="66" spans="2:73" ht="13.5" customHeight="1" x14ac:dyDescent="0.3">
      <c r="B66" s="103" t="str">
        <f t="shared" si="4"/>
        <v/>
      </c>
      <c r="C66" s="364" t="str">
        <f>IF(SK_1!F66="","",SK_1!F66)</f>
        <v/>
      </c>
      <c r="D66" s="345" t="str">
        <f t="shared" si="3"/>
        <v/>
      </c>
      <c r="E66" s="115" t="str">
        <f t="shared" si="5"/>
        <v/>
      </c>
    </row>
    <row r="67" spans="2:73" ht="14.1" customHeight="1" x14ac:dyDescent="0.3">
      <c r="G67" s="6"/>
    </row>
    <row r="68" spans="2:73" ht="14.1" customHeight="1" x14ac:dyDescent="0.3">
      <c r="B68" s="70" t="s">
        <v>28</v>
      </c>
      <c r="C68" s="27">
        <f>COUNT(C7:C66)</f>
        <v>53</v>
      </c>
      <c r="D68" s="31" t="s">
        <v>33</v>
      </c>
      <c r="E68" s="77"/>
      <c r="G68" s="6"/>
    </row>
    <row r="69" spans="2:73" ht="14.1" customHeight="1" x14ac:dyDescent="0.3">
      <c r="F69" s="18"/>
      <c r="G69" s="6"/>
      <c r="BK69" s="167" t="s">
        <v>328</v>
      </c>
    </row>
    <row r="70" spans="2:73" ht="15.6" x14ac:dyDescent="0.3">
      <c r="B70" s="533" t="s">
        <v>78</v>
      </c>
      <c r="C70" s="533"/>
      <c r="D70" s="533"/>
      <c r="E70" s="533"/>
      <c r="F70" s="533"/>
      <c r="G70" s="533"/>
      <c r="H70" s="533"/>
      <c r="I70" s="533"/>
      <c r="J70" s="533"/>
      <c r="K70" s="533"/>
      <c r="L70" s="533"/>
      <c r="M70" s="533" t="s">
        <v>78</v>
      </c>
      <c r="N70" s="533"/>
      <c r="O70" s="533"/>
      <c r="P70" s="533"/>
      <c r="Q70" s="533"/>
      <c r="R70" s="533"/>
      <c r="S70" s="533"/>
      <c r="T70" s="533"/>
      <c r="U70" s="533"/>
      <c r="V70" s="533"/>
      <c r="AA70" s="105"/>
      <c r="AB70" s="105"/>
      <c r="AC70" s="105"/>
      <c r="AD70" s="105"/>
      <c r="AE70" s="105"/>
      <c r="AF70" s="105"/>
      <c r="AG70" s="105"/>
      <c r="AH70" s="105"/>
      <c r="AI70" s="105"/>
      <c r="AJ70" s="105"/>
      <c r="AK70" s="105"/>
      <c r="AL70" s="105"/>
      <c r="AM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 t="s">
        <v>116</v>
      </c>
      <c r="BM70" s="105" t="s">
        <v>117</v>
      </c>
      <c r="BN70" s="105" t="s">
        <v>118</v>
      </c>
      <c r="BO70" s="105"/>
      <c r="BP70" t="s">
        <v>123</v>
      </c>
    </row>
    <row r="71" spans="2:73" ht="16.2" thickBot="1" x14ac:dyDescent="0.35">
      <c r="AA71" s="105"/>
      <c r="AB71" s="105"/>
      <c r="AC71" s="105"/>
      <c r="AD71" s="105"/>
      <c r="AE71" s="105"/>
      <c r="AF71" s="105"/>
      <c r="AG71" s="105"/>
      <c r="AH71" s="105"/>
      <c r="AI71" s="105"/>
      <c r="AJ71" s="105"/>
      <c r="AK71" s="105"/>
      <c r="AL71" s="105"/>
      <c r="AM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7" t="s">
        <v>119</v>
      </c>
      <c r="BM71" s="107" t="s">
        <v>120</v>
      </c>
      <c r="BN71" s="107" t="s">
        <v>121</v>
      </c>
      <c r="BO71" s="105"/>
    </row>
    <row r="72" spans="2:73" ht="15.6" x14ac:dyDescent="0.3">
      <c r="B72" s="70" t="s">
        <v>82</v>
      </c>
      <c r="C72" s="29" t="s">
        <v>157</v>
      </c>
      <c r="D72" s="29"/>
      <c r="J72" s="104" t="s">
        <v>59</v>
      </c>
      <c r="K72" s="569" t="str">
        <f>SK_1!G3</f>
        <v>YANTAC</v>
      </c>
      <c r="L72" s="569"/>
      <c r="M72" s="70" t="s">
        <v>82</v>
      </c>
      <c r="N72" s="29" t="s">
        <v>157</v>
      </c>
      <c r="O72" s="29"/>
      <c r="T72" s="104" t="s">
        <v>59</v>
      </c>
      <c r="U72" s="569" t="str">
        <f>K72</f>
        <v>YANTAC</v>
      </c>
      <c r="V72" s="569"/>
      <c r="BL72">
        <f t="shared" ref="BL72:BL78" si="44">LOG(F106)</f>
        <v>1.3859987824891427</v>
      </c>
      <c r="BM72">
        <f t="shared" ref="BM72:BM78" si="45">LOG(D106)</f>
        <v>0.3010299956639812</v>
      </c>
      <c r="BN72">
        <f>LOG($F$105)</f>
        <v>0.69897000433601886</v>
      </c>
      <c r="BP72" s="518" t="s">
        <v>124</v>
      </c>
      <c r="BQ72" s="518"/>
    </row>
    <row r="73" spans="2:73" ht="15.6" x14ac:dyDescent="0.3">
      <c r="B73" s="31"/>
      <c r="C73" s="29"/>
      <c r="D73" s="29"/>
      <c r="J73" s="27"/>
      <c r="K73" s="27"/>
      <c r="L73" s="27"/>
      <c r="BL73">
        <f t="shared" si="44"/>
        <v>1.4962891342286728</v>
      </c>
      <c r="BM73">
        <f t="shared" si="45"/>
        <v>0.69897000433601886</v>
      </c>
      <c r="BN73">
        <f t="shared" ref="BN73:BN78" si="46">LOG($F$105)</f>
        <v>0.69897000433601886</v>
      </c>
      <c r="BP73" t="s">
        <v>125</v>
      </c>
      <c r="BQ73">
        <v>0.99595063205605427</v>
      </c>
    </row>
    <row r="74" spans="2:73" ht="15.6" x14ac:dyDescent="0.3">
      <c r="B74" s="31"/>
      <c r="C74" s="24" t="s">
        <v>83</v>
      </c>
      <c r="D74" s="29"/>
      <c r="J74" s="27"/>
      <c r="K74" s="27"/>
      <c r="L74" s="27"/>
      <c r="N74" s="533" t="s">
        <v>149</v>
      </c>
      <c r="O74" s="533"/>
      <c r="P74" s="533"/>
      <c r="Q74" s="533"/>
      <c r="R74" s="533"/>
      <c r="S74" s="533"/>
      <c r="T74" s="533"/>
      <c r="U74" s="533"/>
      <c r="V74" s="533"/>
      <c r="BL74">
        <f t="shared" si="44"/>
        <v>1.5643469064715765</v>
      </c>
      <c r="BM74">
        <f t="shared" si="45"/>
        <v>1</v>
      </c>
      <c r="BN74">
        <f t="shared" si="46"/>
        <v>0.69897000433601886</v>
      </c>
      <c r="BP74" t="s">
        <v>126</v>
      </c>
      <c r="BQ74">
        <v>0.9919176614928541</v>
      </c>
    </row>
    <row r="75" spans="2:73" ht="15.6" x14ac:dyDescent="0.3">
      <c r="B75" s="31"/>
      <c r="C75" s="24" t="s">
        <v>84</v>
      </c>
      <c r="D75" s="29"/>
      <c r="J75" s="27"/>
      <c r="K75" s="27"/>
      <c r="L75" s="27"/>
      <c r="N75" s="530" t="s">
        <v>458</v>
      </c>
      <c r="O75" s="533" t="s">
        <v>151</v>
      </c>
      <c r="P75" s="533"/>
      <c r="Q75" s="533"/>
      <c r="R75" s="533"/>
      <c r="S75" s="533"/>
      <c r="T75" s="533"/>
      <c r="U75" s="533"/>
      <c r="V75" s="533"/>
      <c r="BL75">
        <f t="shared" si="44"/>
        <v>1.6231702292865648</v>
      </c>
      <c r="BM75">
        <f t="shared" si="45"/>
        <v>1.3010299956639813</v>
      </c>
      <c r="BN75">
        <f t="shared" si="46"/>
        <v>0.69897000433601886</v>
      </c>
      <c r="BP75" t="s">
        <v>127</v>
      </c>
      <c r="BQ75">
        <v>0.99156625547080424</v>
      </c>
    </row>
    <row r="76" spans="2:73" x14ac:dyDescent="0.3">
      <c r="B76" s="31"/>
      <c r="C76" s="24"/>
      <c r="D76" s="99" t="s">
        <v>79</v>
      </c>
      <c r="E76" s="24" t="s">
        <v>85</v>
      </c>
      <c r="J76" s="27"/>
      <c r="K76" s="27"/>
      <c r="L76" s="27"/>
      <c r="N76" s="530"/>
      <c r="O76" s="416">
        <f>D94</f>
        <v>2</v>
      </c>
      <c r="P76" s="416">
        <f>D95</f>
        <v>5</v>
      </c>
      <c r="Q76" s="416">
        <f>D96</f>
        <v>10</v>
      </c>
      <c r="R76" s="416">
        <f>D97</f>
        <v>20</v>
      </c>
      <c r="S76" s="416">
        <f>D98</f>
        <v>25</v>
      </c>
      <c r="T76" s="416">
        <f>D99</f>
        <v>50</v>
      </c>
      <c r="U76" s="416">
        <f>D100</f>
        <v>100</v>
      </c>
      <c r="V76" s="416">
        <v>500</v>
      </c>
      <c r="BL76">
        <f t="shared" si="44"/>
        <v>1.640529056146252</v>
      </c>
      <c r="BM76">
        <f t="shared" si="45"/>
        <v>1.3979400086720377</v>
      </c>
      <c r="BN76">
        <f t="shared" si="46"/>
        <v>0.69897000433601886</v>
      </c>
      <c r="BP76" t="s">
        <v>128</v>
      </c>
      <c r="BQ76">
        <v>2.4650295705652497E-2</v>
      </c>
    </row>
    <row r="77" spans="2:73" ht="15" thickBot="1" x14ac:dyDescent="0.35">
      <c r="B77" s="31"/>
      <c r="C77" s="24"/>
      <c r="D77" s="99" t="s">
        <v>86</v>
      </c>
      <c r="E77" s="24" t="s">
        <v>87</v>
      </c>
      <c r="J77" s="27"/>
      <c r="K77" s="27"/>
      <c r="L77" s="27"/>
      <c r="N77" s="103">
        <v>5</v>
      </c>
      <c r="O77" s="364">
        <f t="shared" ref="O77:O90" si="47">$K$122*($O$76^$K$123)/(N77^$K$124)</f>
        <v>27.660422096061193</v>
      </c>
      <c r="P77" s="364">
        <f t="shared" ref="P77:P90" si="48">$K$122*($P$76^$K$123)/(N77^$K$124)</f>
        <v>33.337650122238934</v>
      </c>
      <c r="Q77" s="364">
        <f t="shared" ref="Q77:Q90" si="49">$K$122*($Q$76^$K$123)/(N77^$K$124)</f>
        <v>38.39429945557476</v>
      </c>
      <c r="R77" s="364">
        <f t="shared" ref="R77:R90" si="50">$K$122*($R$76^$K$123)/(N77^$K$124)</f>
        <v>44.217940535076522</v>
      </c>
      <c r="S77" s="364">
        <f t="shared" ref="S77:S90" si="51">$K$122*($S$76^$K$123)/(N77^$K$124)</f>
        <v>46.274627245138333</v>
      </c>
      <c r="T77" s="364">
        <f t="shared" ref="T77:T90" si="52">$K$122*($T$76^$K$123)/(N77^$K$124)</f>
        <v>53.293555158518743</v>
      </c>
      <c r="U77" s="364">
        <f t="shared" ref="U77:U90" si="53">$K$122*($U$76^$K$123)/(N77^$K$124)</f>
        <v>61.37711291304835</v>
      </c>
      <c r="V77" s="364">
        <f>$K$122*($V$76^$K$123)/(N77^$K$124)</f>
        <v>85.19505757064239</v>
      </c>
      <c r="BL77">
        <f t="shared" si="44"/>
        <v>1.6904096926965984</v>
      </c>
      <c r="BM77">
        <f t="shared" si="45"/>
        <v>1.6989700043360187</v>
      </c>
      <c r="BN77">
        <f t="shared" si="46"/>
        <v>0.69897000433601886</v>
      </c>
      <c r="BP77" s="108" t="s">
        <v>129</v>
      </c>
      <c r="BQ77" s="108">
        <v>49</v>
      </c>
    </row>
    <row r="78" spans="2:73" ht="17.25" customHeight="1" x14ac:dyDescent="0.3">
      <c r="B78" s="31"/>
      <c r="C78" s="24"/>
      <c r="D78" s="99" t="s">
        <v>88</v>
      </c>
      <c r="E78" s="24" t="s">
        <v>89</v>
      </c>
      <c r="J78" s="27"/>
      <c r="K78" s="27"/>
      <c r="L78" s="27"/>
      <c r="N78" s="103">
        <v>10</v>
      </c>
      <c r="O78" s="364">
        <f t="shared" si="47"/>
        <v>18.808678943010804</v>
      </c>
      <c r="P78" s="364">
        <f t="shared" si="48"/>
        <v>22.669110243003352</v>
      </c>
      <c r="Q78" s="364">
        <f t="shared" si="49"/>
        <v>26.107557187442659</v>
      </c>
      <c r="R78" s="364">
        <f t="shared" si="50"/>
        <v>30.067547203620876</v>
      </c>
      <c r="S78" s="364">
        <f t="shared" si="51"/>
        <v>31.466063823561328</v>
      </c>
      <c r="T78" s="364">
        <f t="shared" si="52"/>
        <v>36.238831252360178</v>
      </c>
      <c r="U78" s="364">
        <f t="shared" si="53"/>
        <v>41.73553126634453</v>
      </c>
      <c r="V78" s="364">
        <f t="shared" ref="V78:V90" si="54">$K$122*($V$76^$K$123)/(N78^$K$124)</f>
        <v>57.931382240393042</v>
      </c>
      <c r="BL78" s="106">
        <f t="shared" si="44"/>
        <v>1.735146985802255</v>
      </c>
      <c r="BM78" s="106">
        <f t="shared" si="45"/>
        <v>2</v>
      </c>
      <c r="BN78" s="106">
        <f t="shared" si="46"/>
        <v>0.69897000433601886</v>
      </c>
    </row>
    <row r="79" spans="2:73" ht="16.8" thickBot="1" x14ac:dyDescent="0.35">
      <c r="B79" s="31"/>
      <c r="C79" s="29"/>
      <c r="D79" s="99" t="s">
        <v>90</v>
      </c>
      <c r="E79" s="24" t="s">
        <v>91</v>
      </c>
      <c r="J79" s="27"/>
      <c r="K79" s="27"/>
      <c r="L79" s="27"/>
      <c r="N79" s="103">
        <v>15</v>
      </c>
      <c r="O79" s="364">
        <f t="shared" si="47"/>
        <v>15.009864653403712</v>
      </c>
      <c r="P79" s="364">
        <f t="shared" si="48"/>
        <v>18.090599429738621</v>
      </c>
      <c r="Q79" s="364">
        <f t="shared" si="49"/>
        <v>20.834578600754337</v>
      </c>
      <c r="R79" s="364">
        <f t="shared" si="50"/>
        <v>23.994764084900321</v>
      </c>
      <c r="S79" s="364">
        <f t="shared" si="51"/>
        <v>25.110820414238763</v>
      </c>
      <c r="T79" s="364">
        <f t="shared" si="52"/>
        <v>28.91962555922024</v>
      </c>
      <c r="U79" s="364">
        <f t="shared" si="53"/>
        <v>33.306149647395273</v>
      </c>
      <c r="V79" s="364">
        <f t="shared" si="54"/>
        <v>46.230902725680899</v>
      </c>
      <c r="BL79">
        <f t="shared" ref="BL79:BL85" si="55">LOG(G106)</f>
        <v>1.2601536328365848</v>
      </c>
      <c r="BM79">
        <f t="shared" ref="BM79:BM85" si="56">LOG(D106)</f>
        <v>0.3010299956639812</v>
      </c>
      <c r="BN79">
        <f>LOG($G$105)</f>
        <v>1</v>
      </c>
      <c r="BP79" t="s">
        <v>130</v>
      </c>
    </row>
    <row r="80" spans="2:73" x14ac:dyDescent="0.3">
      <c r="B80" s="31"/>
      <c r="D80" s="99"/>
      <c r="E80" s="24"/>
      <c r="J80" s="27"/>
      <c r="K80" s="27"/>
      <c r="L80" s="27"/>
      <c r="N80" s="103">
        <v>20</v>
      </c>
      <c r="O80" s="364">
        <f t="shared" si="47"/>
        <v>12.789624191296562</v>
      </c>
      <c r="P80" s="364">
        <f t="shared" si="48"/>
        <v>15.414660521217545</v>
      </c>
      <c r="Q80" s="364">
        <f t="shared" si="49"/>
        <v>17.752753715021147</v>
      </c>
      <c r="R80" s="364">
        <f t="shared" si="50"/>
        <v>20.445488503129475</v>
      </c>
      <c r="S80" s="364">
        <f t="shared" si="51"/>
        <v>21.396459171963571</v>
      </c>
      <c r="T80" s="364">
        <f t="shared" si="52"/>
        <v>24.641870609510644</v>
      </c>
      <c r="U80" s="364">
        <f t="shared" si="53"/>
        <v>28.379545524594342</v>
      </c>
      <c r="V80" s="364">
        <f t="shared" si="54"/>
        <v>39.392485244813045</v>
      </c>
      <c r="BL80">
        <f t="shared" si="55"/>
        <v>1.3704439845761147</v>
      </c>
      <c r="BM80">
        <f t="shared" si="56"/>
        <v>0.69897000433601886</v>
      </c>
      <c r="BN80">
        <f t="shared" ref="BN80:BN85" si="57">LOG($G$105)</f>
        <v>1</v>
      </c>
      <c r="BP80" s="109"/>
      <c r="BQ80" s="109" t="s">
        <v>135</v>
      </c>
      <c r="BR80" s="109" t="s">
        <v>136</v>
      </c>
      <c r="BS80" s="109" t="s">
        <v>137</v>
      </c>
      <c r="BT80" s="109" t="s">
        <v>138</v>
      </c>
      <c r="BU80" s="109" t="s">
        <v>139</v>
      </c>
    </row>
    <row r="81" spans="2:76" ht="16.2" x14ac:dyDescent="0.3">
      <c r="B81" s="31"/>
      <c r="C81" s="24" t="s">
        <v>98</v>
      </c>
      <c r="D81" s="99"/>
      <c r="E81" s="24"/>
      <c r="J81" s="27"/>
      <c r="K81" s="27"/>
      <c r="L81" s="27"/>
      <c r="N81" s="103">
        <v>30</v>
      </c>
      <c r="O81" s="364">
        <f t="shared" si="47"/>
        <v>10.206486519383882</v>
      </c>
      <c r="P81" s="364">
        <f t="shared" si="48"/>
        <v>12.301340716308907</v>
      </c>
      <c r="Q81" s="364">
        <f t="shared" si="49"/>
        <v>14.167206069870986</v>
      </c>
      <c r="R81" s="364">
        <f t="shared" si="50"/>
        <v>16.316085575947973</v>
      </c>
      <c r="S81" s="364">
        <f t="shared" si="51"/>
        <v>17.074987414392119</v>
      </c>
      <c r="T81" s="364">
        <f t="shared" si="52"/>
        <v>19.664918720561364</v>
      </c>
      <c r="U81" s="364">
        <f t="shared" si="53"/>
        <v>22.647690384845401</v>
      </c>
      <c r="V81" s="364">
        <f t="shared" si="54"/>
        <v>31.436331795410918</v>
      </c>
      <c r="BL81">
        <f t="shared" si="55"/>
        <v>1.4385017568190184</v>
      </c>
      <c r="BM81">
        <f t="shared" si="56"/>
        <v>1</v>
      </c>
      <c r="BN81">
        <f t="shared" si="57"/>
        <v>1</v>
      </c>
      <c r="BP81" t="s">
        <v>131</v>
      </c>
      <c r="BQ81">
        <v>2</v>
      </c>
      <c r="BR81">
        <v>3.4303677911002146</v>
      </c>
      <c r="BS81">
        <v>1.7151838955501073</v>
      </c>
      <c r="BT81">
        <v>2822.7110500463195</v>
      </c>
      <c r="BU81">
        <v>7.4705370209259444E-49</v>
      </c>
    </row>
    <row r="82" spans="2:76" x14ac:dyDescent="0.3">
      <c r="B82" s="31"/>
      <c r="C82" s="24" t="s">
        <v>99</v>
      </c>
      <c r="D82" s="99"/>
      <c r="E82" s="24"/>
      <c r="J82" s="27"/>
      <c r="K82" s="27"/>
      <c r="L82" s="27"/>
      <c r="N82" s="103">
        <v>40</v>
      </c>
      <c r="O82" s="364">
        <f t="shared" si="47"/>
        <v>8.6967557610090154</v>
      </c>
      <c r="P82" s="364">
        <f t="shared" si="48"/>
        <v>10.481741737425255</v>
      </c>
      <c r="Q82" s="364">
        <f t="shared" si="49"/>
        <v>12.07161061463783</v>
      </c>
      <c r="R82" s="364">
        <f t="shared" si="50"/>
        <v>13.902630543846278</v>
      </c>
      <c r="S82" s="364">
        <f t="shared" si="51"/>
        <v>14.549276568704581</v>
      </c>
      <c r="T82" s="364">
        <f t="shared" si="52"/>
        <v>16.756108465730851</v>
      </c>
      <c r="U82" s="364">
        <f t="shared" si="53"/>
        <v>19.297672264974722</v>
      </c>
      <c r="V82" s="364">
        <f t="shared" si="54"/>
        <v>26.786308797597307</v>
      </c>
      <c r="BL82">
        <f t="shared" si="55"/>
        <v>1.497325079634007</v>
      </c>
      <c r="BM82">
        <f t="shared" si="56"/>
        <v>1.3010299956639813</v>
      </c>
      <c r="BN82">
        <f t="shared" si="57"/>
        <v>1</v>
      </c>
      <c r="BP82" t="s">
        <v>132</v>
      </c>
      <c r="BQ82">
        <v>46</v>
      </c>
      <c r="BR82">
        <v>2.7951305605301062E-2</v>
      </c>
      <c r="BS82">
        <v>6.0763707837611003E-4</v>
      </c>
    </row>
    <row r="83" spans="2:76" ht="16.2" thickBot="1" x14ac:dyDescent="0.35">
      <c r="B83" s="31"/>
      <c r="C83" s="24" t="s">
        <v>84</v>
      </c>
      <c r="D83" s="29"/>
      <c r="J83" s="27"/>
      <c r="K83" s="27"/>
      <c r="L83" s="27"/>
      <c r="N83" s="103">
        <v>50</v>
      </c>
      <c r="O83" s="364">
        <f t="shared" si="47"/>
        <v>7.6812898534917649</v>
      </c>
      <c r="P83" s="364">
        <f t="shared" si="48"/>
        <v>9.2578541547157851</v>
      </c>
      <c r="Q83" s="364">
        <f t="shared" si="49"/>
        <v>10.662083962992982</v>
      </c>
      <c r="R83" s="364">
        <f t="shared" si="50"/>
        <v>12.279307119566747</v>
      </c>
      <c r="S83" s="364">
        <f t="shared" si="51"/>
        <v>12.850448322797291</v>
      </c>
      <c r="T83" s="364">
        <f t="shared" si="52"/>
        <v>14.799602228554804</v>
      </c>
      <c r="U83" s="364">
        <f t="shared" si="53"/>
        <v>17.044403480840277</v>
      </c>
      <c r="V83" s="364">
        <f t="shared" si="54"/>
        <v>23.658638650283251</v>
      </c>
      <c r="BL83">
        <f t="shared" si="55"/>
        <v>1.5146839064936941</v>
      </c>
      <c r="BM83">
        <f t="shared" si="56"/>
        <v>1.3979400086720377</v>
      </c>
      <c r="BN83">
        <f t="shared" si="57"/>
        <v>1</v>
      </c>
      <c r="BP83" s="108" t="s">
        <v>133</v>
      </c>
      <c r="BQ83" s="108">
        <v>48</v>
      </c>
      <c r="BR83" s="108">
        <v>3.4583190967055155</v>
      </c>
      <c r="BS83" s="108"/>
      <c r="BT83" s="108"/>
      <c r="BU83" s="108"/>
    </row>
    <row r="84" spans="2:76" ht="15" thickBot="1" x14ac:dyDescent="0.35">
      <c r="B84" s="31"/>
      <c r="C84" s="24"/>
      <c r="D84" s="99" t="s">
        <v>93</v>
      </c>
      <c r="E84" s="24" t="s">
        <v>94</v>
      </c>
      <c r="J84" s="27"/>
      <c r="K84" s="27"/>
      <c r="L84" s="27"/>
      <c r="N84" s="103">
        <v>60</v>
      </c>
      <c r="O84" s="364">
        <f t="shared" si="47"/>
        <v>6.9402602538952456</v>
      </c>
      <c r="P84" s="364">
        <f t="shared" si="48"/>
        <v>8.3647302018065695</v>
      </c>
      <c r="Q84" s="364">
        <f t="shared" si="49"/>
        <v>9.6334911145705835</v>
      </c>
      <c r="R84" s="364">
        <f t="shared" si="50"/>
        <v>11.09469747565403</v>
      </c>
      <c r="S84" s="364">
        <f t="shared" si="51"/>
        <v>11.610739529494891</v>
      </c>
      <c r="T84" s="364">
        <f t="shared" si="52"/>
        <v>13.371854607674651</v>
      </c>
      <c r="U84" s="364">
        <f t="shared" si="53"/>
        <v>15.400095333683577</v>
      </c>
      <c r="V84" s="364">
        <f t="shared" si="54"/>
        <v>21.376241831466608</v>
      </c>
      <c r="BL84">
        <f t="shared" si="55"/>
        <v>1.5645645430440402</v>
      </c>
      <c r="BM84">
        <f t="shared" si="56"/>
        <v>1.6989700043360187</v>
      </c>
      <c r="BN84">
        <f t="shared" si="57"/>
        <v>1</v>
      </c>
    </row>
    <row r="85" spans="2:76" x14ac:dyDescent="0.3">
      <c r="B85" s="31"/>
      <c r="C85" s="24"/>
      <c r="D85" s="99" t="s">
        <v>95</v>
      </c>
      <c r="E85" s="24" t="s">
        <v>96</v>
      </c>
      <c r="J85" s="27"/>
      <c r="K85" s="27"/>
      <c r="L85" s="27"/>
      <c r="N85" s="103">
        <v>70</v>
      </c>
      <c r="O85" s="364">
        <f t="shared" si="47"/>
        <v>6.3697870339730924</v>
      </c>
      <c r="P85" s="364">
        <f t="shared" si="48"/>
        <v>7.6771688716206521</v>
      </c>
      <c r="Q85" s="364">
        <f t="shared" si="49"/>
        <v>8.8416405939599088</v>
      </c>
      <c r="R85" s="364">
        <f t="shared" si="50"/>
        <v>10.18273919722402</v>
      </c>
      <c r="S85" s="364">
        <f t="shared" si="51"/>
        <v>10.65636379677639</v>
      </c>
      <c r="T85" s="364">
        <f t="shared" si="52"/>
        <v>12.272719319471355</v>
      </c>
      <c r="U85" s="364">
        <f t="shared" si="53"/>
        <v>14.134243384229119</v>
      </c>
      <c r="V85" s="364">
        <f t="shared" si="54"/>
        <v>19.619164566159863</v>
      </c>
      <c r="BL85" s="106">
        <f t="shared" si="55"/>
        <v>1.6093018361496969</v>
      </c>
      <c r="BM85" s="106">
        <f t="shared" si="56"/>
        <v>2</v>
      </c>
      <c r="BN85" s="106">
        <f t="shared" si="57"/>
        <v>1</v>
      </c>
      <c r="BP85" s="109"/>
      <c r="BQ85" s="109" t="s">
        <v>140</v>
      </c>
      <c r="BR85" s="109" t="s">
        <v>128</v>
      </c>
      <c r="BS85" s="109" t="s">
        <v>141</v>
      </c>
      <c r="BT85" s="109" t="s">
        <v>142</v>
      </c>
      <c r="BU85" s="109" t="s">
        <v>143</v>
      </c>
      <c r="BV85" s="109" t="s">
        <v>144</v>
      </c>
      <c r="BW85" s="109" t="s">
        <v>145</v>
      </c>
      <c r="BX85" s="109" t="s">
        <v>146</v>
      </c>
    </row>
    <row r="86" spans="2:76" x14ac:dyDescent="0.3">
      <c r="B86" s="31"/>
      <c r="C86" s="24"/>
      <c r="D86" s="99"/>
      <c r="E86" s="24"/>
      <c r="J86" s="27"/>
      <c r="K86" s="27"/>
      <c r="L86" s="27"/>
      <c r="N86" s="103">
        <v>80</v>
      </c>
      <c r="O86" s="364">
        <f t="shared" si="47"/>
        <v>5.9136656117005186</v>
      </c>
      <c r="P86" s="364">
        <f t="shared" si="48"/>
        <v>7.1274297412425085</v>
      </c>
      <c r="Q86" s="364">
        <f t="shared" si="49"/>
        <v>8.208517121945734</v>
      </c>
      <c r="R86" s="364">
        <f t="shared" si="50"/>
        <v>9.4535836602340328</v>
      </c>
      <c r="S86" s="364">
        <f t="shared" si="51"/>
        <v>9.8932934169794269</v>
      </c>
      <c r="T86" s="364">
        <f t="shared" si="52"/>
        <v>11.393906548919782</v>
      </c>
      <c r="U86" s="364">
        <f t="shared" si="53"/>
        <v>13.12213243597029</v>
      </c>
      <c r="V86" s="364">
        <f t="shared" si="54"/>
        <v>18.214294796104952</v>
      </c>
      <c r="BL86">
        <f t="shared" ref="BL86:BL92" si="58">LOG(H106)</f>
        <v>1.1713369195769829</v>
      </c>
      <c r="BM86">
        <f t="shared" ref="BM86:BM92" si="59">LOG(D106)</f>
        <v>0.3010299956639812</v>
      </c>
      <c r="BN86">
        <f>LOG($H$105)</f>
        <v>1.1760912590556813</v>
      </c>
      <c r="BP86" t="s">
        <v>134</v>
      </c>
      <c r="BQ86">
        <v>1.7694832919244621</v>
      </c>
      <c r="BR86">
        <v>1.4002527514558487E-2</v>
      </c>
      <c r="BS86">
        <v>126.36884948697461</v>
      </c>
      <c r="BT86">
        <v>4.0556111574029798E-60</v>
      </c>
      <c r="BU86">
        <v>1.741297665916659</v>
      </c>
      <c r="BV86">
        <v>1.7976689179322651</v>
      </c>
      <c r="BW86">
        <v>1.8151009508991134</v>
      </c>
      <c r="BX86">
        <v>1.8714722029147195</v>
      </c>
    </row>
    <row r="87" spans="2:76" x14ac:dyDescent="0.3">
      <c r="B87" s="31"/>
      <c r="C87" s="24" t="s">
        <v>92</v>
      </c>
      <c r="D87" s="99"/>
      <c r="E87" s="24"/>
      <c r="J87" s="27"/>
      <c r="K87" s="27"/>
      <c r="L87" s="27"/>
      <c r="N87" s="103">
        <v>90</v>
      </c>
      <c r="O87" s="364">
        <f t="shared" si="47"/>
        <v>5.5385265167214053</v>
      </c>
      <c r="P87" s="364">
        <f t="shared" si="48"/>
        <v>6.6752943453272042</v>
      </c>
      <c r="Q87" s="364">
        <f t="shared" si="49"/>
        <v>7.6878019029190368</v>
      </c>
      <c r="R87" s="364">
        <f t="shared" si="50"/>
        <v>8.8538864417114365</v>
      </c>
      <c r="S87" s="364">
        <f t="shared" si="51"/>
        <v>9.2657027849583429</v>
      </c>
      <c r="T87" s="364">
        <f t="shared" si="52"/>
        <v>10.671123072190658</v>
      </c>
      <c r="U87" s="364">
        <f t="shared" si="53"/>
        <v>12.289717279373292</v>
      </c>
      <c r="V87" s="364">
        <f t="shared" si="54"/>
        <v>17.058853397461391</v>
      </c>
      <c r="BL87">
        <f t="shared" si="58"/>
        <v>1.2816272713165129</v>
      </c>
      <c r="BM87">
        <f t="shared" si="59"/>
        <v>0.69897000433601886</v>
      </c>
      <c r="BN87">
        <f t="shared" ref="BN87:BN92" si="60">LOG($H$105)</f>
        <v>1.1760912590556813</v>
      </c>
      <c r="BP87" t="s">
        <v>147</v>
      </c>
      <c r="BQ87">
        <v>0.20373970818079745</v>
      </c>
      <c r="BR87">
        <v>6.5271032040158036E-3</v>
      </c>
      <c r="BS87">
        <v>31.214415003495962</v>
      </c>
      <c r="BT87">
        <v>1.3185363393933518E-32</v>
      </c>
      <c r="BU87">
        <v>0.19060133086774114</v>
      </c>
      <c r="BV87">
        <v>0.21687808549385376</v>
      </c>
      <c r="BW87">
        <v>0.19060133086774106</v>
      </c>
      <c r="BX87">
        <v>0.21687808549385373</v>
      </c>
    </row>
    <row r="88" spans="2:76" ht="16.2" thickBot="1" x14ac:dyDescent="0.35">
      <c r="B88" s="31"/>
      <c r="C88" s="29"/>
      <c r="D88" s="99"/>
      <c r="E88" s="24"/>
      <c r="J88" s="27"/>
      <c r="K88" s="27"/>
      <c r="L88" s="27"/>
      <c r="N88" s="103">
        <v>100</v>
      </c>
      <c r="O88" s="364">
        <f t="shared" si="47"/>
        <v>5.2231637760548164</v>
      </c>
      <c r="P88" s="364">
        <f t="shared" si="48"/>
        <v>6.2952042413721303</v>
      </c>
      <c r="Q88" s="364">
        <f t="shared" si="49"/>
        <v>7.2500597939868685</v>
      </c>
      <c r="R88" s="364">
        <f t="shared" si="50"/>
        <v>8.3497476810900029</v>
      </c>
      <c r="S88" s="364">
        <f t="shared" si="51"/>
        <v>8.7381152730732765</v>
      </c>
      <c r="T88" s="364">
        <f t="shared" si="52"/>
        <v>10.063511172549772</v>
      </c>
      <c r="U88" s="364">
        <f t="shared" si="53"/>
        <v>11.589942905893363</v>
      </c>
      <c r="V88" s="364">
        <f t="shared" si="54"/>
        <v>16.087525239365366</v>
      </c>
      <c r="BL88">
        <f t="shared" si="58"/>
        <v>1.3496850435594168</v>
      </c>
      <c r="BM88">
        <f t="shared" si="59"/>
        <v>1</v>
      </c>
      <c r="BN88">
        <f t="shared" si="60"/>
        <v>1.1760912590556813</v>
      </c>
      <c r="BP88" s="108" t="s">
        <v>148</v>
      </c>
      <c r="BQ88" s="108">
        <v>-0.55642464960306115</v>
      </c>
      <c r="BR88" s="108">
        <v>8.1413719568474412E-3</v>
      </c>
      <c r="BS88" s="108">
        <v>-68.345317294472778</v>
      </c>
      <c r="BT88" s="108">
        <v>6.5944782233198846E-48</v>
      </c>
      <c r="BU88" s="108">
        <v>-0.57281238138416546</v>
      </c>
      <c r="BV88" s="108">
        <v>-0.54003691782195684</v>
      </c>
      <c r="BW88" s="108">
        <v>-0.57281238138416546</v>
      </c>
      <c r="BX88" s="108">
        <v>-0.54003691782195684</v>
      </c>
    </row>
    <row r="89" spans="2:76" ht="16.2" x14ac:dyDescent="0.3">
      <c r="B89" s="31"/>
      <c r="C89" s="29"/>
      <c r="D89" s="99"/>
      <c r="E89" s="24"/>
      <c r="F89" s="99" t="s">
        <v>97</v>
      </c>
      <c r="G89" s="192">
        <f>0.4602*(E96^0.876)</f>
        <v>9.9037820959607927</v>
      </c>
      <c r="H89" s="24" t="s">
        <v>3</v>
      </c>
      <c r="J89" s="27"/>
      <c r="K89" s="27"/>
      <c r="L89" s="27"/>
      <c r="N89" s="103">
        <v>110</v>
      </c>
      <c r="O89" s="364">
        <f t="shared" si="47"/>
        <v>4.9533809927620238</v>
      </c>
      <c r="P89" s="364">
        <f t="shared" si="48"/>
        <v>5.9700492597458874</v>
      </c>
      <c r="Q89" s="364">
        <f t="shared" si="49"/>
        <v>6.8755853577787214</v>
      </c>
      <c r="R89" s="364">
        <f t="shared" si="50"/>
        <v>7.9184730234727274</v>
      </c>
      <c r="S89" s="364">
        <f t="shared" si="51"/>
        <v>8.2867809553729099</v>
      </c>
      <c r="T89" s="364">
        <f t="shared" si="52"/>
        <v>9.5437185391510031</v>
      </c>
      <c r="U89" s="364">
        <f t="shared" si="53"/>
        <v>10.991308210636269</v>
      </c>
      <c r="V89" s="364">
        <f t="shared" si="54"/>
        <v>15.256584927812042</v>
      </c>
      <c r="BL89">
        <f t="shared" si="58"/>
        <v>1.4085083663744051</v>
      </c>
      <c r="BM89">
        <f t="shared" si="59"/>
        <v>1.3010299956639813</v>
      </c>
      <c r="BN89">
        <f t="shared" si="60"/>
        <v>1.1760912590556813</v>
      </c>
    </row>
    <row r="90" spans="2:76" ht="15.6" x14ac:dyDescent="0.3">
      <c r="B90" s="31"/>
      <c r="C90" s="29"/>
      <c r="D90" s="99"/>
      <c r="E90" s="24"/>
      <c r="F90" s="99"/>
      <c r="H90" s="24"/>
      <c r="J90" s="27"/>
      <c r="K90" s="27"/>
      <c r="L90" s="27"/>
      <c r="N90" s="103">
        <v>120</v>
      </c>
      <c r="O90" s="364">
        <f t="shared" si="47"/>
        <v>4.7192745809559664</v>
      </c>
      <c r="P90" s="364">
        <f t="shared" si="48"/>
        <v>5.687893129913201</v>
      </c>
      <c r="Q90" s="364">
        <f t="shared" si="49"/>
        <v>6.5506318321912786</v>
      </c>
      <c r="R90" s="364">
        <f t="shared" si="50"/>
        <v>7.5442306001224892</v>
      </c>
      <c r="S90" s="364">
        <f t="shared" si="51"/>
        <v>7.8951315834146714</v>
      </c>
      <c r="T90" s="364">
        <f t="shared" si="52"/>
        <v>9.0926638543302083</v>
      </c>
      <c r="U90" s="364">
        <f t="shared" si="53"/>
        <v>10.471837624786637</v>
      </c>
      <c r="V90" s="364">
        <f t="shared" si="54"/>
        <v>14.535529075438998</v>
      </c>
      <c r="BL90">
        <f t="shared" si="58"/>
        <v>1.4258671932340921</v>
      </c>
      <c r="BM90">
        <f t="shared" si="59"/>
        <v>1.3979400086720377</v>
      </c>
      <c r="BN90">
        <f t="shared" si="60"/>
        <v>1.1760912590556813</v>
      </c>
    </row>
    <row r="91" spans="2:76" ht="15" customHeight="1" x14ac:dyDescent="0.3">
      <c r="D91" s="533" t="s">
        <v>81</v>
      </c>
      <c r="E91" s="533"/>
      <c r="F91" s="533"/>
      <c r="G91" s="533"/>
      <c r="H91" s="533"/>
      <c r="I91" s="533"/>
      <c r="J91" s="533"/>
      <c r="K91" s="533"/>
      <c r="L91" s="533"/>
      <c r="BL91">
        <f t="shared" si="58"/>
        <v>1.4757478297844384</v>
      </c>
      <c r="BM91">
        <f t="shared" si="59"/>
        <v>1.6989700043360187</v>
      </c>
      <c r="BN91">
        <f t="shared" si="60"/>
        <v>1.1760912590556813</v>
      </c>
    </row>
    <row r="92" spans="2:76" ht="15.75" customHeight="1" x14ac:dyDescent="0.3">
      <c r="B92" s="1"/>
      <c r="D92" s="530" t="s">
        <v>55</v>
      </c>
      <c r="E92" s="530" t="s">
        <v>45</v>
      </c>
      <c r="F92" s="533" t="s">
        <v>80</v>
      </c>
      <c r="G92" s="533"/>
      <c r="H92" s="533"/>
      <c r="I92" s="533"/>
      <c r="J92" s="533"/>
      <c r="K92" s="533"/>
      <c r="L92" s="533"/>
      <c r="BL92" s="106">
        <f t="shared" si="58"/>
        <v>1.5204851228900951</v>
      </c>
      <c r="BM92" s="106">
        <f t="shared" si="59"/>
        <v>2</v>
      </c>
      <c r="BN92" s="106">
        <f t="shared" si="60"/>
        <v>1.1760912590556813</v>
      </c>
    </row>
    <row r="93" spans="2:76" x14ac:dyDescent="0.3">
      <c r="B93" s="5"/>
      <c r="D93" s="530"/>
      <c r="E93" s="530"/>
      <c r="F93" s="416">
        <v>5</v>
      </c>
      <c r="G93" s="416">
        <v>10</v>
      </c>
      <c r="H93" s="416">
        <v>15</v>
      </c>
      <c r="I93" s="416">
        <v>20</v>
      </c>
      <c r="J93" s="416">
        <v>30</v>
      </c>
      <c r="K93" s="416">
        <v>60</v>
      </c>
      <c r="L93" s="416">
        <v>120</v>
      </c>
      <c r="BL93">
        <f t="shared" ref="BL93:BL99" si="61">LOG(I106)</f>
        <v>1.1036187575044309</v>
      </c>
      <c r="BM93">
        <f t="shared" ref="BM93:BM99" si="62">LOG(D106)</f>
        <v>0.3010299956639812</v>
      </c>
      <c r="BN93">
        <f>LOG($I$105)</f>
        <v>1.3010299956639813</v>
      </c>
    </row>
    <row r="94" spans="2:76" x14ac:dyDescent="0.3">
      <c r="B94" s="5"/>
      <c r="D94" s="43">
        <v>2</v>
      </c>
      <c r="E94" s="364">
        <f t="shared" ref="E94:E100" si="63">VLOOKUP(D94,Pmax24h_1,2,FALSE)</f>
        <v>21.678240799372862</v>
      </c>
      <c r="F94" s="364">
        <f>(0.21*LN(D94)+0.52)*(0.54*($F$93^0.25)-0.5)*$K$96</f>
        <v>2.0268309921569103</v>
      </c>
      <c r="G94" s="364">
        <f>(0.21*LN(D94)+0.52)*(0.54*($G$93^0.25)-0.5)*$K$96</f>
        <v>3.0339078275620821</v>
      </c>
      <c r="H94" s="364">
        <f>(0.21*LN(D94)+0.52)*(0.54*($H$93^0.25)-0.5)*$K$96</f>
        <v>3.7091716203802805</v>
      </c>
      <c r="I94" s="364">
        <f>(0.21*LN(D94)+0.52)*(0.54*($I$93^0.25)-0.5)*$K$96</f>
        <v>4.2315307655803354</v>
      </c>
      <c r="J94" s="364">
        <f>(0.21*LN(D94)+0.52)*(0.54*($J$93^0.25)-0.5)*$K$96</f>
        <v>5.0345592725034605</v>
      </c>
      <c r="K94" s="364">
        <f>(0.21*LN(D94)+0.52)*(0.54*($K$93^0.25)-0.5)*$K$96</f>
        <v>6.6107196985450969</v>
      </c>
      <c r="L94" s="364">
        <f>(0.21*LN(D94)+0.52)*(0.54*($L$93^0.25)-0.5)*$K$96</f>
        <v>8.485100891579533</v>
      </c>
      <c r="BL94">
        <f t="shared" si="61"/>
        <v>1.2139091092439609</v>
      </c>
      <c r="BM94">
        <f t="shared" si="62"/>
        <v>0.69897000433601886</v>
      </c>
      <c r="BN94">
        <f t="shared" ref="BN94:BN99" si="64">LOG($I$105)</f>
        <v>1.3010299956639813</v>
      </c>
    </row>
    <row r="95" spans="2:76" x14ac:dyDescent="0.3">
      <c r="B95" s="5"/>
      <c r="D95" s="43">
        <v>5</v>
      </c>
      <c r="E95" s="364">
        <f t="shared" si="63"/>
        <v>29.012126430950175</v>
      </c>
      <c r="F95" s="364">
        <f t="shared" ref="F95:F100" si="65">(0.21*LN(D95)+0.52)*(0.54*($F$93^0.25)-0.5)*$K$96</f>
        <v>2.6128103526182573</v>
      </c>
      <c r="G95" s="364">
        <f t="shared" ref="G95:G100" si="66">(0.21*LN(D95)+0.52)*(0.54*($G$93^0.25)-0.5)*$K$96</f>
        <v>3.911044291023003</v>
      </c>
      <c r="H95" s="364">
        <f t="shared" ref="H95:H100" si="67">(0.21*LN(D95)+0.52)*(0.54*($H$93^0.25)-0.5)*$K$96</f>
        <v>4.7815343493707338</v>
      </c>
      <c r="I95" s="364">
        <f t="shared" ref="I95:I100" si="68">(0.21*LN(D95)+0.52)*(0.54*($I$93^0.25)-0.5)*$K$96</f>
        <v>5.4549133275119299</v>
      </c>
      <c r="J95" s="364">
        <f t="shared" ref="J95:J100" si="69">(0.21*LN(D95)+0.52)*(0.54*($J$93^0.25)-0.5)*$K$96</f>
        <v>6.490106298438187</v>
      </c>
      <c r="K95" s="364">
        <f>(0.21*LN(D95)+0.52)*(0.54*($K$93^0.25)-0.5)*$K$96</f>
        <v>8.5219522167632675</v>
      </c>
      <c r="L95" s="364">
        <f t="shared" ref="L95:L100" si="70">(0.21*LN(D95)+0.52)*(0.54*($L$93^0.25)-0.5)*$K$96</f>
        <v>10.938237839424692</v>
      </c>
      <c r="BL95">
        <f t="shared" si="61"/>
        <v>1.2819668814868646</v>
      </c>
      <c r="BM95">
        <f t="shared" si="62"/>
        <v>1</v>
      </c>
      <c r="BN95">
        <f t="shared" si="64"/>
        <v>1.3010299956639813</v>
      </c>
    </row>
    <row r="96" spans="2:76" x14ac:dyDescent="0.3">
      <c r="B96" s="5"/>
      <c r="D96" s="43">
        <v>10</v>
      </c>
      <c r="E96" s="65">
        <f t="shared" si="63"/>
        <v>33.229465718568122</v>
      </c>
      <c r="F96" s="364">
        <f t="shared" si="65"/>
        <v>3.0560866266664886</v>
      </c>
      <c r="G96" s="364">
        <f t="shared" si="66"/>
        <v>4.5745724109361063</v>
      </c>
      <c r="H96" s="364">
        <f t="shared" si="67"/>
        <v>5.5927454380357551</v>
      </c>
      <c r="I96" s="364">
        <f t="shared" si="68"/>
        <v>6.3803665096200213</v>
      </c>
      <c r="J96" s="364">
        <f t="shared" si="69"/>
        <v>7.5911851177507828</v>
      </c>
      <c r="K96" s="65">
        <f>0.4602*(E96^0.876)</f>
        <v>9.9037820959607927</v>
      </c>
      <c r="L96" s="364">
        <f t="shared" si="70"/>
        <v>12.793964302409188</v>
      </c>
      <c r="BL96">
        <f t="shared" si="61"/>
        <v>1.3407902043018529</v>
      </c>
      <c r="BM96">
        <f t="shared" si="62"/>
        <v>1.3010299956639813</v>
      </c>
      <c r="BN96">
        <f t="shared" si="64"/>
        <v>1.3010299956639813</v>
      </c>
    </row>
    <row r="97" spans="2:66" x14ac:dyDescent="0.3">
      <c r="B97" s="5"/>
      <c r="D97" s="43">
        <v>20</v>
      </c>
      <c r="E97" s="364">
        <f t="shared" si="63"/>
        <v>36.915997161120472</v>
      </c>
      <c r="F97" s="364">
        <f t="shared" si="65"/>
        <v>3.4993629007147202</v>
      </c>
      <c r="G97" s="364">
        <f t="shared" si="66"/>
        <v>5.2381005308492101</v>
      </c>
      <c r="H97" s="364">
        <f t="shared" si="67"/>
        <v>6.4039565267007763</v>
      </c>
      <c r="I97" s="364">
        <f t="shared" si="68"/>
        <v>7.3058196917281109</v>
      </c>
      <c r="J97" s="364">
        <f t="shared" si="69"/>
        <v>8.6922639370633803</v>
      </c>
      <c r="K97" s="364">
        <f>(0.21*LN(D97)+0.52)*(0.54*($K$93^0.25)-0.5)*$K$96</f>
        <v>11.413535390780037</v>
      </c>
      <c r="L97" s="364">
        <f t="shared" si="70"/>
        <v>14.649690765393686</v>
      </c>
      <c r="BL97">
        <f t="shared" si="61"/>
        <v>1.3581490311615401</v>
      </c>
      <c r="BM97">
        <f t="shared" si="62"/>
        <v>1.3979400086720377</v>
      </c>
      <c r="BN97">
        <f t="shared" si="64"/>
        <v>1.3010299956639813</v>
      </c>
    </row>
    <row r="98" spans="2:66" x14ac:dyDescent="0.3">
      <c r="B98" s="5"/>
      <c r="D98" s="43">
        <v>25</v>
      </c>
      <c r="E98" s="364">
        <f t="shared" si="63"/>
        <v>38.025281803448721</v>
      </c>
      <c r="F98" s="364">
        <f t="shared" si="65"/>
        <v>3.6420659871278356</v>
      </c>
      <c r="G98" s="364">
        <f t="shared" si="66"/>
        <v>5.4517088743970268</v>
      </c>
      <c r="H98" s="364">
        <f t="shared" si="67"/>
        <v>6.665108167026208</v>
      </c>
      <c r="I98" s="364">
        <f t="shared" si="68"/>
        <v>7.6037490715516149</v>
      </c>
      <c r="J98" s="364">
        <f t="shared" si="69"/>
        <v>9.0467321436855084</v>
      </c>
      <c r="K98" s="364">
        <f t="shared" ref="K98:K100" si="71">(0.21*LN(D98)+0.52)*(0.54*($K$93^0.25)-0.5)*$K$96</f>
        <v>11.878976321989821</v>
      </c>
      <c r="L98" s="364">
        <f t="shared" si="70"/>
        <v>15.247101250254344</v>
      </c>
      <c r="BL98">
        <f t="shared" si="61"/>
        <v>1.4080296677118864</v>
      </c>
      <c r="BM98">
        <f t="shared" si="62"/>
        <v>1.6989700043360187</v>
      </c>
      <c r="BN98">
        <f t="shared" si="64"/>
        <v>1.3010299956639813</v>
      </c>
    </row>
    <row r="99" spans="2:66" x14ac:dyDescent="0.3">
      <c r="B99" s="5"/>
      <c r="D99" s="43">
        <v>50</v>
      </c>
      <c r="E99" s="364">
        <f t="shared" si="63"/>
        <v>41.291723892266013</v>
      </c>
      <c r="F99" s="364">
        <f t="shared" si="65"/>
        <v>4.0853422611760672</v>
      </c>
      <c r="G99" s="364">
        <f t="shared" si="66"/>
        <v>6.1152369943101306</v>
      </c>
      <c r="H99" s="364">
        <f t="shared" si="67"/>
        <v>7.4763192556912292</v>
      </c>
      <c r="I99" s="364">
        <f t="shared" si="68"/>
        <v>8.5292022536597063</v>
      </c>
      <c r="J99" s="364">
        <f t="shared" si="69"/>
        <v>10.147810962998104</v>
      </c>
      <c r="K99" s="364">
        <f t="shared" si="71"/>
        <v>13.324767908998206</v>
      </c>
      <c r="L99" s="364">
        <f t="shared" si="70"/>
        <v>17.102827713238842</v>
      </c>
      <c r="BL99" s="106">
        <f t="shared" si="61"/>
        <v>1.4527669608175431</v>
      </c>
      <c r="BM99" s="106">
        <f t="shared" si="62"/>
        <v>2</v>
      </c>
      <c r="BN99" s="106">
        <f t="shared" si="64"/>
        <v>1.3010299956639813</v>
      </c>
    </row>
    <row r="100" spans="2:66" x14ac:dyDescent="0.3">
      <c r="B100" s="5"/>
      <c r="D100" s="43">
        <v>100</v>
      </c>
      <c r="E100" s="364">
        <f t="shared" si="63"/>
        <v>44.345476961094342</v>
      </c>
      <c r="F100" s="364">
        <f t="shared" si="65"/>
        <v>4.5286185352242985</v>
      </c>
      <c r="G100" s="364">
        <f t="shared" si="66"/>
        <v>6.7787651142232335</v>
      </c>
      <c r="H100" s="364">
        <f t="shared" si="67"/>
        <v>8.2875303443562505</v>
      </c>
      <c r="I100" s="364">
        <f t="shared" si="68"/>
        <v>9.4546554357677959</v>
      </c>
      <c r="J100" s="364">
        <f t="shared" si="69"/>
        <v>11.248889782310702</v>
      </c>
      <c r="K100" s="364">
        <f t="shared" si="71"/>
        <v>14.770559496006589</v>
      </c>
      <c r="L100" s="364">
        <f t="shared" si="70"/>
        <v>18.958554176223338</v>
      </c>
      <c r="BL100">
        <f t="shared" ref="BL100:BL106" si="72">LOG(J106)</f>
        <v>1.0029914538907805</v>
      </c>
      <c r="BM100">
        <f t="shared" ref="BM100:BM106" si="73">LOG(D106)</f>
        <v>0.3010299956639812</v>
      </c>
      <c r="BN100">
        <f>LOG($J$105)</f>
        <v>1.4771212547196624</v>
      </c>
    </row>
    <row r="101" spans="2:66" x14ac:dyDescent="0.3">
      <c r="B101" s="5"/>
      <c r="D101" s="100"/>
      <c r="E101" s="101"/>
      <c r="F101" s="101"/>
      <c r="G101" s="101"/>
      <c r="H101" s="101"/>
      <c r="I101" s="101"/>
      <c r="J101" s="101"/>
      <c r="K101" s="101"/>
      <c r="BL101">
        <f t="shared" si="72"/>
        <v>1.1132818056303107</v>
      </c>
      <c r="BM101">
        <f t="shared" si="73"/>
        <v>0.69897000433601886</v>
      </c>
      <c r="BN101">
        <f t="shared" ref="BN101:BN106" si="74">LOG($J$105)</f>
        <v>1.4771212547196624</v>
      </c>
    </row>
    <row r="102" spans="2:66" x14ac:dyDescent="0.3">
      <c r="B102" s="5"/>
      <c r="BL102">
        <f t="shared" si="72"/>
        <v>1.1813395778732143</v>
      </c>
      <c r="BM102">
        <f t="shared" si="73"/>
        <v>1</v>
      </c>
      <c r="BN102">
        <f t="shared" si="74"/>
        <v>1.4771212547196624</v>
      </c>
    </row>
    <row r="103" spans="2:66" x14ac:dyDescent="0.3">
      <c r="B103" s="5"/>
      <c r="D103" s="533" t="s">
        <v>149</v>
      </c>
      <c r="E103" s="533"/>
      <c r="F103" s="533"/>
      <c r="G103" s="533"/>
      <c r="H103" s="533"/>
      <c r="I103" s="533"/>
      <c r="J103" s="533"/>
      <c r="K103" s="533"/>
      <c r="L103" s="533"/>
      <c r="BL103">
        <f t="shared" si="72"/>
        <v>1.2401629006882029</v>
      </c>
      <c r="BM103">
        <f t="shared" si="73"/>
        <v>1.3010299956639813</v>
      </c>
      <c r="BN103">
        <f t="shared" si="74"/>
        <v>1.4771212547196624</v>
      </c>
    </row>
    <row r="104" spans="2:66" x14ac:dyDescent="0.3">
      <c r="B104" s="5"/>
      <c r="D104" s="530" t="s">
        <v>55</v>
      </c>
      <c r="E104" s="530" t="s">
        <v>45</v>
      </c>
      <c r="F104" s="533" t="s">
        <v>80</v>
      </c>
      <c r="G104" s="533"/>
      <c r="H104" s="533"/>
      <c r="I104" s="533"/>
      <c r="J104" s="533"/>
      <c r="K104" s="533"/>
      <c r="L104" s="533"/>
      <c r="BL104">
        <f t="shared" si="72"/>
        <v>1.2575217275478898</v>
      </c>
      <c r="BM104">
        <f t="shared" si="73"/>
        <v>1.3979400086720377</v>
      </c>
      <c r="BN104">
        <f t="shared" si="74"/>
        <v>1.4771212547196624</v>
      </c>
    </row>
    <row r="105" spans="2:66" x14ac:dyDescent="0.3">
      <c r="B105" s="5"/>
      <c r="D105" s="530"/>
      <c r="E105" s="530"/>
      <c r="F105" s="416">
        <f t="shared" ref="F105:L105" si="75">F93</f>
        <v>5</v>
      </c>
      <c r="G105" s="416">
        <f t="shared" si="75"/>
        <v>10</v>
      </c>
      <c r="H105" s="416">
        <f t="shared" si="75"/>
        <v>15</v>
      </c>
      <c r="I105" s="416">
        <f t="shared" si="75"/>
        <v>20</v>
      </c>
      <c r="J105" s="416">
        <f t="shared" si="75"/>
        <v>30</v>
      </c>
      <c r="K105" s="416">
        <f t="shared" si="75"/>
        <v>60</v>
      </c>
      <c r="L105" s="416">
        <f t="shared" si="75"/>
        <v>120</v>
      </c>
      <c r="BL105">
        <f t="shared" si="72"/>
        <v>1.3074023640982362</v>
      </c>
      <c r="BM105">
        <f t="shared" si="73"/>
        <v>1.6989700043360187</v>
      </c>
      <c r="BN105">
        <f t="shared" si="74"/>
        <v>1.4771212547196624</v>
      </c>
    </row>
    <row r="106" spans="2:66" x14ac:dyDescent="0.3">
      <c r="B106" s="5"/>
      <c r="D106" s="43">
        <f>D94</f>
        <v>2</v>
      </c>
      <c r="E106" s="364">
        <f t="shared" ref="E106:E112" si="76">E94</f>
        <v>21.678240799372862</v>
      </c>
      <c r="F106" s="364">
        <f>F94/($F$93/60)</f>
        <v>24.321971905882926</v>
      </c>
      <c r="G106" s="364">
        <f>G94/($G$93/60)</f>
        <v>18.203446965372493</v>
      </c>
      <c r="H106" s="364">
        <f>H94/($H$93/60)</f>
        <v>14.836686481521122</v>
      </c>
      <c r="I106" s="364">
        <f>I94/($I$93/60)</f>
        <v>12.694592296741007</v>
      </c>
      <c r="J106" s="364">
        <f>J94/($J$93/60)</f>
        <v>10.069118545006921</v>
      </c>
      <c r="K106" s="364">
        <f>K94/($K$93/60)</f>
        <v>6.6107196985450969</v>
      </c>
      <c r="L106" s="364">
        <f>L94/($L$93/60)</f>
        <v>4.2425504457897665</v>
      </c>
      <c r="BL106" s="106">
        <f t="shared" si="72"/>
        <v>1.3521396572038928</v>
      </c>
      <c r="BM106" s="106">
        <f t="shared" si="73"/>
        <v>2</v>
      </c>
      <c r="BN106" s="106">
        <f t="shared" si="74"/>
        <v>1.4771212547196624</v>
      </c>
    </row>
    <row r="107" spans="2:66" x14ac:dyDescent="0.3">
      <c r="B107" s="5"/>
      <c r="D107" s="43">
        <f t="shared" ref="D107:D112" si="77">D95</f>
        <v>5</v>
      </c>
      <c r="E107" s="364">
        <f t="shared" si="76"/>
        <v>29.012126430950175</v>
      </c>
      <c r="F107" s="364">
        <f t="shared" ref="F107:F112" si="78">F95/($F$93/60)</f>
        <v>31.35372423141909</v>
      </c>
      <c r="G107" s="364">
        <f t="shared" ref="G107:G112" si="79">G95/($G$93/60)</f>
        <v>23.466265746138021</v>
      </c>
      <c r="H107" s="364">
        <f t="shared" ref="H107:H112" si="80">H95/($H$93/60)</f>
        <v>19.126137397482935</v>
      </c>
      <c r="I107" s="364">
        <f t="shared" ref="I107:I112" si="81">I95/($I$93/60)</f>
        <v>16.364739982535792</v>
      </c>
      <c r="J107" s="364">
        <f t="shared" ref="J107:J112" si="82">J95/($J$93/60)</f>
        <v>12.980212596876374</v>
      </c>
      <c r="K107" s="364">
        <f t="shared" ref="K107:K112" si="83">K95/($K$93/60)</f>
        <v>8.5219522167632675</v>
      </c>
      <c r="L107" s="364">
        <f t="shared" ref="L107:L112" si="84">L95/($L$93/60)</f>
        <v>5.4691189197123462</v>
      </c>
      <c r="BL107">
        <f t="shared" ref="BL107:BL113" si="85">LOG(K106)</f>
        <v>0.82024874300941275</v>
      </c>
      <c r="BM107">
        <f t="shared" ref="BM107:BM113" si="86">LOG(D106)</f>
        <v>0.3010299956639812</v>
      </c>
      <c r="BN107">
        <f>LOG($K$105)</f>
        <v>1.7781512503836436</v>
      </c>
    </row>
    <row r="108" spans="2:66" x14ac:dyDescent="0.3">
      <c r="B108" s="5"/>
      <c r="D108" s="43">
        <f t="shared" si="77"/>
        <v>10</v>
      </c>
      <c r="E108" s="364">
        <f t="shared" si="76"/>
        <v>33.229465718568122</v>
      </c>
      <c r="F108" s="364">
        <f t="shared" si="78"/>
        <v>36.673039519997864</v>
      </c>
      <c r="G108" s="364">
        <f t="shared" si="79"/>
        <v>27.447434465616638</v>
      </c>
      <c r="H108" s="364">
        <f t="shared" si="80"/>
        <v>22.37098175214302</v>
      </c>
      <c r="I108" s="364">
        <f t="shared" si="81"/>
        <v>19.141099528860064</v>
      </c>
      <c r="J108" s="364">
        <f t="shared" si="82"/>
        <v>15.182370235501566</v>
      </c>
      <c r="K108" s="364">
        <f t="shared" si="83"/>
        <v>9.9037820959607927</v>
      </c>
      <c r="L108" s="364">
        <f t="shared" si="84"/>
        <v>6.3969821512045941</v>
      </c>
      <c r="BL108">
        <f t="shared" si="85"/>
        <v>0.93053909474894281</v>
      </c>
      <c r="BM108">
        <f t="shared" si="86"/>
        <v>0.69897000433601886</v>
      </c>
      <c r="BN108">
        <f t="shared" ref="BN108:BN113" si="87">LOG($K$105)</f>
        <v>1.7781512503836436</v>
      </c>
    </row>
    <row r="109" spans="2:66" x14ac:dyDescent="0.3">
      <c r="B109" s="5"/>
      <c r="D109" s="43">
        <f t="shared" si="77"/>
        <v>20</v>
      </c>
      <c r="E109" s="364">
        <f t="shared" si="76"/>
        <v>36.915997161120472</v>
      </c>
      <c r="F109" s="364">
        <f t="shared" si="78"/>
        <v>41.992354808576643</v>
      </c>
      <c r="G109" s="364">
        <f t="shared" si="79"/>
        <v>31.428603185095263</v>
      </c>
      <c r="H109" s="364">
        <f t="shared" si="80"/>
        <v>25.615826106803105</v>
      </c>
      <c r="I109" s="364">
        <f>I97/($I$93/60)</f>
        <v>21.917459075184333</v>
      </c>
      <c r="J109" s="364">
        <f t="shared" si="82"/>
        <v>17.384527874126761</v>
      </c>
      <c r="K109" s="364">
        <f t="shared" si="83"/>
        <v>11.413535390780037</v>
      </c>
      <c r="L109" s="364">
        <f t="shared" si="84"/>
        <v>7.3248453826968429</v>
      </c>
      <c r="BL109">
        <f t="shared" si="85"/>
        <v>0.99580107638899873</v>
      </c>
      <c r="BM109">
        <f t="shared" si="86"/>
        <v>1</v>
      </c>
      <c r="BN109">
        <f t="shared" si="87"/>
        <v>1.7781512503836436</v>
      </c>
    </row>
    <row r="110" spans="2:66" ht="15.75" customHeight="1" x14ac:dyDescent="0.3">
      <c r="B110" s="5"/>
      <c r="D110" s="43">
        <f t="shared" si="77"/>
        <v>25</v>
      </c>
      <c r="E110" s="364">
        <f t="shared" si="76"/>
        <v>38.025281803448721</v>
      </c>
      <c r="F110" s="364">
        <f t="shared" si="78"/>
        <v>43.704791845534032</v>
      </c>
      <c r="G110" s="364">
        <f t="shared" si="79"/>
        <v>32.710253246382166</v>
      </c>
      <c r="H110" s="364">
        <f t="shared" si="80"/>
        <v>26.660432668104832</v>
      </c>
      <c r="I110" s="364">
        <f t="shared" si="81"/>
        <v>22.811247214654845</v>
      </c>
      <c r="J110" s="364">
        <f t="shared" si="82"/>
        <v>18.093464287371017</v>
      </c>
      <c r="K110" s="364">
        <f t="shared" si="83"/>
        <v>11.878976321989821</v>
      </c>
      <c r="L110" s="364">
        <f t="shared" si="84"/>
        <v>7.6235506251271721</v>
      </c>
      <c r="BL110">
        <f t="shared" si="85"/>
        <v>1.0574201898068349</v>
      </c>
      <c r="BM110">
        <f t="shared" si="86"/>
        <v>1.3010299956639813</v>
      </c>
      <c r="BN110">
        <f t="shared" si="87"/>
        <v>1.7781512503836436</v>
      </c>
    </row>
    <row r="111" spans="2:66" x14ac:dyDescent="0.3">
      <c r="B111" s="5"/>
      <c r="D111" s="43">
        <f t="shared" si="77"/>
        <v>50</v>
      </c>
      <c r="E111" s="364">
        <f t="shared" si="76"/>
        <v>41.291723892266013</v>
      </c>
      <c r="F111" s="364">
        <f t="shared" si="78"/>
        <v>49.024107134112811</v>
      </c>
      <c r="G111" s="364">
        <f t="shared" si="79"/>
        <v>36.691421965860783</v>
      </c>
      <c r="H111" s="364">
        <f t="shared" si="80"/>
        <v>29.905277022764917</v>
      </c>
      <c r="I111" s="364">
        <f t="shared" si="81"/>
        <v>25.587606760979121</v>
      </c>
      <c r="J111" s="364">
        <f t="shared" si="82"/>
        <v>20.295621925996208</v>
      </c>
      <c r="K111" s="364">
        <f t="shared" si="83"/>
        <v>13.324767908998206</v>
      </c>
      <c r="L111" s="364">
        <f t="shared" si="84"/>
        <v>8.5514138566194209</v>
      </c>
      <c r="BL111">
        <f t="shared" si="85"/>
        <v>1.0747790166665221</v>
      </c>
      <c r="BM111">
        <f t="shared" si="86"/>
        <v>1.3979400086720377</v>
      </c>
      <c r="BN111">
        <f t="shared" si="87"/>
        <v>1.7781512503836436</v>
      </c>
    </row>
    <row r="112" spans="2:66" x14ac:dyDescent="0.3">
      <c r="B112" s="5"/>
      <c r="D112" s="43">
        <f t="shared" si="77"/>
        <v>100</v>
      </c>
      <c r="E112" s="364">
        <f t="shared" si="76"/>
        <v>44.345476961094342</v>
      </c>
      <c r="F112" s="364">
        <f t="shared" si="78"/>
        <v>54.343422422691582</v>
      </c>
      <c r="G112" s="364">
        <f t="shared" si="79"/>
        <v>40.672590685339401</v>
      </c>
      <c r="H112" s="364">
        <f t="shared" si="80"/>
        <v>33.150121377425002</v>
      </c>
      <c r="I112" s="364">
        <f t="shared" si="81"/>
        <v>28.363966307303389</v>
      </c>
      <c r="J112" s="364">
        <f t="shared" si="82"/>
        <v>22.497779564621403</v>
      </c>
      <c r="K112" s="364">
        <f t="shared" si="83"/>
        <v>14.770559496006589</v>
      </c>
      <c r="L112" s="364">
        <f t="shared" si="84"/>
        <v>9.4792770881116688</v>
      </c>
      <c r="BL112">
        <f t="shared" si="85"/>
        <v>1.1246596532168684</v>
      </c>
      <c r="BM112">
        <f t="shared" si="86"/>
        <v>1.6989700043360187</v>
      </c>
      <c r="BN112">
        <f t="shared" si="87"/>
        <v>1.7781512503836436</v>
      </c>
    </row>
    <row r="113" spans="2:66" x14ac:dyDescent="0.3">
      <c r="B113" s="5"/>
      <c r="BL113" s="106">
        <f t="shared" si="85"/>
        <v>1.1693969463225251</v>
      </c>
      <c r="BM113" s="106">
        <f t="shared" si="86"/>
        <v>2</v>
      </c>
      <c r="BN113" s="106">
        <f t="shared" si="87"/>
        <v>1.7781512503836436</v>
      </c>
    </row>
    <row r="114" spans="2:66" x14ac:dyDescent="0.3">
      <c r="B114" s="5"/>
      <c r="C114" s="24" t="s">
        <v>182</v>
      </c>
      <c r="BL114">
        <f>LOG(L106)</f>
        <v>0.62762701497271411</v>
      </c>
      <c r="BM114">
        <f>LOG(D106)</f>
        <v>0.3010299956639812</v>
      </c>
      <c r="BN114">
        <f>LOG($L$105)</f>
        <v>2.0791812460476247</v>
      </c>
    </row>
    <row r="115" spans="2:66" x14ac:dyDescent="0.3">
      <c r="B115" s="5"/>
      <c r="C115" s="24" t="s">
        <v>183</v>
      </c>
      <c r="BL115">
        <f t="shared" ref="BL115:BL120" si="88">LOG(L107)</f>
        <v>0.73791736671224417</v>
      </c>
      <c r="BM115">
        <f t="shared" ref="BM115:BM120" si="89">LOG(D107)</f>
        <v>0.69897000433601886</v>
      </c>
      <c r="BN115">
        <f t="shared" ref="BN115:BN120" si="90">LOG($L$105)</f>
        <v>2.0791812460476247</v>
      </c>
    </row>
    <row r="116" spans="2:66" x14ac:dyDescent="0.3">
      <c r="B116" s="5"/>
      <c r="C116" s="24" t="s">
        <v>122</v>
      </c>
      <c r="BL116">
        <f t="shared" si="88"/>
        <v>0.80597513895514783</v>
      </c>
      <c r="BM116">
        <f t="shared" si="89"/>
        <v>1</v>
      </c>
      <c r="BN116">
        <f t="shared" si="90"/>
        <v>2.0791812460476247</v>
      </c>
    </row>
    <row r="117" spans="2:66" x14ac:dyDescent="0.3">
      <c r="B117" s="5"/>
      <c r="H117" s="21" t="s">
        <v>108</v>
      </c>
      <c r="BL117">
        <f t="shared" si="88"/>
        <v>0.86479846177013631</v>
      </c>
      <c r="BM117">
        <f t="shared" si="89"/>
        <v>1.3010299956639813</v>
      </c>
      <c r="BN117">
        <f t="shared" si="90"/>
        <v>2.0791812460476247</v>
      </c>
    </row>
    <row r="118" spans="2:66" x14ac:dyDescent="0.3">
      <c r="B118" s="5"/>
      <c r="H118" s="21" t="s">
        <v>109</v>
      </c>
      <c r="BL118">
        <f t="shared" si="88"/>
        <v>0.88215728862982334</v>
      </c>
      <c r="BM118">
        <f t="shared" si="89"/>
        <v>1.3979400086720377</v>
      </c>
      <c r="BN118">
        <f t="shared" si="90"/>
        <v>2.0791812460476247</v>
      </c>
    </row>
    <row r="119" spans="2:66" x14ac:dyDescent="0.3">
      <c r="B119" s="5"/>
      <c r="BL119">
        <f t="shared" si="88"/>
        <v>0.9320379251801697</v>
      </c>
      <c r="BM119">
        <f t="shared" si="89"/>
        <v>1.6989700043360187</v>
      </c>
      <c r="BN119">
        <f t="shared" si="90"/>
        <v>2.0791812460476247</v>
      </c>
    </row>
    <row r="120" spans="2:66" x14ac:dyDescent="0.3">
      <c r="B120" s="5"/>
      <c r="C120" s="24" t="s">
        <v>107</v>
      </c>
      <c r="BL120" s="106">
        <f t="shared" si="88"/>
        <v>0.97677521828582625</v>
      </c>
      <c r="BM120" s="106">
        <f t="shared" si="89"/>
        <v>2</v>
      </c>
      <c r="BN120" s="106">
        <f t="shared" si="90"/>
        <v>2.0791812460476247</v>
      </c>
    </row>
    <row r="121" spans="2:66" x14ac:dyDescent="0.3">
      <c r="B121" s="5"/>
      <c r="U121" s="99" t="s">
        <v>111</v>
      </c>
      <c r="V121" s="73">
        <f>K122</f>
        <v>58.81</v>
      </c>
    </row>
    <row r="122" spans="2:66" x14ac:dyDescent="0.3">
      <c r="B122" s="5"/>
      <c r="C122" s="573" t="s">
        <v>100</v>
      </c>
      <c r="D122" s="573"/>
      <c r="E122" s="110">
        <f>BQ86</f>
        <v>1.7694832919244621</v>
      </c>
      <c r="F122" s="103"/>
      <c r="H122" s="99" t="s">
        <v>110</v>
      </c>
      <c r="I122" s="68">
        <f>E122</f>
        <v>1.7694832919244621</v>
      </c>
      <c r="J122" s="99" t="s">
        <v>111</v>
      </c>
      <c r="K122" s="73">
        <f>ROUND(10^I122,2)</f>
        <v>58.81</v>
      </c>
      <c r="U122" s="99" t="s">
        <v>112</v>
      </c>
      <c r="V122" s="102">
        <f>K123</f>
        <v>0.20373970818079745</v>
      </c>
    </row>
    <row r="123" spans="2:66" x14ac:dyDescent="0.3">
      <c r="B123" s="5"/>
      <c r="C123" s="573" t="s">
        <v>101</v>
      </c>
      <c r="D123" s="573"/>
      <c r="E123" s="110">
        <f>BQ76</f>
        <v>2.4650295705652497E-2</v>
      </c>
      <c r="F123" s="103"/>
      <c r="J123" s="99" t="s">
        <v>112</v>
      </c>
      <c r="K123" s="102">
        <f>E127</f>
        <v>0.20373970818079745</v>
      </c>
      <c r="U123" s="99" t="s">
        <v>113</v>
      </c>
      <c r="V123" s="102">
        <f>K124</f>
        <v>0.55642464960306115</v>
      </c>
    </row>
    <row r="124" spans="2:66" x14ac:dyDescent="0.3">
      <c r="B124" s="5"/>
      <c r="C124" s="573" t="s">
        <v>102</v>
      </c>
      <c r="D124" s="573"/>
      <c r="E124" s="110">
        <f>BQ75</f>
        <v>0.99156625547080424</v>
      </c>
      <c r="F124" s="103"/>
      <c r="J124" s="99" t="s">
        <v>113</v>
      </c>
      <c r="K124" s="102">
        <f>F127*-1</f>
        <v>0.55642464960306115</v>
      </c>
      <c r="R124" s="99" t="s">
        <v>84</v>
      </c>
      <c r="S124" s="99" t="s">
        <v>114</v>
      </c>
      <c r="T124" s="24" t="s">
        <v>115</v>
      </c>
    </row>
    <row r="125" spans="2:66" x14ac:dyDescent="0.3">
      <c r="B125" s="5"/>
      <c r="C125" s="573" t="s">
        <v>103</v>
      </c>
      <c r="D125" s="573"/>
      <c r="E125" s="103">
        <f>BQ77</f>
        <v>49</v>
      </c>
      <c r="F125" s="103"/>
      <c r="S125" s="99" t="s">
        <v>79</v>
      </c>
      <c r="T125" s="24" t="s">
        <v>85</v>
      </c>
    </row>
    <row r="126" spans="2:66" x14ac:dyDescent="0.3">
      <c r="B126" s="5"/>
      <c r="C126" s="573" t="s">
        <v>104</v>
      </c>
      <c r="D126" s="573"/>
      <c r="E126" s="103">
        <f>BQ82</f>
        <v>46</v>
      </c>
      <c r="F126" s="103"/>
      <c r="R126" s="24"/>
      <c r="S126" s="99" t="s">
        <v>86</v>
      </c>
      <c r="T126" s="24" t="s">
        <v>87</v>
      </c>
    </row>
    <row r="127" spans="2:66" x14ac:dyDescent="0.3">
      <c r="B127" s="5"/>
      <c r="C127" s="573" t="s">
        <v>105</v>
      </c>
      <c r="D127" s="573"/>
      <c r="E127" s="110">
        <f>BQ87</f>
        <v>0.20373970818079745</v>
      </c>
      <c r="F127" s="110">
        <f>BQ88</f>
        <v>-0.55642464960306115</v>
      </c>
      <c r="H127" s="24" t="s">
        <v>84</v>
      </c>
      <c r="I127" s="99" t="s">
        <v>114</v>
      </c>
      <c r="J127" s="24" t="s">
        <v>115</v>
      </c>
    </row>
    <row r="128" spans="2:66" x14ac:dyDescent="0.3">
      <c r="B128" s="5"/>
      <c r="C128" s="573" t="s">
        <v>106</v>
      </c>
      <c r="D128" s="573"/>
      <c r="E128" s="110">
        <f>BR87</f>
        <v>6.5271032040158036E-3</v>
      </c>
      <c r="F128" s="110">
        <f>BR88</f>
        <v>8.1413719568474412E-3</v>
      </c>
      <c r="I128" s="99" t="s">
        <v>79</v>
      </c>
      <c r="J128" s="24" t="s">
        <v>85</v>
      </c>
    </row>
    <row r="129" spans="1:73" x14ac:dyDescent="0.3">
      <c r="B129" s="5"/>
      <c r="H129" s="24"/>
      <c r="I129" s="99" t="s">
        <v>86</v>
      </c>
      <c r="J129" s="24" t="s">
        <v>87</v>
      </c>
      <c r="BK129" s="167" t="s">
        <v>322</v>
      </c>
    </row>
    <row r="130" spans="1:73" ht="15.6" x14ac:dyDescent="0.3">
      <c r="B130" s="533" t="s">
        <v>78</v>
      </c>
      <c r="C130" s="533"/>
      <c r="D130" s="533"/>
      <c r="E130" s="533"/>
      <c r="F130" s="533"/>
      <c r="G130" s="533"/>
      <c r="H130" s="533"/>
      <c r="I130" s="533"/>
      <c r="J130" s="533"/>
      <c r="K130" s="533"/>
      <c r="L130" s="533"/>
      <c r="M130" s="533" t="s">
        <v>78</v>
      </c>
      <c r="N130" s="533"/>
      <c r="O130" s="533"/>
      <c r="P130" s="533"/>
      <c r="Q130" s="533"/>
      <c r="R130" s="533"/>
      <c r="S130" s="533"/>
      <c r="T130" s="533"/>
      <c r="U130" s="533"/>
      <c r="V130" s="533"/>
      <c r="AA130" s="105"/>
      <c r="AB130" s="105"/>
      <c r="AC130" s="105"/>
      <c r="AD130" s="105"/>
      <c r="AE130" s="105"/>
      <c r="AF130" s="105"/>
      <c r="AG130" s="105"/>
      <c r="AH130" s="105"/>
      <c r="AI130" s="105"/>
      <c r="AJ130" s="105"/>
      <c r="AK130" s="105"/>
      <c r="AL130" s="105"/>
      <c r="AM130" s="105"/>
      <c r="AN130" s="105"/>
      <c r="AO130" s="105"/>
      <c r="AP130" s="105"/>
      <c r="AQ130" s="105"/>
      <c r="AR130" s="105"/>
      <c r="AS130" s="105"/>
      <c r="AT130" s="105"/>
      <c r="AU130" s="105"/>
      <c r="AV130" s="105"/>
      <c r="AW130" s="105"/>
      <c r="AX130" s="105"/>
      <c r="AY130" s="105"/>
      <c r="AZ130" s="105"/>
      <c r="BA130" s="105"/>
      <c r="BB130" s="105"/>
      <c r="BC130" s="105"/>
      <c r="BD130" s="105"/>
      <c r="BE130" s="105"/>
      <c r="BF130" s="105"/>
      <c r="BG130" s="105"/>
      <c r="BH130" s="105"/>
      <c r="BI130" s="105"/>
      <c r="BJ130" s="105"/>
      <c r="BK130" s="105"/>
      <c r="BL130" s="105" t="s">
        <v>116</v>
      </c>
      <c r="BM130" s="105" t="s">
        <v>117</v>
      </c>
      <c r="BN130" s="105" t="s">
        <v>118</v>
      </c>
      <c r="BO130" s="105"/>
      <c r="BP130" t="s">
        <v>123</v>
      </c>
    </row>
    <row r="131" spans="1:73" ht="16.2" thickBot="1" x14ac:dyDescent="0.35">
      <c r="AA131" s="105"/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5"/>
      <c r="AQ131" s="105"/>
      <c r="AR131" s="105"/>
      <c r="AS131" s="105"/>
      <c r="AT131" s="105"/>
      <c r="AU131" s="105"/>
      <c r="AV131" s="105"/>
      <c r="AW131" s="105"/>
      <c r="AX131" s="105"/>
      <c r="AY131" s="105"/>
      <c r="AZ131" s="105"/>
      <c r="BA131" s="105"/>
      <c r="BB131" s="105"/>
      <c r="BC131" s="105"/>
      <c r="BD131" s="105"/>
      <c r="BE131" s="105"/>
      <c r="BF131" s="105"/>
      <c r="BG131" s="105"/>
      <c r="BH131" s="105"/>
      <c r="BI131" s="105"/>
      <c r="BJ131" s="105"/>
      <c r="BK131" s="105"/>
      <c r="BL131" s="107" t="s">
        <v>119</v>
      </c>
      <c r="BM131" s="107" t="s">
        <v>120</v>
      </c>
      <c r="BN131" s="107" t="s">
        <v>121</v>
      </c>
      <c r="BO131" s="105"/>
    </row>
    <row r="132" spans="1:73" ht="15.6" x14ac:dyDescent="0.3">
      <c r="A132" s="123"/>
      <c r="B132" s="242" t="s">
        <v>897</v>
      </c>
      <c r="D132" s="459" t="s">
        <v>155</v>
      </c>
      <c r="E132" s="123"/>
      <c r="F132" s="123"/>
      <c r="G132" s="123"/>
      <c r="J132" s="104" t="s">
        <v>59</v>
      </c>
      <c r="K132" s="569" t="str">
        <f>SK_1!G3</f>
        <v>YANTAC</v>
      </c>
      <c r="L132" s="569"/>
      <c r="M132" s="27" t="s">
        <v>82</v>
      </c>
      <c r="N132" s="32" t="s">
        <v>155</v>
      </c>
      <c r="O132" s="29"/>
      <c r="T132" s="104" t="s">
        <v>59</v>
      </c>
      <c r="U132" s="569" t="str">
        <f>K132</f>
        <v>YANTAC</v>
      </c>
      <c r="V132" s="569"/>
      <c r="BL132">
        <f t="shared" ref="BL132:BL139" si="91">LOG(F158)</f>
        <v>1.8003571601787771</v>
      </c>
      <c r="BM132">
        <f t="shared" ref="BM132:BM139" si="92">LOG(D158)</f>
        <v>0.3010299956639812</v>
      </c>
      <c r="BN132">
        <f t="shared" ref="BN132:BN139" si="93">LOG($F$157)</f>
        <v>0.69897000433601886</v>
      </c>
      <c r="BP132" s="518" t="s">
        <v>124</v>
      </c>
      <c r="BQ132" s="518"/>
    </row>
    <row r="133" spans="1:73" x14ac:dyDescent="0.3">
      <c r="B133" s="5"/>
      <c r="BL133">
        <f t="shared" si="91"/>
        <v>1.9269126854986689</v>
      </c>
      <c r="BM133">
        <f t="shared" si="92"/>
        <v>0.69897000433601886</v>
      </c>
      <c r="BN133">
        <f t="shared" si="93"/>
        <v>0.69897000433601886</v>
      </c>
      <c r="BP133" t="s">
        <v>125</v>
      </c>
      <c r="BQ133">
        <v>0.99414745972460739</v>
      </c>
    </row>
    <row r="134" spans="1:73" ht="15.6" x14ac:dyDescent="0.3">
      <c r="C134" s="24" t="s">
        <v>83</v>
      </c>
      <c r="D134" s="29"/>
      <c r="N134" s="570" t="s">
        <v>149</v>
      </c>
      <c r="O134" s="570"/>
      <c r="P134" s="570"/>
      <c r="Q134" s="570"/>
      <c r="R134" s="570"/>
      <c r="S134" s="570"/>
      <c r="T134" s="570"/>
      <c r="U134" s="570"/>
      <c r="V134" s="570"/>
      <c r="BL134">
        <f t="shared" si="91"/>
        <v>1.9858564826196599</v>
      </c>
      <c r="BM134">
        <f t="shared" si="92"/>
        <v>1</v>
      </c>
      <c r="BN134">
        <f t="shared" si="93"/>
        <v>0.69897000433601886</v>
      </c>
      <c r="BP134" t="s">
        <v>126</v>
      </c>
      <c r="BQ134">
        <v>0.98832917167688994</v>
      </c>
    </row>
    <row r="135" spans="1:73" ht="15.6" x14ac:dyDescent="0.3">
      <c r="C135" s="24" t="s">
        <v>84</v>
      </c>
      <c r="D135" s="29"/>
      <c r="N135" s="571" t="s">
        <v>458</v>
      </c>
      <c r="O135" s="570" t="s">
        <v>151</v>
      </c>
      <c r="P135" s="570"/>
      <c r="Q135" s="570"/>
      <c r="R135" s="570"/>
      <c r="S135" s="570"/>
      <c r="T135" s="570"/>
      <c r="U135" s="570"/>
      <c r="V135" s="570"/>
      <c r="BL135">
        <f t="shared" si="91"/>
        <v>2.0315477280249974</v>
      </c>
      <c r="BM135">
        <f t="shared" si="92"/>
        <v>1.3010299956639813</v>
      </c>
      <c r="BN135">
        <f t="shared" si="93"/>
        <v>0.69897000433601886</v>
      </c>
      <c r="BP135" t="s">
        <v>127</v>
      </c>
      <c r="BQ135">
        <v>0.98781046819586271</v>
      </c>
    </row>
    <row r="136" spans="1:73" ht="15" customHeight="1" x14ac:dyDescent="0.3">
      <c r="C136" s="24"/>
      <c r="N136" s="571"/>
      <c r="O136" s="399">
        <f>D144</f>
        <v>2</v>
      </c>
      <c r="P136" s="399">
        <f>D145</f>
        <v>5</v>
      </c>
      <c r="Q136" s="399">
        <f>D146</f>
        <v>10</v>
      </c>
      <c r="R136" s="399">
        <f>D147</f>
        <v>20</v>
      </c>
      <c r="S136" s="399">
        <f>D148</f>
        <v>25</v>
      </c>
      <c r="T136" s="399">
        <f>D149</f>
        <v>50</v>
      </c>
      <c r="U136" s="399">
        <f>D150</f>
        <v>100</v>
      </c>
      <c r="V136" s="399">
        <f>D151</f>
        <v>500</v>
      </c>
      <c r="Z136" t="s">
        <v>895</v>
      </c>
      <c r="BL136">
        <f t="shared" si="91"/>
        <v>2.0444055653793165</v>
      </c>
      <c r="BM136">
        <f t="shared" si="92"/>
        <v>1.3979400086720377</v>
      </c>
      <c r="BN136">
        <f t="shared" si="93"/>
        <v>0.69897000433601886</v>
      </c>
      <c r="BP136" t="s">
        <v>128</v>
      </c>
      <c r="BQ136">
        <v>3.1096868974174505E-2</v>
      </c>
    </row>
    <row r="137" spans="1:73" ht="16.5" customHeight="1" thickBot="1" x14ac:dyDescent="0.35">
      <c r="C137" s="24"/>
      <c r="D137" s="99" t="s">
        <v>152</v>
      </c>
      <c r="E137" s="24" t="s">
        <v>184</v>
      </c>
      <c r="K137">
        <f>10*(60/1440)^0.25</f>
        <v>4.5180100180492238</v>
      </c>
      <c r="N137" s="103">
        <v>5</v>
      </c>
      <c r="O137" s="364">
        <f t="shared" ref="O137:O144" si="94">$K$175*($O$136^$K$176)/(N137^$K$177)</f>
        <v>72.366126947795124</v>
      </c>
      <c r="P137" s="364">
        <f t="shared" ref="P137:V144" si="95">$K$175*(P$136^$K$176)/($N137^$K$177)</f>
        <v>82.7804739477113</v>
      </c>
      <c r="Q137" s="364">
        <f t="shared" si="95"/>
        <v>91.643188132751717</v>
      </c>
      <c r="R137" s="364">
        <f t="shared" si="95"/>
        <v>101.45476983424696</v>
      </c>
      <c r="S137" s="364">
        <f t="shared" si="95"/>
        <v>104.83173368088617</v>
      </c>
      <c r="T137" s="364">
        <f t="shared" si="95"/>
        <v>116.05531877080529</v>
      </c>
      <c r="U137" s="364">
        <f t="shared" si="95"/>
        <v>128.48053296526743</v>
      </c>
      <c r="V137" s="457">
        <f t="shared" si="95"/>
        <v>162.70548322181494</v>
      </c>
      <c r="Z137" t="s">
        <v>896</v>
      </c>
      <c r="BL137">
        <f t="shared" si="91"/>
        <v>2.0801961387643071</v>
      </c>
      <c r="BM137">
        <f t="shared" si="92"/>
        <v>1.6989700043360187</v>
      </c>
      <c r="BN137">
        <f t="shared" si="93"/>
        <v>0.69897000433601886</v>
      </c>
      <c r="BP137" s="108" t="s">
        <v>129</v>
      </c>
      <c r="BQ137" s="108">
        <v>48</v>
      </c>
    </row>
    <row r="138" spans="1:73" ht="15.75" customHeight="1" x14ac:dyDescent="0.3">
      <c r="C138" s="24"/>
      <c r="D138" s="99" t="s">
        <v>86</v>
      </c>
      <c r="E138" s="24" t="s">
        <v>87</v>
      </c>
      <c r="N138" s="103">
        <v>10</v>
      </c>
      <c r="O138" s="364">
        <f t="shared" si="94"/>
        <v>43.029156525754054</v>
      </c>
      <c r="P138" s="364">
        <f t="shared" ref="P138:U144" si="96">$K$175*(P$136^$K$176)/($N138^$K$177)</f>
        <v>49.22156430095783</v>
      </c>
      <c r="Q138" s="364">
        <f t="shared" si="96"/>
        <v>54.491365684500636</v>
      </c>
      <c r="R138" s="364">
        <f t="shared" si="96"/>
        <v>60.325367068924962</v>
      </c>
      <c r="S138" s="364">
        <f t="shared" si="96"/>
        <v>62.333321785690117</v>
      </c>
      <c r="T138" s="364">
        <f t="shared" si="96"/>
        <v>69.006905408075241</v>
      </c>
      <c r="U138" s="364">
        <f t="shared" si="96"/>
        <v>76.394981970818833</v>
      </c>
      <c r="V138" s="458">
        <f t="shared" si="95"/>
        <v>96.745259148669092</v>
      </c>
      <c r="BL138">
        <f t="shared" si="91"/>
        <v>2.1111824544534383</v>
      </c>
      <c r="BM138">
        <f t="shared" si="92"/>
        <v>2</v>
      </c>
      <c r="BN138">
        <f t="shared" si="93"/>
        <v>0.69897000433601886</v>
      </c>
    </row>
    <row r="139" spans="1:73" ht="15" thickBot="1" x14ac:dyDescent="0.35">
      <c r="D139" s="99" t="s">
        <v>153</v>
      </c>
      <c r="E139" s="24" t="s">
        <v>154</v>
      </c>
      <c r="N139" s="103">
        <v>15</v>
      </c>
      <c r="O139" s="364">
        <f t="shared" si="94"/>
        <v>31.746393031338091</v>
      </c>
      <c r="P139" s="364">
        <f t="shared" si="96"/>
        <v>36.315076847491234</v>
      </c>
      <c r="Q139" s="364">
        <f t="shared" si="96"/>
        <v>40.203072788543608</v>
      </c>
      <c r="R139" s="364">
        <f t="shared" si="96"/>
        <v>44.507328689642975</v>
      </c>
      <c r="S139" s="364">
        <f t="shared" si="96"/>
        <v>45.988773476723622</v>
      </c>
      <c r="T139" s="364">
        <f t="shared" si="96"/>
        <v>50.91246303305816</v>
      </c>
      <c r="U139" s="364">
        <f t="shared" si="96"/>
        <v>56.36329686862485</v>
      </c>
      <c r="V139" s="458">
        <f t="shared" si="95"/>
        <v>71.377486077702827</v>
      </c>
      <c r="BL139" s="106">
        <f t="shared" si="91"/>
        <v>2.1708054377493275</v>
      </c>
      <c r="BM139" s="106">
        <f t="shared" si="92"/>
        <v>2.6989700043360187</v>
      </c>
      <c r="BN139" s="106">
        <f t="shared" si="93"/>
        <v>0.69897000433601886</v>
      </c>
      <c r="BP139" t="s">
        <v>130</v>
      </c>
    </row>
    <row r="140" spans="1:73" x14ac:dyDescent="0.3">
      <c r="N140" s="103">
        <v>20</v>
      </c>
      <c r="O140" s="364">
        <f t="shared" si="94"/>
        <v>25.585289546496263</v>
      </c>
      <c r="P140" s="364">
        <f t="shared" si="96"/>
        <v>29.267317239131515</v>
      </c>
      <c r="Q140" s="364">
        <f t="shared" si="96"/>
        <v>32.400759889111661</v>
      </c>
      <c r="R140" s="364">
        <f t="shared" si="96"/>
        <v>35.869677866758231</v>
      </c>
      <c r="S140" s="364">
        <f t="shared" si="96"/>
        <v>37.063614884648423</v>
      </c>
      <c r="T140" s="364">
        <f t="shared" si="96"/>
        <v>41.031751447801447</v>
      </c>
      <c r="U140" s="364">
        <f t="shared" si="96"/>
        <v>45.424728055101212</v>
      </c>
      <c r="V140" s="458">
        <f t="shared" si="95"/>
        <v>57.525075261189727</v>
      </c>
      <c r="BL140">
        <f t="shared" ref="BL140:BL147" si="97">LOG(G158)</f>
        <v>1.5745846634307912</v>
      </c>
      <c r="BM140">
        <f t="shared" ref="BM140:BM147" si="98">LOG(D158)</f>
        <v>0.3010299956639812</v>
      </c>
      <c r="BN140">
        <f t="shared" ref="BN140:BN147" si="99">LOG($G$157)</f>
        <v>1</v>
      </c>
      <c r="BP140" s="109"/>
      <c r="BQ140" s="109" t="s">
        <v>135</v>
      </c>
      <c r="BR140" s="109" t="s">
        <v>136</v>
      </c>
      <c r="BS140" s="109" t="s">
        <v>137</v>
      </c>
      <c r="BT140" s="109" t="s">
        <v>138</v>
      </c>
      <c r="BU140" s="109" t="s">
        <v>139</v>
      </c>
    </row>
    <row r="141" spans="1:73" x14ac:dyDescent="0.3">
      <c r="D141" s="570" t="s">
        <v>81</v>
      </c>
      <c r="E141" s="570"/>
      <c r="F141" s="570"/>
      <c r="G141" s="570"/>
      <c r="H141" s="570"/>
      <c r="I141" s="570"/>
      <c r="J141" s="570"/>
      <c r="K141" s="570"/>
      <c r="N141" s="103">
        <v>30</v>
      </c>
      <c r="O141" s="364">
        <f t="shared" si="94"/>
        <v>18.876518234270026</v>
      </c>
      <c r="P141" s="364">
        <f t="shared" si="96"/>
        <v>21.593073884453577</v>
      </c>
      <c r="Q141" s="364">
        <f t="shared" si="96"/>
        <v>23.90489010255417</v>
      </c>
      <c r="R141" s="364">
        <f t="shared" si="96"/>
        <v>26.464215973744075</v>
      </c>
      <c r="S141" s="364">
        <f t="shared" si="96"/>
        <v>27.345088314384078</v>
      </c>
      <c r="T141" s="364">
        <f t="shared" si="96"/>
        <v>30.272731640612889</v>
      </c>
      <c r="U141" s="364">
        <f t="shared" si="96"/>
        <v>33.513816830589626</v>
      </c>
      <c r="V141" s="458">
        <f t="shared" si="95"/>
        <v>42.441307147305935</v>
      </c>
      <c r="BL141">
        <f t="shared" si="97"/>
        <v>1.701140188750683</v>
      </c>
      <c r="BM141">
        <f t="shared" si="98"/>
        <v>0.69897000433601886</v>
      </c>
      <c r="BN141">
        <f t="shared" si="99"/>
        <v>1</v>
      </c>
      <c r="BP141" t="s">
        <v>131</v>
      </c>
      <c r="BQ141">
        <v>2</v>
      </c>
      <c r="BR141">
        <v>3.6850702795332344</v>
      </c>
      <c r="BS141">
        <v>1.8425351397666172</v>
      </c>
      <c r="BT141">
        <v>1905.3837265943221</v>
      </c>
      <c r="BU141">
        <v>3.2343559617680979E-44</v>
      </c>
    </row>
    <row r="142" spans="1:73" ht="15.6" x14ac:dyDescent="0.3">
      <c r="D142" s="579" t="s">
        <v>55</v>
      </c>
      <c r="E142" s="579" t="s">
        <v>45</v>
      </c>
      <c r="F142" s="580" t="s">
        <v>80</v>
      </c>
      <c r="G142" s="580"/>
      <c r="H142" s="580"/>
      <c r="I142" s="580"/>
      <c r="J142" s="580"/>
      <c r="K142" s="580"/>
      <c r="N142" s="103">
        <v>40</v>
      </c>
      <c r="O142" s="364">
        <f t="shared" si="94"/>
        <v>15.213104184049048</v>
      </c>
      <c r="P142" s="364">
        <f t="shared" si="96"/>
        <v>17.402450948908495</v>
      </c>
      <c r="Q142" s="364">
        <f t="shared" si="96"/>
        <v>19.265607095813177</v>
      </c>
      <c r="R142" s="364">
        <f t="shared" si="96"/>
        <v>21.328238066002253</v>
      </c>
      <c r="S142" s="364">
        <f t="shared" si="96"/>
        <v>22.038157264272332</v>
      </c>
      <c r="T142" s="364">
        <f t="shared" si="96"/>
        <v>24.397625381374336</v>
      </c>
      <c r="U142" s="364">
        <f t="shared" si="96"/>
        <v>27.009704900095034</v>
      </c>
      <c r="V142" s="458">
        <f t="shared" si="95"/>
        <v>34.20461439583692</v>
      </c>
      <c r="BL142">
        <f t="shared" si="97"/>
        <v>1.7600839858716739</v>
      </c>
      <c r="BM142">
        <f t="shared" si="98"/>
        <v>1</v>
      </c>
      <c r="BN142">
        <f t="shared" si="99"/>
        <v>1</v>
      </c>
      <c r="BP142" t="s">
        <v>132</v>
      </c>
      <c r="BQ142">
        <v>45</v>
      </c>
      <c r="BR142">
        <v>4.3515686699863963E-2</v>
      </c>
      <c r="BS142">
        <v>9.6701525999697696E-4</v>
      </c>
    </row>
    <row r="143" spans="1:73" ht="16.2" thickBot="1" x14ac:dyDescent="0.35">
      <c r="D143" s="579"/>
      <c r="E143" s="579"/>
      <c r="F143" s="483">
        <v>5</v>
      </c>
      <c r="G143" s="483">
        <v>10</v>
      </c>
      <c r="H143" s="483">
        <v>15</v>
      </c>
      <c r="I143" s="483">
        <v>20</v>
      </c>
      <c r="J143" s="483">
        <v>30</v>
      </c>
      <c r="K143" s="483">
        <v>60</v>
      </c>
      <c r="N143" s="103">
        <v>50</v>
      </c>
      <c r="O143" s="364">
        <f t="shared" si="94"/>
        <v>12.868719353552702</v>
      </c>
      <c r="P143" s="364">
        <f t="shared" si="96"/>
        <v>14.72068123744786</v>
      </c>
      <c r="Q143" s="364">
        <f t="shared" si="96"/>
        <v>16.296719452679586</v>
      </c>
      <c r="R143" s="364">
        <f t="shared" si="96"/>
        <v>18.041492824647953</v>
      </c>
      <c r="S143" s="364">
        <f t="shared" si="96"/>
        <v>18.64201135234039</v>
      </c>
      <c r="T143" s="364">
        <f t="shared" si="96"/>
        <v>20.637878379562693</v>
      </c>
      <c r="U143" s="364">
        <f t="shared" si="96"/>
        <v>22.847428636296232</v>
      </c>
      <c r="V143" s="458">
        <f t="shared" si="95"/>
        <v>28.933581071378718</v>
      </c>
      <c r="BL143">
        <f t="shared" si="97"/>
        <v>1.8057752312770117</v>
      </c>
      <c r="BM143">
        <f t="shared" si="98"/>
        <v>1.3010299956639813</v>
      </c>
      <c r="BN143">
        <f t="shared" si="99"/>
        <v>1</v>
      </c>
      <c r="BP143" s="108" t="s">
        <v>133</v>
      </c>
      <c r="BQ143" s="108">
        <v>47</v>
      </c>
      <c r="BR143" s="108">
        <v>3.7285859662330982</v>
      </c>
      <c r="BS143" s="108"/>
      <c r="BT143" s="108"/>
      <c r="BU143" s="108"/>
    </row>
    <row r="144" spans="1:73" ht="15.6" thickBot="1" x14ac:dyDescent="0.35">
      <c r="D144" s="481">
        <v>2</v>
      </c>
      <c r="E144" s="482">
        <f t="shared" ref="E144:E151" si="100">VLOOKUP(D144,Pmax24h_1,2,FALSE)</f>
        <v>21.678240799372862</v>
      </c>
      <c r="F144" s="456">
        <f>E144*($F$143/1440)^0.25</f>
        <v>5.2623037665927566</v>
      </c>
      <c r="G144" s="456">
        <f>$E144*($G$143/1440)^0.25</f>
        <v>6.2579690805377242</v>
      </c>
      <c r="H144" s="456">
        <f>$E144*(H$143/1440)^0.25</f>
        <v>6.9255812354747466</v>
      </c>
      <c r="I144" s="456">
        <f>$E144*(I$143/1440)^0.25</f>
        <v>7.442021356042499</v>
      </c>
      <c r="J144" s="456">
        <f>$E144*(J$143/1440)^0.25</f>
        <v>8.2359504807559034</v>
      </c>
      <c r="K144" s="456">
        <f>$E144*(K$143/1440)^0.25</f>
        <v>9.7942509105250011</v>
      </c>
      <c r="N144" s="103">
        <v>60</v>
      </c>
      <c r="O144" s="364">
        <f t="shared" si="94"/>
        <v>11.224044895336268</v>
      </c>
      <c r="P144" s="364">
        <f t="shared" si="96"/>
        <v>12.83931854908583</v>
      </c>
      <c r="Q144" s="364">
        <f t="shared" si="96"/>
        <v>14.213932696657784</v>
      </c>
      <c r="R144" s="364">
        <f t="shared" si="96"/>
        <v>15.735716964472573</v>
      </c>
      <c r="S144" s="364">
        <f t="shared" si="96"/>
        <v>16.259486791921667</v>
      </c>
      <c r="T144" s="364">
        <f t="shared" si="96"/>
        <v>18.000273928792438</v>
      </c>
      <c r="U144" s="364">
        <f t="shared" si="96"/>
        <v>19.927434712917581</v>
      </c>
      <c r="V144" s="458">
        <f t="shared" si="95"/>
        <v>25.235752214796047</v>
      </c>
      <c r="BL144">
        <f t="shared" si="97"/>
        <v>1.8186330686313303</v>
      </c>
      <c r="BM144">
        <f t="shared" si="98"/>
        <v>1.3979400086720377</v>
      </c>
      <c r="BN144">
        <f t="shared" si="99"/>
        <v>1</v>
      </c>
    </row>
    <row r="145" spans="3:76" ht="15" x14ac:dyDescent="0.3">
      <c r="D145" s="481">
        <v>5</v>
      </c>
      <c r="E145" s="482">
        <f t="shared" si="100"/>
        <v>29.012126430950175</v>
      </c>
      <c r="F145" s="456">
        <f t="shared" ref="F145:F151" si="101">E145*($F$143/1440)^0.25</f>
        <v>7.0425743309794324</v>
      </c>
      <c r="G145" s="456">
        <f t="shared" ref="G145:G151" si="102">$E145*($G$143/1440)^0.25</f>
        <v>8.3750795023362699</v>
      </c>
      <c r="H145" s="456">
        <f t="shared" ref="H145:K151" si="103">$E145*(H$143/1440)^0.25</f>
        <v>9.2685490612883186</v>
      </c>
      <c r="I145" s="456">
        <f t="shared" si="103"/>
        <v>9.9597041328917406</v>
      </c>
      <c r="J145" s="456">
        <f t="shared" si="103"/>
        <v>11.022224489435859</v>
      </c>
      <c r="K145" s="456">
        <f t="shared" si="103"/>
        <v>13.107707785994357</v>
      </c>
      <c r="BL145">
        <f t="shared" si="97"/>
        <v>1.8544236420163211</v>
      </c>
      <c r="BM145">
        <f t="shared" si="98"/>
        <v>1.6989700043360187</v>
      </c>
      <c r="BN145">
        <f t="shared" si="99"/>
        <v>1</v>
      </c>
      <c r="BP145" s="109"/>
      <c r="BQ145" s="109" t="s">
        <v>140</v>
      </c>
      <c r="BR145" s="109" t="s">
        <v>128</v>
      </c>
      <c r="BS145" s="109" t="s">
        <v>141</v>
      </c>
      <c r="BT145" s="109" t="s">
        <v>142</v>
      </c>
      <c r="BU145" s="109" t="s">
        <v>143</v>
      </c>
      <c r="BV145" s="109" t="s">
        <v>144</v>
      </c>
      <c r="BW145" s="109" t="s">
        <v>145</v>
      </c>
      <c r="BX145" s="109" t="s">
        <v>146</v>
      </c>
    </row>
    <row r="146" spans="3:76" ht="15" x14ac:dyDescent="0.3">
      <c r="D146" s="481">
        <v>10</v>
      </c>
      <c r="E146" s="482">
        <f t="shared" si="100"/>
        <v>33.229465718568122</v>
      </c>
      <c r="F146" s="456">
        <f t="shared" si="101"/>
        <v>8.0663160922977024</v>
      </c>
      <c r="G146" s="456">
        <f t="shared" si="102"/>
        <v>9.5925204888213731</v>
      </c>
      <c r="H146" s="456">
        <f t="shared" si="103"/>
        <v>10.615868989333505</v>
      </c>
      <c r="I146" s="456">
        <f t="shared" si="103"/>
        <v>11.407493616115758</v>
      </c>
      <c r="J146" s="456">
        <f t="shared" si="103"/>
        <v>12.624466934052149</v>
      </c>
      <c r="K146" s="456">
        <f t="shared" si="103"/>
        <v>15.013105901091402</v>
      </c>
      <c r="BL146">
        <f t="shared" si="97"/>
        <v>1.8854099577054522</v>
      </c>
      <c r="BM146">
        <f t="shared" si="98"/>
        <v>2</v>
      </c>
      <c r="BN146">
        <f t="shared" si="99"/>
        <v>1</v>
      </c>
      <c r="BP146" t="s">
        <v>134</v>
      </c>
      <c r="BQ146">
        <v>2.3395943547409654</v>
      </c>
      <c r="BR146">
        <v>1.9000064736189152E-2</v>
      </c>
      <c r="BS146">
        <v>123.13612544091882</v>
      </c>
      <c r="BT146">
        <v>1.4945635062042841E-58</v>
      </c>
      <c r="BU146">
        <v>2.3013262599668516</v>
      </c>
      <c r="BV146">
        <v>2.3778624495150793</v>
      </c>
      <c r="BW146">
        <v>2.4281464297233408</v>
      </c>
      <c r="BX146">
        <v>2.4766975296271618</v>
      </c>
    </row>
    <row r="147" spans="3:76" ht="15" x14ac:dyDescent="0.3">
      <c r="D147" s="481">
        <v>20</v>
      </c>
      <c r="E147" s="482">
        <f t="shared" si="100"/>
        <v>36.915997161120472</v>
      </c>
      <c r="F147" s="456">
        <f t="shared" si="101"/>
        <v>8.9612064330474492</v>
      </c>
      <c r="G147" s="456">
        <f t="shared" si="102"/>
        <v>10.656730449188181</v>
      </c>
      <c r="H147" s="456">
        <f t="shared" si="103"/>
        <v>11.793610911236449</v>
      </c>
      <c r="I147" s="456">
        <f t="shared" si="103"/>
        <v>12.673059672840731</v>
      </c>
      <c r="J147" s="456">
        <f t="shared" si="103"/>
        <v>14.025046007216108</v>
      </c>
      <c r="K147" s="456">
        <f t="shared" si="103"/>
        <v>16.678684500021902</v>
      </c>
      <c r="BL147" s="106">
        <f t="shared" si="97"/>
        <v>1.9450329410013418</v>
      </c>
      <c r="BM147" s="106">
        <f t="shared" si="98"/>
        <v>2.6989700043360187</v>
      </c>
      <c r="BN147" s="106">
        <f t="shared" si="99"/>
        <v>1</v>
      </c>
      <c r="BP147" t="s">
        <v>147</v>
      </c>
      <c r="BQ147">
        <v>0.14673714023526502</v>
      </c>
      <c r="BR147">
        <v>6.3441690337112406E-3</v>
      </c>
      <c r="BS147">
        <v>23.129449965084877</v>
      </c>
      <c r="BT147">
        <v>1.2891928809533301E-26</v>
      </c>
      <c r="BU147">
        <v>0.13395932788483428</v>
      </c>
      <c r="BV147">
        <v>0.15951495258569576</v>
      </c>
      <c r="BW147">
        <v>0.11916830881529764</v>
      </c>
      <c r="BX147">
        <v>0.13537964224174467</v>
      </c>
    </row>
    <row r="148" spans="3:76" ht="15.6" thickBot="1" x14ac:dyDescent="0.35">
      <c r="D148" s="481">
        <v>25</v>
      </c>
      <c r="E148" s="482">
        <f t="shared" si="100"/>
        <v>38.025281803448721</v>
      </c>
      <c r="F148" s="456">
        <f t="shared" si="101"/>
        <v>9.2304807162132825</v>
      </c>
      <c r="G148" s="456">
        <f t="shared" si="102"/>
        <v>10.976953342616248</v>
      </c>
      <c r="H148" s="456">
        <f t="shared" si="103"/>
        <v>12.147995797667413</v>
      </c>
      <c r="I148" s="456">
        <f t="shared" si="103"/>
        <v>13.053871016092145</v>
      </c>
      <c r="J148" s="456">
        <f t="shared" si="103"/>
        <v>14.446483035609242</v>
      </c>
      <c r="K148" s="456">
        <f t="shared" si="103"/>
        <v>17.179860412712618</v>
      </c>
      <c r="BL148">
        <f t="shared" ref="BL148:BL155" si="104">LOG(H158)</f>
        <v>1.4425162191390304</v>
      </c>
      <c r="BM148">
        <f t="shared" ref="BM148:BM155" si="105">LOG(D158)</f>
        <v>0.3010299956639812</v>
      </c>
      <c r="BN148">
        <f t="shared" ref="BN148:BN155" si="106">LOG($H$157)</f>
        <v>1.1760912590556813</v>
      </c>
      <c r="BP148" s="108" t="s">
        <v>148</v>
      </c>
      <c r="BQ148" s="108">
        <v>-0.74999999999999978</v>
      </c>
      <c r="BR148" s="108">
        <v>1.3103968469391672E-2</v>
      </c>
      <c r="BS148" s="108">
        <v>-57.234569951221594</v>
      </c>
      <c r="BT148" s="108">
        <v>1.1094026846260339E-43</v>
      </c>
      <c r="BU148" s="108">
        <v>-0.77639274730198926</v>
      </c>
      <c r="BV148" s="108">
        <v>-0.72360725269801029</v>
      </c>
      <c r="BW148" s="108">
        <v>-0.76674236617421043</v>
      </c>
      <c r="BX148" s="108">
        <v>-0.73325763382579001</v>
      </c>
    </row>
    <row r="149" spans="3:76" ht="15" x14ac:dyDescent="0.3">
      <c r="D149" s="481">
        <v>50</v>
      </c>
      <c r="E149" s="482">
        <f t="shared" si="100"/>
        <v>41.291723892266013</v>
      </c>
      <c r="F149" s="456">
        <f t="shared" si="101"/>
        <v>10.02339609465292</v>
      </c>
      <c r="G149" s="456">
        <f t="shared" si="102"/>
        <v>11.919893952251742</v>
      </c>
      <c r="H149" s="456">
        <f t="shared" si="103"/>
        <v>13.191531121702212</v>
      </c>
      <c r="I149" s="456">
        <f t="shared" si="103"/>
        <v>14.175222698095679</v>
      </c>
      <c r="J149" s="456">
        <f t="shared" si="103"/>
        <v>15.687462667708095</v>
      </c>
      <c r="K149" s="456">
        <f t="shared" si="103"/>
        <v>18.655642220778034</v>
      </c>
      <c r="BL149">
        <f t="shared" si="104"/>
        <v>1.5690717444589222</v>
      </c>
      <c r="BM149">
        <f t="shared" si="105"/>
        <v>0.69897000433601886</v>
      </c>
      <c r="BN149">
        <f t="shared" si="106"/>
        <v>1.1760912590556813</v>
      </c>
    </row>
    <row r="150" spans="3:76" ht="15" x14ac:dyDescent="0.3">
      <c r="D150" s="481">
        <v>100</v>
      </c>
      <c r="E150" s="482">
        <f t="shared" si="100"/>
        <v>44.345476961094342</v>
      </c>
      <c r="F150" s="456">
        <f t="shared" si="101"/>
        <v>10.764682088523992</v>
      </c>
      <c r="G150" s="456">
        <f t="shared" si="102"/>
        <v>12.801436530415081</v>
      </c>
      <c r="H150" s="456">
        <f t="shared" si="103"/>
        <v>14.167118354401589</v>
      </c>
      <c r="I150" s="456">
        <f t="shared" si="103"/>
        <v>15.223559404225366</v>
      </c>
      <c r="J150" s="456">
        <f t="shared" si="103"/>
        <v>16.847637946140011</v>
      </c>
      <c r="K150" s="456">
        <f t="shared" si="103"/>
        <v>20.035330916539529</v>
      </c>
      <c r="BL150">
        <f t="shared" si="104"/>
        <v>1.6280155415799129</v>
      </c>
      <c r="BM150">
        <f t="shared" si="105"/>
        <v>1</v>
      </c>
      <c r="BN150">
        <f t="shared" si="106"/>
        <v>1.1760912590556813</v>
      </c>
    </row>
    <row r="151" spans="3:76" ht="15" x14ac:dyDescent="0.3">
      <c r="D151" s="481">
        <v>500</v>
      </c>
      <c r="E151" s="482">
        <f t="shared" si="100"/>
        <v>50.871238809632288</v>
      </c>
      <c r="F151" s="456">
        <f t="shared" si="101"/>
        <v>12.348783929317364</v>
      </c>
      <c r="G151" s="456">
        <f t="shared" si="102"/>
        <v>14.685261710375469</v>
      </c>
      <c r="H151" s="456">
        <f t="shared" si="103"/>
        <v>16.251913620939956</v>
      </c>
      <c r="I151" s="456">
        <f t="shared" si="103"/>
        <v>17.463817711655537</v>
      </c>
      <c r="J151" s="456">
        <f t="shared" si="103"/>
        <v>19.326891310431428</v>
      </c>
      <c r="K151" s="456">
        <f t="shared" si="103"/>
        <v>22.983676657249315</v>
      </c>
      <c r="BL151">
        <f t="shared" si="104"/>
        <v>1.6737067869852507</v>
      </c>
      <c r="BM151">
        <f t="shared" si="105"/>
        <v>1.3010299956639813</v>
      </c>
      <c r="BN151">
        <f t="shared" si="106"/>
        <v>1.1760912590556813</v>
      </c>
    </row>
    <row r="152" spans="3:76" x14ac:dyDescent="0.3">
      <c r="BL152">
        <f t="shared" si="104"/>
        <v>1.6865646243395696</v>
      </c>
      <c r="BM152">
        <f t="shared" si="105"/>
        <v>1.3979400086720377</v>
      </c>
      <c r="BN152">
        <f t="shared" si="106"/>
        <v>1.1760912590556813</v>
      </c>
    </row>
    <row r="153" spans="3:76" x14ac:dyDescent="0.3">
      <c r="C153" s="24" t="s">
        <v>327</v>
      </c>
      <c r="BL153">
        <f t="shared" si="104"/>
        <v>1.7223551977245601</v>
      </c>
      <c r="BM153">
        <f t="shared" si="105"/>
        <v>1.6989700043360187</v>
      </c>
      <c r="BN153">
        <f t="shared" si="106"/>
        <v>1.1760912590556813</v>
      </c>
    </row>
    <row r="154" spans="3:76" x14ac:dyDescent="0.3">
      <c r="BL154">
        <f t="shared" si="104"/>
        <v>1.7533415134136914</v>
      </c>
      <c r="BM154">
        <f t="shared" si="105"/>
        <v>2</v>
      </c>
      <c r="BN154">
        <f t="shared" si="106"/>
        <v>1.1760912590556813</v>
      </c>
    </row>
    <row r="155" spans="3:76" x14ac:dyDescent="0.3">
      <c r="D155" s="570" t="s">
        <v>149</v>
      </c>
      <c r="E155" s="570"/>
      <c r="F155" s="570"/>
      <c r="G155" s="570"/>
      <c r="H155" s="570"/>
      <c r="I155" s="570"/>
      <c r="J155" s="570"/>
      <c r="K155" s="570"/>
      <c r="BL155" s="106">
        <f t="shared" si="104"/>
        <v>1.8129644967095808</v>
      </c>
      <c r="BM155" s="106">
        <f t="shared" si="105"/>
        <v>2.6989700043360187</v>
      </c>
      <c r="BN155" s="106">
        <f t="shared" si="106"/>
        <v>1.1760912590556813</v>
      </c>
    </row>
    <row r="156" spans="3:76" x14ac:dyDescent="0.3">
      <c r="D156" s="571" t="s">
        <v>55</v>
      </c>
      <c r="E156" s="571" t="s">
        <v>45</v>
      </c>
      <c r="F156" s="570" t="s">
        <v>80</v>
      </c>
      <c r="G156" s="570"/>
      <c r="H156" s="570"/>
      <c r="I156" s="570"/>
      <c r="J156" s="570"/>
      <c r="K156" s="570"/>
      <c r="BL156">
        <f t="shared" ref="BL156:BL163" si="107">LOG(I158)</f>
        <v>1.3488121666828052</v>
      </c>
      <c r="BM156">
        <f t="shared" ref="BM156:BM163" si="108">LOG(D158)</f>
        <v>0.3010299956639812</v>
      </c>
      <c r="BN156">
        <f t="shared" ref="BN156:BN163" si="109">LOG($I$157)</f>
        <v>1.3010299956639813</v>
      </c>
    </row>
    <row r="157" spans="3:76" x14ac:dyDescent="0.3">
      <c r="D157" s="571"/>
      <c r="E157" s="571"/>
      <c r="F157" s="399">
        <f t="shared" ref="F157:K157" si="110">F143</f>
        <v>5</v>
      </c>
      <c r="G157" s="399">
        <f t="shared" si="110"/>
        <v>10</v>
      </c>
      <c r="H157" s="399">
        <f t="shared" si="110"/>
        <v>15</v>
      </c>
      <c r="I157" s="399">
        <f t="shared" si="110"/>
        <v>20</v>
      </c>
      <c r="J157" s="399">
        <f t="shared" si="110"/>
        <v>30</v>
      </c>
      <c r="K157" s="399">
        <f t="shared" si="110"/>
        <v>60</v>
      </c>
      <c r="BL157">
        <f t="shared" si="107"/>
        <v>1.475367692002697</v>
      </c>
      <c r="BM157">
        <f t="shared" si="108"/>
        <v>0.69897000433601886</v>
      </c>
      <c r="BN157">
        <f t="shared" si="109"/>
        <v>1.3010299956639813</v>
      </c>
    </row>
    <row r="158" spans="3:76" x14ac:dyDescent="0.3">
      <c r="D158" s="43">
        <f>D144</f>
        <v>2</v>
      </c>
      <c r="E158" s="115">
        <f t="shared" ref="E158:E165" si="111">E144</f>
        <v>21.678240799372862</v>
      </c>
      <c r="F158" s="115">
        <f t="shared" ref="F158:F165" si="112">F144/($F$143/60)</f>
        <v>63.147645199113079</v>
      </c>
      <c r="G158" s="115">
        <f t="shared" ref="G158:G165" si="113">G144/($G$143/60)</f>
        <v>37.547814483226347</v>
      </c>
      <c r="H158" s="115">
        <f t="shared" ref="H158:H165" si="114">H144/($H$143/60)</f>
        <v>27.702324941898986</v>
      </c>
      <c r="I158" s="115">
        <f t="shared" ref="I158:I165" si="115">I144/($I$143/60)</f>
        <v>22.326064068127497</v>
      </c>
      <c r="J158" s="115">
        <f t="shared" ref="J158:J165" si="116">J144/($J$143/60)</f>
        <v>16.471900961511807</v>
      </c>
      <c r="K158" s="115">
        <f t="shared" ref="K158:K165" si="117">K144/($K$143/60)</f>
        <v>9.7942509105250011</v>
      </c>
      <c r="BL158">
        <f t="shared" si="107"/>
        <v>1.534311489123688</v>
      </c>
      <c r="BM158">
        <f t="shared" si="108"/>
        <v>1</v>
      </c>
      <c r="BN158">
        <f t="shared" si="109"/>
        <v>1.3010299956639813</v>
      </c>
    </row>
    <row r="159" spans="3:76" x14ac:dyDescent="0.3">
      <c r="D159" s="43">
        <f t="shared" ref="D159:D165" si="118">D145</f>
        <v>5</v>
      </c>
      <c r="E159" s="115">
        <f t="shared" si="111"/>
        <v>29.012126430950175</v>
      </c>
      <c r="F159" s="115">
        <f t="shared" si="112"/>
        <v>84.510891971753196</v>
      </c>
      <c r="G159" s="115">
        <f t="shared" si="113"/>
        <v>50.250477014017619</v>
      </c>
      <c r="H159" s="115">
        <f t="shared" si="114"/>
        <v>37.074196245153274</v>
      </c>
      <c r="I159" s="115">
        <f t="shared" si="115"/>
        <v>29.879112398675222</v>
      </c>
      <c r="J159" s="115">
        <f t="shared" si="116"/>
        <v>22.044448978871717</v>
      </c>
      <c r="K159" s="115">
        <f t="shared" si="117"/>
        <v>13.107707785994357</v>
      </c>
      <c r="BL159">
        <f t="shared" si="107"/>
        <v>1.5800027345290257</v>
      </c>
      <c r="BM159">
        <f t="shared" si="108"/>
        <v>1.3010299956639813</v>
      </c>
      <c r="BN159">
        <f t="shared" si="109"/>
        <v>1.3010299956639813</v>
      </c>
    </row>
    <row r="160" spans="3:76" x14ac:dyDescent="0.3">
      <c r="D160" s="43">
        <f t="shared" si="118"/>
        <v>10</v>
      </c>
      <c r="E160" s="115">
        <f t="shared" si="111"/>
        <v>33.229465718568122</v>
      </c>
      <c r="F160" s="115">
        <f t="shared" si="112"/>
        <v>96.795793107572436</v>
      </c>
      <c r="G160" s="115">
        <f t="shared" si="113"/>
        <v>57.555122932928242</v>
      </c>
      <c r="H160" s="115">
        <f t="shared" si="114"/>
        <v>42.463475957334019</v>
      </c>
      <c r="I160" s="115">
        <f t="shared" si="115"/>
        <v>34.222480848347274</v>
      </c>
      <c r="J160" s="115">
        <f t="shared" si="116"/>
        <v>25.248933868104299</v>
      </c>
      <c r="K160" s="115">
        <f t="shared" si="117"/>
        <v>15.013105901091402</v>
      </c>
      <c r="BL160">
        <f t="shared" si="107"/>
        <v>1.5928605718833446</v>
      </c>
      <c r="BM160">
        <f t="shared" si="108"/>
        <v>1.3979400086720377</v>
      </c>
      <c r="BN160">
        <f t="shared" si="109"/>
        <v>1.3010299956639813</v>
      </c>
    </row>
    <row r="161" spans="3:66" x14ac:dyDescent="0.3">
      <c r="D161" s="43">
        <f t="shared" si="118"/>
        <v>20</v>
      </c>
      <c r="E161" s="115">
        <f t="shared" si="111"/>
        <v>36.915997161120472</v>
      </c>
      <c r="F161" s="115">
        <f t="shared" si="112"/>
        <v>107.5344771965694</v>
      </c>
      <c r="G161" s="115">
        <f t="shared" si="113"/>
        <v>63.940382695129088</v>
      </c>
      <c r="H161" s="115">
        <f t="shared" si="114"/>
        <v>47.174443644945796</v>
      </c>
      <c r="I161" s="115">
        <f t="shared" si="115"/>
        <v>38.019179018522195</v>
      </c>
      <c r="J161" s="115">
        <f t="shared" si="116"/>
        <v>28.050092014432217</v>
      </c>
      <c r="K161" s="115">
        <f t="shared" si="117"/>
        <v>16.678684500021902</v>
      </c>
      <c r="BL161">
        <f t="shared" si="107"/>
        <v>1.6286511452683352</v>
      </c>
      <c r="BM161">
        <f t="shared" si="108"/>
        <v>1.6989700043360187</v>
      </c>
      <c r="BN161">
        <f t="shared" si="109"/>
        <v>1.3010299956639813</v>
      </c>
    </row>
    <row r="162" spans="3:66" x14ac:dyDescent="0.3">
      <c r="D162" s="43">
        <f t="shared" si="118"/>
        <v>25</v>
      </c>
      <c r="E162" s="115">
        <f t="shared" si="111"/>
        <v>38.025281803448721</v>
      </c>
      <c r="F162" s="115">
        <f t="shared" si="112"/>
        <v>110.76576859455939</v>
      </c>
      <c r="G162" s="115">
        <f t="shared" si="113"/>
        <v>65.861720055697489</v>
      </c>
      <c r="H162" s="115">
        <f t="shared" si="114"/>
        <v>48.591983190669652</v>
      </c>
      <c r="I162" s="115">
        <f t="shared" si="115"/>
        <v>39.161613048276436</v>
      </c>
      <c r="J162" s="115">
        <f t="shared" si="116"/>
        <v>28.892966071218485</v>
      </c>
      <c r="K162" s="115">
        <f t="shared" si="117"/>
        <v>17.179860412712618</v>
      </c>
      <c r="BL162">
        <f t="shared" si="107"/>
        <v>1.6596374609574664</v>
      </c>
      <c r="BM162">
        <f t="shared" si="108"/>
        <v>2</v>
      </c>
      <c r="BN162">
        <f t="shared" si="109"/>
        <v>1.3010299956639813</v>
      </c>
    </row>
    <row r="163" spans="3:66" x14ac:dyDescent="0.3">
      <c r="D163" s="43">
        <f t="shared" si="118"/>
        <v>50</v>
      </c>
      <c r="E163" s="115">
        <f t="shared" si="111"/>
        <v>41.291723892266013</v>
      </c>
      <c r="F163" s="115">
        <f t="shared" si="112"/>
        <v>120.28075313583504</v>
      </c>
      <c r="G163" s="115">
        <f t="shared" si="113"/>
        <v>71.519363713510458</v>
      </c>
      <c r="H163" s="115">
        <f t="shared" si="114"/>
        <v>52.766124486808849</v>
      </c>
      <c r="I163" s="115">
        <f t="shared" si="115"/>
        <v>42.525668094287042</v>
      </c>
      <c r="J163" s="115">
        <f t="shared" si="116"/>
        <v>31.37492533541619</v>
      </c>
      <c r="K163" s="115">
        <f t="shared" si="117"/>
        <v>18.655642220778034</v>
      </c>
      <c r="BL163" s="106">
        <f t="shared" si="107"/>
        <v>1.7192604442533559</v>
      </c>
      <c r="BM163" s="106">
        <f t="shared" si="108"/>
        <v>2.6989700043360187</v>
      </c>
      <c r="BN163" s="106">
        <f t="shared" si="109"/>
        <v>1.3010299956639813</v>
      </c>
    </row>
    <row r="164" spans="3:66" x14ac:dyDescent="0.3">
      <c r="D164" s="43">
        <f t="shared" si="118"/>
        <v>100</v>
      </c>
      <c r="E164" s="115">
        <f t="shared" si="111"/>
        <v>44.345476961094342</v>
      </c>
      <c r="F164" s="115">
        <f t="shared" si="112"/>
        <v>129.17618506228791</v>
      </c>
      <c r="G164" s="115">
        <f t="shared" si="113"/>
        <v>76.808619182490489</v>
      </c>
      <c r="H164" s="115">
        <f t="shared" si="114"/>
        <v>56.668473417606357</v>
      </c>
      <c r="I164" s="115">
        <f t="shared" si="115"/>
        <v>45.670678212676101</v>
      </c>
      <c r="J164" s="115">
        <f t="shared" si="116"/>
        <v>33.695275892280023</v>
      </c>
      <c r="K164" s="115">
        <f t="shared" si="117"/>
        <v>20.035330916539529</v>
      </c>
      <c r="BL164">
        <f t="shared" ref="BL164:BL171" si="119">LOG(J158)</f>
        <v>1.2167437223910444</v>
      </c>
      <c r="BM164">
        <f t="shared" ref="BM164:BM171" si="120">LOG(D158)</f>
        <v>0.3010299956639812</v>
      </c>
      <c r="BN164">
        <f t="shared" ref="BN164:BN171" si="121">LOG($J$157)</f>
        <v>1.4771212547196624</v>
      </c>
    </row>
    <row r="165" spans="3:66" x14ac:dyDescent="0.3">
      <c r="D165" s="43">
        <f t="shared" si="118"/>
        <v>500</v>
      </c>
      <c r="E165" s="115">
        <f t="shared" si="111"/>
        <v>50.871238809632288</v>
      </c>
      <c r="F165" s="115">
        <f t="shared" si="112"/>
        <v>148.18540715180836</v>
      </c>
      <c r="G165" s="115">
        <f t="shared" si="113"/>
        <v>88.111570262252826</v>
      </c>
      <c r="H165" s="115">
        <f t="shared" si="114"/>
        <v>65.007654483759822</v>
      </c>
      <c r="I165" s="115">
        <f t="shared" si="115"/>
        <v>52.391453134966611</v>
      </c>
      <c r="J165" s="115">
        <f t="shared" si="116"/>
        <v>38.653782620862856</v>
      </c>
      <c r="K165" s="115">
        <f t="shared" si="117"/>
        <v>22.983676657249315</v>
      </c>
      <c r="BL165">
        <f t="shared" si="119"/>
        <v>1.343299247710936</v>
      </c>
      <c r="BM165">
        <f t="shared" si="120"/>
        <v>0.69897000433601886</v>
      </c>
      <c r="BN165">
        <f t="shared" si="121"/>
        <v>1.4771212547196624</v>
      </c>
    </row>
    <row r="166" spans="3:66" ht="15" customHeight="1" x14ac:dyDescent="0.3">
      <c r="BL166">
        <f t="shared" si="119"/>
        <v>1.4022430448319272</v>
      </c>
      <c r="BM166">
        <f t="shared" si="120"/>
        <v>1</v>
      </c>
      <c r="BN166">
        <f t="shared" si="121"/>
        <v>1.4771212547196624</v>
      </c>
    </row>
    <row r="167" spans="3:66" x14ac:dyDescent="0.3">
      <c r="C167" s="24" t="s">
        <v>182</v>
      </c>
      <c r="BL167">
        <f t="shared" si="119"/>
        <v>1.4479342902372647</v>
      </c>
      <c r="BM167">
        <f t="shared" si="120"/>
        <v>1.3010299956639813</v>
      </c>
      <c r="BN167">
        <f t="shared" si="121"/>
        <v>1.4771212547196624</v>
      </c>
    </row>
    <row r="168" spans="3:66" x14ac:dyDescent="0.3">
      <c r="C168" s="24" t="s">
        <v>183</v>
      </c>
      <c r="BL168">
        <f t="shared" si="119"/>
        <v>1.4607921275915836</v>
      </c>
      <c r="BM168">
        <f t="shared" si="120"/>
        <v>1.3979400086720377</v>
      </c>
      <c r="BN168">
        <f t="shared" si="121"/>
        <v>1.4771212547196624</v>
      </c>
    </row>
    <row r="169" spans="3:66" x14ac:dyDescent="0.3">
      <c r="C169" s="24" t="s">
        <v>122</v>
      </c>
      <c r="BL169">
        <f t="shared" si="119"/>
        <v>1.4965827009765742</v>
      </c>
      <c r="BM169">
        <f t="shared" si="120"/>
        <v>1.6989700043360187</v>
      </c>
      <c r="BN169">
        <f t="shared" si="121"/>
        <v>1.4771212547196624</v>
      </c>
    </row>
    <row r="170" spans="3:66" x14ac:dyDescent="0.3">
      <c r="H170" s="21" t="s">
        <v>108</v>
      </c>
      <c r="BL170">
        <f t="shared" si="119"/>
        <v>1.5275690166657054</v>
      </c>
      <c r="BM170">
        <f t="shared" si="120"/>
        <v>2</v>
      </c>
      <c r="BN170">
        <f t="shared" si="121"/>
        <v>1.4771212547196624</v>
      </c>
    </row>
    <row r="171" spans="3:66" x14ac:dyDescent="0.3">
      <c r="H171" s="21" t="s">
        <v>109</v>
      </c>
      <c r="BL171" s="106">
        <f t="shared" si="119"/>
        <v>1.5871919999615949</v>
      </c>
      <c r="BM171" s="106">
        <f t="shared" si="120"/>
        <v>2.6989700043360187</v>
      </c>
      <c r="BN171" s="106">
        <f t="shared" si="121"/>
        <v>1.4771212547196624</v>
      </c>
    </row>
    <row r="172" spans="3:66" x14ac:dyDescent="0.3">
      <c r="BL172">
        <f t="shared" ref="BL172:BL179" si="122">LOG(K158)</f>
        <v>0.99097122564305851</v>
      </c>
      <c r="BM172">
        <f t="shared" ref="BM172:BM179" si="123">LOG(D158)</f>
        <v>0.3010299956639812</v>
      </c>
      <c r="BN172">
        <f t="shared" ref="BN172:BN179" si="124">LOG($K$157)</f>
        <v>1.7781512503836436</v>
      </c>
    </row>
    <row r="173" spans="3:66" x14ac:dyDescent="0.3">
      <c r="C173" s="24" t="s">
        <v>107</v>
      </c>
      <c r="BL173">
        <f t="shared" si="122"/>
        <v>1.1175267509629503</v>
      </c>
      <c r="BM173">
        <f t="shared" si="123"/>
        <v>0.69897000433601886</v>
      </c>
      <c r="BN173">
        <f t="shared" si="124"/>
        <v>1.7781512503836436</v>
      </c>
    </row>
    <row r="174" spans="3:66" x14ac:dyDescent="0.3">
      <c r="BL174">
        <f t="shared" si="122"/>
        <v>1.1764705480839412</v>
      </c>
      <c r="BM174">
        <f t="shared" si="123"/>
        <v>1</v>
      </c>
      <c r="BN174">
        <f t="shared" si="124"/>
        <v>1.7781512503836436</v>
      </c>
    </row>
    <row r="175" spans="3:66" x14ac:dyDescent="0.3">
      <c r="C175" s="573" t="s">
        <v>100</v>
      </c>
      <c r="D175" s="573"/>
      <c r="E175" s="110">
        <f>BQ146</f>
        <v>2.3395943547409654</v>
      </c>
      <c r="F175" s="103"/>
      <c r="H175" s="99" t="s">
        <v>110</v>
      </c>
      <c r="I175" s="68">
        <f>E175</f>
        <v>2.3395943547409654</v>
      </c>
      <c r="J175" s="99" t="s">
        <v>111</v>
      </c>
      <c r="K175" s="73">
        <f>ROUND(10^I175,2)</f>
        <v>218.57</v>
      </c>
      <c r="BL175">
        <f t="shared" si="122"/>
        <v>1.222161793489279</v>
      </c>
      <c r="BM175">
        <f t="shared" si="123"/>
        <v>1.3010299956639813</v>
      </c>
      <c r="BN175">
        <f t="shared" si="124"/>
        <v>1.7781512503836436</v>
      </c>
    </row>
    <row r="176" spans="3:66" x14ac:dyDescent="0.3">
      <c r="C176" s="573" t="s">
        <v>101</v>
      </c>
      <c r="D176" s="573"/>
      <c r="E176" s="110">
        <f>BQ136</f>
        <v>3.1096868974174505E-2</v>
      </c>
      <c r="F176" s="103"/>
      <c r="J176" s="99" t="s">
        <v>112</v>
      </c>
      <c r="K176" s="102">
        <f>E180</f>
        <v>0.14673714023526502</v>
      </c>
      <c r="P176" s="99" t="s">
        <v>111</v>
      </c>
      <c r="Q176" s="73">
        <f>K175</f>
        <v>218.57</v>
      </c>
      <c r="BL176">
        <f t="shared" si="122"/>
        <v>1.2350196308435977</v>
      </c>
      <c r="BM176">
        <f t="shared" si="123"/>
        <v>1.3979400086720377</v>
      </c>
      <c r="BN176">
        <f t="shared" si="124"/>
        <v>1.7781512503836436</v>
      </c>
    </row>
    <row r="177" spans="2:86" x14ac:dyDescent="0.3">
      <c r="C177" s="573" t="s">
        <v>102</v>
      </c>
      <c r="D177" s="573"/>
      <c r="E177" s="110">
        <f>BQ135</f>
        <v>0.98781046819586271</v>
      </c>
      <c r="F177" s="103"/>
      <c r="J177" s="99" t="s">
        <v>113</v>
      </c>
      <c r="K177" s="102">
        <f>F180*-1</f>
        <v>0.74999999999999978</v>
      </c>
      <c r="P177" s="99" t="s">
        <v>112</v>
      </c>
      <c r="Q177" s="102">
        <f>K176</f>
        <v>0.14673714023526502</v>
      </c>
      <c r="S177" s="476" t="s">
        <v>899</v>
      </c>
      <c r="BL177">
        <f t="shared" si="122"/>
        <v>1.2708102042285883</v>
      </c>
      <c r="BM177">
        <f t="shared" si="123"/>
        <v>1.6989700043360187</v>
      </c>
      <c r="BN177">
        <f t="shared" si="124"/>
        <v>1.7781512503836436</v>
      </c>
    </row>
    <row r="178" spans="2:86" x14ac:dyDescent="0.3">
      <c r="C178" s="573" t="s">
        <v>103</v>
      </c>
      <c r="D178" s="573"/>
      <c r="E178" s="103">
        <f>BQ137</f>
        <v>48</v>
      </c>
      <c r="F178" s="103"/>
      <c r="P178" s="99" t="s">
        <v>113</v>
      </c>
      <c r="Q178" s="102">
        <f>K177</f>
        <v>0.74999999999999978</v>
      </c>
      <c r="S178" s="476" t="s">
        <v>898</v>
      </c>
      <c r="U178" s="444"/>
      <c r="BL178">
        <f t="shared" si="122"/>
        <v>1.3017965199177195</v>
      </c>
      <c r="BM178">
        <f t="shared" si="123"/>
        <v>2</v>
      </c>
      <c r="BN178">
        <f t="shared" si="124"/>
        <v>1.7781512503836436</v>
      </c>
    </row>
    <row r="179" spans="2:86" x14ac:dyDescent="0.3">
      <c r="C179" s="573" t="s">
        <v>104</v>
      </c>
      <c r="D179" s="573"/>
      <c r="E179" s="103">
        <f>BQ142</f>
        <v>45</v>
      </c>
      <c r="F179" s="103"/>
      <c r="BL179" s="106">
        <f t="shared" si="122"/>
        <v>1.3614195032136089</v>
      </c>
      <c r="BM179" s="106">
        <f t="shared" si="123"/>
        <v>2.6989700043360187</v>
      </c>
      <c r="BN179" s="106">
        <f t="shared" si="124"/>
        <v>1.7781512503836436</v>
      </c>
    </row>
    <row r="180" spans="2:86" x14ac:dyDescent="0.3">
      <c r="C180" s="573" t="s">
        <v>105</v>
      </c>
      <c r="D180" s="573"/>
      <c r="E180" s="110">
        <f>BQ147</f>
        <v>0.14673714023526502</v>
      </c>
      <c r="F180" s="110">
        <f>BQ148</f>
        <v>-0.74999999999999978</v>
      </c>
      <c r="H180" s="24" t="s">
        <v>84</v>
      </c>
      <c r="I180" s="99" t="s">
        <v>114</v>
      </c>
      <c r="J180" s="24" t="s">
        <v>115</v>
      </c>
      <c r="M180" s="99" t="s">
        <v>84</v>
      </c>
      <c r="N180" s="99" t="s">
        <v>114</v>
      </c>
      <c r="O180" s="24" t="s">
        <v>115</v>
      </c>
      <c r="S180" s="477" t="s">
        <v>900</v>
      </c>
      <c r="T180" s="478">
        <f>(Q176*50^Q177)/(10^Q178)</f>
        <v>69.006905408075241</v>
      </c>
      <c r="U180" s="477" t="s">
        <v>409</v>
      </c>
    </row>
    <row r="181" spans="2:86" x14ac:dyDescent="0.3">
      <c r="C181" s="573" t="s">
        <v>106</v>
      </c>
      <c r="D181" s="573"/>
      <c r="E181" s="110">
        <f>BR147</f>
        <v>6.3441690337112406E-3</v>
      </c>
      <c r="F181" s="110">
        <f>BR148</f>
        <v>1.3103968469391672E-2</v>
      </c>
      <c r="I181" s="99" t="s">
        <v>79</v>
      </c>
      <c r="J181" s="24" t="s">
        <v>85</v>
      </c>
      <c r="N181" s="99" t="s">
        <v>79</v>
      </c>
      <c r="O181" s="24" t="s">
        <v>85</v>
      </c>
    </row>
    <row r="182" spans="2:86" x14ac:dyDescent="0.3">
      <c r="H182" s="24"/>
      <c r="I182" s="99" t="s">
        <v>86</v>
      </c>
      <c r="J182" s="24" t="s">
        <v>87</v>
      </c>
      <c r="M182" s="24"/>
      <c r="N182" s="99" t="s">
        <v>86</v>
      </c>
      <c r="O182" s="24" t="s">
        <v>87</v>
      </c>
      <c r="T182" s="294"/>
    </row>
    <row r="183" spans="2:86" x14ac:dyDescent="0.3">
      <c r="H183" s="24"/>
      <c r="I183" s="99"/>
      <c r="J183" s="24"/>
    </row>
    <row r="184" spans="2:86" x14ac:dyDescent="0.3">
      <c r="J184" s="24"/>
    </row>
    <row r="185" spans="2:86" x14ac:dyDescent="0.3">
      <c r="BK185" s="167" t="s">
        <v>329</v>
      </c>
    </row>
    <row r="186" spans="2:86" ht="15.6" x14ac:dyDescent="0.3">
      <c r="B186" s="533" t="s">
        <v>78</v>
      </c>
      <c r="C186" s="533"/>
      <c r="D186" s="533"/>
      <c r="E186" s="533"/>
      <c r="F186" s="533"/>
      <c r="G186" s="533"/>
      <c r="H186" s="533"/>
      <c r="I186" s="533"/>
      <c r="J186" s="533"/>
      <c r="K186" s="533"/>
      <c r="L186" s="533"/>
      <c r="M186" s="533" t="s">
        <v>78</v>
      </c>
      <c r="N186" s="533"/>
      <c r="O186" s="533"/>
      <c r="P186" s="533"/>
      <c r="Q186" s="533"/>
      <c r="R186" s="533"/>
      <c r="S186" s="533"/>
      <c r="T186" s="533"/>
      <c r="U186" s="533"/>
      <c r="V186" s="533"/>
      <c r="W186" s="533" t="s">
        <v>78</v>
      </c>
      <c r="X186" s="533"/>
      <c r="Y186" s="533"/>
      <c r="Z186" s="533"/>
      <c r="AA186" s="533"/>
      <c r="AB186" s="533"/>
      <c r="AC186" s="533"/>
      <c r="AD186" s="533"/>
      <c r="AE186" s="533"/>
      <c r="AF186" s="533"/>
      <c r="AG186" s="533" t="s">
        <v>78</v>
      </c>
      <c r="AH186" s="533"/>
      <c r="AI186" s="533"/>
      <c r="AJ186" s="533"/>
      <c r="AK186" s="533"/>
      <c r="AL186" s="533"/>
      <c r="AM186" s="533"/>
      <c r="AN186" s="533"/>
      <c r="AO186" s="533"/>
      <c r="AP186" s="533"/>
      <c r="AQ186" s="533" t="s">
        <v>78</v>
      </c>
      <c r="AR186" s="533"/>
      <c r="AS186" s="533"/>
      <c r="AT186" s="533"/>
      <c r="AU186" s="533"/>
      <c r="AV186" s="533"/>
      <c r="AW186" s="533"/>
      <c r="AX186" s="533"/>
      <c r="AY186" s="533"/>
      <c r="AZ186" s="533"/>
      <c r="BA186" s="533" t="s">
        <v>78</v>
      </c>
      <c r="BB186" s="533"/>
      <c r="BC186" s="533"/>
      <c r="BD186" s="533"/>
      <c r="BE186" s="533"/>
      <c r="BF186" s="533"/>
      <c r="BG186" s="533"/>
      <c r="BH186" s="533"/>
      <c r="BI186" s="533"/>
      <c r="BJ186" s="533"/>
      <c r="BL186" s="105" t="s">
        <v>116</v>
      </c>
      <c r="BM186" s="105" t="s">
        <v>117</v>
      </c>
      <c r="BN186" s="105" t="s">
        <v>118</v>
      </c>
      <c r="BP186" t="s">
        <v>123</v>
      </c>
      <c r="CB186" t="s">
        <v>901</v>
      </c>
    </row>
    <row r="187" spans="2:86" ht="16.2" thickBot="1" x14ac:dyDescent="0.35">
      <c r="BL187" s="107" t="s">
        <v>119</v>
      </c>
      <c r="BM187" s="107" t="s">
        <v>120</v>
      </c>
      <c r="BN187" s="107" t="s">
        <v>121</v>
      </c>
      <c r="BZ187" s="593" t="s">
        <v>309</v>
      </c>
      <c r="CA187" s="593"/>
      <c r="CB187" s="593"/>
      <c r="CC187" s="593"/>
      <c r="CD187" s="593"/>
      <c r="CE187" s="593"/>
      <c r="CF187" s="593"/>
      <c r="CG187" s="593"/>
      <c r="CH187" s="593"/>
    </row>
    <row r="188" spans="2:86" ht="15.6" x14ac:dyDescent="0.3">
      <c r="B188" s="70" t="s">
        <v>82</v>
      </c>
      <c r="C188" s="29" t="s">
        <v>185</v>
      </c>
      <c r="D188" s="29"/>
      <c r="J188" s="104" t="s">
        <v>59</v>
      </c>
      <c r="K188" s="569" t="str">
        <f>SK_1!G3</f>
        <v>YANTAC</v>
      </c>
      <c r="L188" s="569"/>
      <c r="M188" s="70" t="s">
        <v>82</v>
      </c>
      <c r="N188" s="29" t="s">
        <v>185</v>
      </c>
      <c r="O188" s="29"/>
      <c r="T188" s="104" t="s">
        <v>59</v>
      </c>
      <c r="U188" s="569" t="str">
        <f>K188</f>
        <v>YANTAC</v>
      </c>
      <c r="V188" s="569"/>
      <c r="W188" s="70" t="s">
        <v>82</v>
      </c>
      <c r="X188" s="29" t="s">
        <v>185</v>
      </c>
      <c r="Y188" s="29"/>
      <c r="AD188" s="104" t="s">
        <v>59</v>
      </c>
      <c r="AE188" s="569" t="str">
        <f>U188</f>
        <v>YANTAC</v>
      </c>
      <c r="AF188" s="569"/>
      <c r="AG188" s="70" t="s">
        <v>82</v>
      </c>
      <c r="AH188" s="29" t="s">
        <v>185</v>
      </c>
      <c r="AI188" s="29"/>
      <c r="AN188" s="104" t="s">
        <v>59</v>
      </c>
      <c r="AO188" s="569" t="str">
        <f>AE188</f>
        <v>YANTAC</v>
      </c>
      <c r="AP188" s="569"/>
      <c r="AQ188" s="70" t="s">
        <v>82</v>
      </c>
      <c r="AR188" s="29" t="s">
        <v>185</v>
      </c>
      <c r="AS188" s="29"/>
      <c r="AX188" s="104" t="s">
        <v>59</v>
      </c>
      <c r="AY188" s="569" t="str">
        <f>AO188</f>
        <v>YANTAC</v>
      </c>
      <c r="AZ188" s="569"/>
      <c r="BA188" s="70" t="s">
        <v>82</v>
      </c>
      <c r="BB188" s="29" t="s">
        <v>185</v>
      </c>
      <c r="BC188" s="29"/>
      <c r="BH188" s="104" t="s">
        <v>59</v>
      </c>
      <c r="BI188" s="569" t="str">
        <f>AY188</f>
        <v>YANTAC</v>
      </c>
      <c r="BJ188" s="569"/>
      <c r="BL188">
        <f>LOG(Y249)</f>
        <v>1.4238054538805025</v>
      </c>
      <c r="BM188">
        <f>LOG($Y$248)</f>
        <v>0.3010299956639812</v>
      </c>
      <c r="BN188">
        <f>LOG(X249)</f>
        <v>1.1760912590556813</v>
      </c>
      <c r="BP188" s="518" t="s">
        <v>124</v>
      </c>
      <c r="BQ188" s="518"/>
      <c r="BZ188" s="435" t="s">
        <v>869</v>
      </c>
      <c r="CA188" s="433" t="s">
        <v>151</v>
      </c>
      <c r="CB188" s="433" t="s">
        <v>151</v>
      </c>
      <c r="CC188" s="433" t="s">
        <v>151</v>
      </c>
      <c r="CD188" s="433" t="s">
        <v>151</v>
      </c>
      <c r="CE188" s="433" t="s">
        <v>151</v>
      </c>
      <c r="CF188" s="433" t="s">
        <v>151</v>
      </c>
      <c r="CG188" s="433" t="s">
        <v>151</v>
      </c>
      <c r="CH188" s="433" t="s">
        <v>151</v>
      </c>
    </row>
    <row r="189" spans="2:86" ht="15" thickBot="1" x14ac:dyDescent="0.35">
      <c r="BL189">
        <f t="shared" ref="BL189:BL196" si="125">LOG(Y250)</f>
        <v>1.2168376283517515</v>
      </c>
      <c r="BM189">
        <f t="shared" ref="BM189:BM196" si="126">LOG($Y$248)</f>
        <v>0.3010299956639812</v>
      </c>
      <c r="BN189">
        <f t="shared" ref="BN189:BN196" si="127">LOG(X250)</f>
        <v>1.4771212547196624</v>
      </c>
      <c r="BP189" t="s">
        <v>125</v>
      </c>
      <c r="BQ189">
        <v>0.99594637144359299</v>
      </c>
      <c r="BZ189" s="434" t="s">
        <v>870</v>
      </c>
      <c r="CA189" s="485">
        <f>CA216</f>
        <v>2</v>
      </c>
      <c r="CB189" s="485">
        <f t="shared" ref="CB189:CH189" si="128">CB216</f>
        <v>5</v>
      </c>
      <c r="CC189" s="485">
        <f t="shared" si="128"/>
        <v>10</v>
      </c>
      <c r="CD189" s="485">
        <f t="shared" si="128"/>
        <v>20</v>
      </c>
      <c r="CE189" s="485">
        <f t="shared" si="128"/>
        <v>50</v>
      </c>
      <c r="CF189" s="485">
        <f t="shared" si="128"/>
        <v>100</v>
      </c>
      <c r="CG189" s="485">
        <f t="shared" si="128"/>
        <v>150</v>
      </c>
      <c r="CH189" s="485">
        <f t="shared" si="128"/>
        <v>500</v>
      </c>
    </row>
    <row r="190" spans="2:86" ht="15.75" customHeight="1" thickBot="1" x14ac:dyDescent="0.35">
      <c r="O190" s="583" t="s">
        <v>469</v>
      </c>
      <c r="P190" s="584"/>
      <c r="Q190" s="143" t="s">
        <v>291</v>
      </c>
      <c r="R190" s="451">
        <v>2</v>
      </c>
      <c r="S190" s="143" t="s">
        <v>291</v>
      </c>
      <c r="T190" s="451">
        <v>5</v>
      </c>
      <c r="U190" s="143" t="s">
        <v>291</v>
      </c>
      <c r="V190" s="451">
        <v>10</v>
      </c>
      <c r="W190" s="143" t="s">
        <v>291</v>
      </c>
      <c r="X190" s="451">
        <v>20</v>
      </c>
      <c r="Y190" s="143" t="s">
        <v>291</v>
      </c>
      <c r="Z190" s="451">
        <v>50</v>
      </c>
      <c r="AA190" s="143" t="s">
        <v>291</v>
      </c>
      <c r="AB190" s="451">
        <v>100</v>
      </c>
      <c r="AC190" s="143" t="s">
        <v>291</v>
      </c>
      <c r="AD190" s="451">
        <v>150</v>
      </c>
      <c r="AE190" s="143" t="s">
        <v>291</v>
      </c>
      <c r="AF190" s="451">
        <v>500</v>
      </c>
      <c r="BA190" s="24" t="s">
        <v>305</v>
      </c>
      <c r="BL190">
        <f t="shared" si="125"/>
        <v>1.0800561033060028</v>
      </c>
      <c r="BM190">
        <f t="shared" si="126"/>
        <v>0.3010299956639812</v>
      </c>
      <c r="BN190">
        <f t="shared" si="127"/>
        <v>1.6532125137753437</v>
      </c>
      <c r="BP190" t="s">
        <v>126</v>
      </c>
      <c r="BQ190">
        <v>0.99190917479165941</v>
      </c>
      <c r="BZ190" s="436">
        <v>1</v>
      </c>
      <c r="CA190" s="437">
        <f t="shared" ref="CA190:CA195" si="129">R194</f>
        <v>0.23846064879310147</v>
      </c>
      <c r="CB190" s="437">
        <f t="shared" ref="CB190:CB195" si="130">T194</f>
        <v>0.31913339074045188</v>
      </c>
      <c r="CC190" s="437">
        <f t="shared" ref="CC190:CC195" si="131">V194</f>
        <v>0.36552412290424929</v>
      </c>
      <c r="CD190" s="437">
        <f t="shared" ref="CD190:CD195" si="132">X194</f>
        <v>0.40607596877232516</v>
      </c>
      <c r="CE190" s="437">
        <f t="shared" ref="CE190:CE195" si="133">Z194</f>
        <v>0.45420896281492612</v>
      </c>
      <c r="CF190" s="486">
        <f t="shared" ref="CF190:CF195" si="134">AB194</f>
        <v>0.48780024657203774</v>
      </c>
      <c r="CG190" s="437">
        <f t="shared" ref="CG190:CG195" si="135">AD194</f>
        <v>0.5066010218099557</v>
      </c>
      <c r="CH190" s="437">
        <f t="shared" ref="CH190:CH195" si="136">AF194</f>
        <v>0.55958362690595509</v>
      </c>
    </row>
    <row r="191" spans="2:86" ht="15.6" x14ac:dyDescent="0.3">
      <c r="M191" s="581" t="s">
        <v>287</v>
      </c>
      <c r="N191" s="582"/>
      <c r="O191" s="585" t="str">
        <f>J219</f>
        <v>Tipo II</v>
      </c>
      <c r="P191" s="586"/>
      <c r="Q191" s="424" t="s">
        <v>290</v>
      </c>
      <c r="R191" s="425">
        <f>VLOOKUP(R190,Pmax24h_1,2,FALSE)</f>
        <v>21.678240799372862</v>
      </c>
      <c r="S191" s="424" t="s">
        <v>290</v>
      </c>
      <c r="T191" s="425">
        <f>VLOOKUP(T190,Pmax24h_1,2,FALSE)</f>
        <v>29.012126430950175</v>
      </c>
      <c r="U191" s="424" t="s">
        <v>290</v>
      </c>
      <c r="V191" s="425">
        <f>VLOOKUP(V190,Pmax24h_1,2,FALSE)</f>
        <v>33.229465718568122</v>
      </c>
      <c r="W191" s="424" t="s">
        <v>290</v>
      </c>
      <c r="X191" s="425">
        <f>VLOOKUP(X190,Pmax24h_1,2,FALSE)</f>
        <v>36.915997161120472</v>
      </c>
      <c r="Y191" s="424" t="s">
        <v>290</v>
      </c>
      <c r="Z191" s="425">
        <f>VLOOKUP(Z190,Pmax24h_1,2,FALSE)</f>
        <v>41.291723892266013</v>
      </c>
      <c r="AA191" s="424" t="s">
        <v>290</v>
      </c>
      <c r="AB191" s="489">
        <f>VLOOKUP(AB190,Pmax24h_1,2,FALSE)</f>
        <v>44.345476961094342</v>
      </c>
      <c r="AC191" s="424" t="s">
        <v>290</v>
      </c>
      <c r="AD191" s="425">
        <f>VLOOKUP(AD190,Pmax24h_1,2,FALSE)</f>
        <v>46.05463834635961</v>
      </c>
      <c r="AE191" s="424" t="s">
        <v>290</v>
      </c>
      <c r="AF191" s="425">
        <f>VLOOKUP(AF190,Pmax24h_1,2,FALSE)</f>
        <v>50.871238809632288</v>
      </c>
      <c r="AP191" s="21"/>
      <c r="AZ191" s="21"/>
      <c r="BA191" s="24" t="s">
        <v>306</v>
      </c>
      <c r="BL191">
        <f t="shared" si="125"/>
        <v>0.99116247088234211</v>
      </c>
      <c r="BM191">
        <f t="shared" si="126"/>
        <v>0.3010299956639812</v>
      </c>
      <c r="BN191">
        <f t="shared" si="127"/>
        <v>1.7781512503836436</v>
      </c>
      <c r="BP191" t="s">
        <v>127</v>
      </c>
      <c r="BQ191">
        <v>0.99167465811895383</v>
      </c>
      <c r="BZ191" s="436">
        <v>2</v>
      </c>
      <c r="CA191" s="437">
        <f t="shared" si="129"/>
        <v>0.23846064879310147</v>
      </c>
      <c r="CB191" s="437">
        <f t="shared" si="130"/>
        <v>0.31913339074045188</v>
      </c>
      <c r="CC191" s="437">
        <f t="shared" si="131"/>
        <v>0.36552412290424929</v>
      </c>
      <c r="CD191" s="437">
        <f t="shared" si="132"/>
        <v>0.40607596877232516</v>
      </c>
      <c r="CE191" s="437">
        <f t="shared" si="133"/>
        <v>0.45420896281492612</v>
      </c>
      <c r="CF191" s="486">
        <f t="shared" si="134"/>
        <v>0.48780024657203774</v>
      </c>
      <c r="CG191" s="437">
        <f t="shared" si="135"/>
        <v>0.5066010218099557</v>
      </c>
      <c r="CH191" s="437">
        <f t="shared" si="136"/>
        <v>0.55958362690595509</v>
      </c>
    </row>
    <row r="192" spans="2:86" ht="34.200000000000003" thickBot="1" x14ac:dyDescent="0.35">
      <c r="M192" s="426" t="s">
        <v>288</v>
      </c>
      <c r="N192" s="427" t="s">
        <v>289</v>
      </c>
      <c r="O192" s="445" t="s">
        <v>888</v>
      </c>
      <c r="P192" s="446" t="s">
        <v>889</v>
      </c>
      <c r="Q192" s="447" t="s">
        <v>890</v>
      </c>
      <c r="R192" s="448" t="s">
        <v>891</v>
      </c>
      <c r="S192" s="447" t="s">
        <v>890</v>
      </c>
      <c r="T192" s="448" t="s">
        <v>891</v>
      </c>
      <c r="U192" s="447" t="s">
        <v>890</v>
      </c>
      <c r="V192" s="448" t="s">
        <v>892</v>
      </c>
      <c r="W192" s="447" t="s">
        <v>893</v>
      </c>
      <c r="X192" s="448" t="s">
        <v>892</v>
      </c>
      <c r="Y192" s="447" t="s">
        <v>890</v>
      </c>
      <c r="Z192" s="448" t="s">
        <v>891</v>
      </c>
      <c r="AA192" s="447" t="s">
        <v>890</v>
      </c>
      <c r="AB192" s="448" t="s">
        <v>891</v>
      </c>
      <c r="AC192" s="447" t="s">
        <v>890</v>
      </c>
      <c r="AD192" s="448" t="s">
        <v>891</v>
      </c>
      <c r="AE192" s="447" t="s">
        <v>890</v>
      </c>
      <c r="AF192" s="448" t="s">
        <v>892</v>
      </c>
      <c r="AP192" s="21"/>
      <c r="AZ192" s="21"/>
      <c r="BA192" s="24" t="s">
        <v>122</v>
      </c>
      <c r="BL192">
        <f t="shared" si="125"/>
        <v>0.85890278135129761</v>
      </c>
      <c r="BM192">
        <f t="shared" si="126"/>
        <v>0.3010299956639812</v>
      </c>
      <c r="BN192">
        <f t="shared" si="127"/>
        <v>1.954242509439325</v>
      </c>
      <c r="BP192" t="s">
        <v>128</v>
      </c>
      <c r="BQ192">
        <v>2.9704292534724553E-2</v>
      </c>
      <c r="BZ192" s="436">
        <v>3</v>
      </c>
      <c r="CA192" s="437">
        <f t="shared" si="129"/>
        <v>0.2818171303918473</v>
      </c>
      <c r="CB192" s="437">
        <f t="shared" si="130"/>
        <v>0.37715764360235249</v>
      </c>
      <c r="CC192" s="437">
        <f t="shared" si="131"/>
        <v>0.43198305434138584</v>
      </c>
      <c r="CD192" s="437">
        <f t="shared" si="132"/>
        <v>0.47990796309456629</v>
      </c>
      <c r="CE192" s="437">
        <f t="shared" si="133"/>
        <v>0.53679241059945826</v>
      </c>
      <c r="CF192" s="486">
        <f t="shared" si="134"/>
        <v>0.57649120049422653</v>
      </c>
      <c r="CG192" s="437">
        <f t="shared" si="135"/>
        <v>0.5987102985026751</v>
      </c>
      <c r="CH192" s="437">
        <f t="shared" si="136"/>
        <v>0.66132610452522012</v>
      </c>
    </row>
    <row r="193" spans="7:86" ht="15" thickBot="1" x14ac:dyDescent="0.35">
      <c r="M193" s="151">
        <f t="shared" ref="M193:M199" si="137">I225</f>
        <v>0</v>
      </c>
      <c r="N193" s="121">
        <v>0</v>
      </c>
      <c r="O193" s="149">
        <f t="shared" ref="O193:O199" si="138">J225</f>
        <v>0</v>
      </c>
      <c r="P193" s="150"/>
      <c r="Q193" s="136">
        <f>O193*$R$191</f>
        <v>0</v>
      </c>
      <c r="R193" s="75"/>
      <c r="S193" s="136">
        <f>O193*$T$191</f>
        <v>0</v>
      </c>
      <c r="T193" s="121"/>
      <c r="U193" s="136">
        <f>O193*$V$191</f>
        <v>0</v>
      </c>
      <c r="V193" s="75"/>
      <c r="W193" s="136">
        <f>O193*$X$191</f>
        <v>0</v>
      </c>
      <c r="X193" s="75"/>
      <c r="Y193" s="136">
        <f>O193*$Z$191</f>
        <v>0</v>
      </c>
      <c r="Z193" s="75"/>
      <c r="AA193" s="136">
        <f>O193*$AB$191</f>
        <v>0</v>
      </c>
      <c r="AB193" s="75"/>
      <c r="AC193" s="136">
        <f>O193*$AD$191</f>
        <v>0</v>
      </c>
      <c r="AD193" s="75"/>
      <c r="AE193" s="136">
        <f>O193*$AF$191</f>
        <v>0</v>
      </c>
      <c r="AF193" s="75"/>
      <c r="BF193" s="21" t="s">
        <v>108</v>
      </c>
      <c r="BL193">
        <f t="shared" si="125"/>
        <v>0.76496832610653442</v>
      </c>
      <c r="BM193">
        <f t="shared" si="126"/>
        <v>0.3010299956639812</v>
      </c>
      <c r="BN193">
        <f t="shared" si="127"/>
        <v>2.0791812460476247</v>
      </c>
      <c r="BP193" s="108" t="s">
        <v>129</v>
      </c>
      <c r="BQ193" s="108">
        <v>72</v>
      </c>
      <c r="BZ193" s="436">
        <v>4</v>
      </c>
      <c r="CA193" s="437">
        <f t="shared" si="129"/>
        <v>0.28181713039184708</v>
      </c>
      <c r="CB193" s="437">
        <f t="shared" si="130"/>
        <v>0.37715764360235227</v>
      </c>
      <c r="CC193" s="437">
        <f t="shared" si="131"/>
        <v>0.4319830543413854</v>
      </c>
      <c r="CD193" s="437">
        <f t="shared" si="132"/>
        <v>0.47990796309456618</v>
      </c>
      <c r="CE193" s="437">
        <f t="shared" si="133"/>
        <v>0.53679241059945815</v>
      </c>
      <c r="CF193" s="486">
        <f t="shared" si="134"/>
        <v>0.57649120049422664</v>
      </c>
      <c r="CG193" s="437">
        <f t="shared" si="135"/>
        <v>0.59871029850267465</v>
      </c>
      <c r="CH193" s="437">
        <f t="shared" si="136"/>
        <v>0.66132610452521967</v>
      </c>
    </row>
    <row r="194" spans="7:86" x14ac:dyDescent="0.3">
      <c r="M194" s="140">
        <f t="shared" si="137"/>
        <v>1</v>
      </c>
      <c r="N194" s="130">
        <f>N193+60</f>
        <v>60</v>
      </c>
      <c r="O194" s="144">
        <f t="shared" si="138"/>
        <v>1.0999999999999999E-2</v>
      </c>
      <c r="P194" s="142">
        <f>O194-O193</f>
        <v>1.0999999999999999E-2</v>
      </c>
      <c r="Q194" s="112">
        <f t="shared" ref="Q194:Q241" si="139">O194*$R$191</f>
        <v>0.23846064879310147</v>
      </c>
      <c r="R194" s="158">
        <f>Q194-Q193</f>
        <v>0.23846064879310147</v>
      </c>
      <c r="S194" s="136">
        <f t="shared" ref="S194:S241" si="140">O194*$T$191</f>
        <v>0.31913339074045188</v>
      </c>
      <c r="T194" s="122">
        <f>S194-S193</f>
        <v>0.31913339074045188</v>
      </c>
      <c r="U194" s="112">
        <f t="shared" ref="U194:U238" si="141">O194*$V$191</f>
        <v>0.36552412290424929</v>
      </c>
      <c r="V194" s="122">
        <f>U194-U193</f>
        <v>0.36552412290424929</v>
      </c>
      <c r="W194" s="112">
        <f t="shared" ref="W194:W241" si="142">O194*$X$191</f>
        <v>0.40607596877232516</v>
      </c>
      <c r="X194" s="122">
        <f>W194-W193</f>
        <v>0.40607596877232516</v>
      </c>
      <c r="Y194" s="112">
        <f t="shared" ref="Y194:Y241" si="143">O194*$Z$191</f>
        <v>0.45420896281492612</v>
      </c>
      <c r="Z194" s="122">
        <f>Y194-Y193</f>
        <v>0.45420896281492612</v>
      </c>
      <c r="AA194" s="112">
        <f t="shared" ref="AA194:AA241" si="144">O194*$AB$191</f>
        <v>0.48780024657203774</v>
      </c>
      <c r="AB194" s="122">
        <f>AA194-AA193</f>
        <v>0.48780024657203774</v>
      </c>
      <c r="AC194" s="112">
        <f t="shared" ref="AC194:AC241" si="145">O194*$AD$191</f>
        <v>0.5066010218099557</v>
      </c>
      <c r="AD194" s="122">
        <f>AC194-AC193</f>
        <v>0.5066010218099557</v>
      </c>
      <c r="AE194" s="112">
        <f t="shared" ref="AE194:AE241" si="146">O194*$AF$191</f>
        <v>0.55958362690595509</v>
      </c>
      <c r="AF194" s="122">
        <f>AE194-AE193</f>
        <v>0.55958362690595509</v>
      </c>
      <c r="AG194" s="99"/>
      <c r="AQ194" s="99"/>
      <c r="BF194" s="21" t="s">
        <v>109</v>
      </c>
      <c r="BL194">
        <f t="shared" si="125"/>
        <v>0.63341974707984716</v>
      </c>
      <c r="BM194">
        <f t="shared" si="126"/>
        <v>0.3010299956639812</v>
      </c>
      <c r="BN194">
        <f t="shared" si="127"/>
        <v>2.255272505103306</v>
      </c>
      <c r="BZ194" s="436">
        <v>5</v>
      </c>
      <c r="CA194" s="437">
        <f t="shared" si="129"/>
        <v>0.34685185278996578</v>
      </c>
      <c r="CB194" s="437">
        <f t="shared" si="130"/>
        <v>0.46419402289520284</v>
      </c>
      <c r="CC194" s="437">
        <f t="shared" si="131"/>
        <v>0.53167145149708994</v>
      </c>
      <c r="CD194" s="437">
        <f t="shared" si="132"/>
        <v>0.5906559545779273</v>
      </c>
      <c r="CE194" s="437">
        <f t="shared" si="133"/>
        <v>0.66066758227625622</v>
      </c>
      <c r="CF194" s="486">
        <f t="shared" si="134"/>
        <v>0.7095276313775094</v>
      </c>
      <c r="CG194" s="437">
        <f t="shared" si="135"/>
        <v>0.73687421354175386</v>
      </c>
      <c r="CH194" s="437">
        <f t="shared" si="136"/>
        <v>0.81393982095411666</v>
      </c>
    </row>
    <row r="195" spans="7:86" ht="15" customHeight="1" thickBot="1" x14ac:dyDescent="0.35">
      <c r="M195" s="140">
        <f t="shared" si="137"/>
        <v>2</v>
      </c>
      <c r="N195" s="130">
        <f t="shared" ref="N195:N199" si="147">N194+60</f>
        <v>120</v>
      </c>
      <c r="O195" s="144">
        <f t="shared" si="138"/>
        <v>2.1999999999999999E-2</v>
      </c>
      <c r="P195" s="142">
        <f t="shared" ref="P195:P241" si="148">O195-O194</f>
        <v>1.0999999999999999E-2</v>
      </c>
      <c r="Q195" s="112">
        <f t="shared" si="139"/>
        <v>0.47692129758620294</v>
      </c>
      <c r="R195" s="158">
        <f t="shared" ref="R195:R241" si="149">Q195-Q194</f>
        <v>0.23846064879310147</v>
      </c>
      <c r="S195" s="136">
        <f t="shared" si="140"/>
        <v>0.63826678148090377</v>
      </c>
      <c r="T195" s="122">
        <f t="shared" ref="T195:T241" si="150">S195-S194</f>
        <v>0.31913339074045188</v>
      </c>
      <c r="U195" s="112">
        <f t="shared" si="141"/>
        <v>0.73104824580849859</v>
      </c>
      <c r="V195" s="122">
        <f t="shared" ref="V195:V240" si="151">U195-U194</f>
        <v>0.36552412290424929</v>
      </c>
      <c r="W195" s="112">
        <f t="shared" si="142"/>
        <v>0.81215193754465032</v>
      </c>
      <c r="X195" s="122">
        <f t="shared" ref="X195:X241" si="152">W195-W194</f>
        <v>0.40607596877232516</v>
      </c>
      <c r="Y195" s="112">
        <f t="shared" si="143"/>
        <v>0.90841792562985224</v>
      </c>
      <c r="Z195" s="122">
        <f t="shared" ref="Z195:Z241" si="153">Y195-Y194</f>
        <v>0.45420896281492612</v>
      </c>
      <c r="AA195" s="112">
        <f t="shared" si="144"/>
        <v>0.97560049314407549</v>
      </c>
      <c r="AB195" s="122">
        <f t="shared" ref="AB195:AB241" si="154">AA195-AA194</f>
        <v>0.48780024657203774</v>
      </c>
      <c r="AC195" s="112">
        <f t="shared" si="145"/>
        <v>1.0132020436199114</v>
      </c>
      <c r="AD195" s="122">
        <f t="shared" ref="AD195:AD241" si="155">AC195-AC194</f>
        <v>0.5066010218099557</v>
      </c>
      <c r="AE195" s="112">
        <f t="shared" si="146"/>
        <v>1.1191672538119102</v>
      </c>
      <c r="AF195" s="122">
        <f t="shared" ref="AF195:AF241" si="156">AE195-AE194</f>
        <v>0.55958362690595509</v>
      </c>
      <c r="BL195">
        <f t="shared" si="125"/>
        <v>0.5394649029013977</v>
      </c>
      <c r="BM195">
        <f t="shared" si="126"/>
        <v>0.3010299956639812</v>
      </c>
      <c r="BN195">
        <f t="shared" si="127"/>
        <v>2.3802112417116059</v>
      </c>
      <c r="BP195" t="s">
        <v>130</v>
      </c>
      <c r="BZ195" s="436">
        <v>6</v>
      </c>
      <c r="CA195" s="437">
        <f t="shared" si="129"/>
        <v>0.34685185278996578</v>
      </c>
      <c r="CB195" s="437">
        <f t="shared" si="130"/>
        <v>0.46419402289520262</v>
      </c>
      <c r="CC195" s="437">
        <f t="shared" si="131"/>
        <v>0.53167145149709016</v>
      </c>
      <c r="CD195" s="437">
        <f t="shared" si="132"/>
        <v>0.59065595457792774</v>
      </c>
      <c r="CE195" s="437">
        <f t="shared" si="133"/>
        <v>0.66066758227625622</v>
      </c>
      <c r="CF195" s="486">
        <f t="shared" si="134"/>
        <v>0.7095276313775094</v>
      </c>
      <c r="CG195" s="437">
        <f t="shared" si="135"/>
        <v>0.73687421354175386</v>
      </c>
      <c r="CH195" s="437">
        <f t="shared" si="136"/>
        <v>0.81393982095411666</v>
      </c>
    </row>
    <row r="196" spans="7:86" x14ac:dyDescent="0.3">
      <c r="M196" s="140">
        <f t="shared" si="137"/>
        <v>3</v>
      </c>
      <c r="N196" s="130">
        <f t="shared" si="147"/>
        <v>180</v>
      </c>
      <c r="O196" s="144">
        <f t="shared" si="138"/>
        <v>3.5000000000000003E-2</v>
      </c>
      <c r="P196" s="142">
        <f t="shared" si="148"/>
        <v>1.3000000000000005E-2</v>
      </c>
      <c r="Q196" s="112">
        <f t="shared" si="139"/>
        <v>0.75873842797805024</v>
      </c>
      <c r="R196" s="158">
        <f t="shared" si="149"/>
        <v>0.2818171303918473</v>
      </c>
      <c r="S196" s="136">
        <f t="shared" si="140"/>
        <v>1.0154244250832563</v>
      </c>
      <c r="T196" s="122">
        <f t="shared" si="150"/>
        <v>0.37715764360235249</v>
      </c>
      <c r="U196" s="112">
        <f t="shared" si="141"/>
        <v>1.1630313001498844</v>
      </c>
      <c r="V196" s="122">
        <f t="shared" si="151"/>
        <v>0.43198305434138584</v>
      </c>
      <c r="W196" s="112">
        <f t="shared" si="142"/>
        <v>1.2920599006392166</v>
      </c>
      <c r="X196" s="122">
        <f t="shared" si="152"/>
        <v>0.47990796309456629</v>
      </c>
      <c r="Y196" s="112">
        <f t="shared" si="143"/>
        <v>1.4452103362293105</v>
      </c>
      <c r="Z196" s="122">
        <f t="shared" si="153"/>
        <v>0.53679241059945826</v>
      </c>
      <c r="AA196" s="112">
        <f t="shared" si="144"/>
        <v>1.552091693638302</v>
      </c>
      <c r="AB196" s="122">
        <f t="shared" si="154"/>
        <v>0.57649120049422653</v>
      </c>
      <c r="AC196" s="112">
        <f t="shared" si="145"/>
        <v>1.6119123421225865</v>
      </c>
      <c r="AD196" s="122">
        <f t="shared" si="155"/>
        <v>0.5987102985026751</v>
      </c>
      <c r="AE196" s="112">
        <f t="shared" si="146"/>
        <v>1.7804933583371303</v>
      </c>
      <c r="AF196" s="122">
        <f t="shared" si="156"/>
        <v>0.66132610452522012</v>
      </c>
      <c r="BA196" s="24" t="s">
        <v>107</v>
      </c>
      <c r="BL196" s="106">
        <f t="shared" si="125"/>
        <v>0.46506909595891799</v>
      </c>
      <c r="BM196" s="106">
        <f t="shared" si="126"/>
        <v>0.3010299956639812</v>
      </c>
      <c r="BN196" s="106">
        <f t="shared" si="127"/>
        <v>2.4771212547196626</v>
      </c>
      <c r="BP196" s="109"/>
      <c r="BQ196" s="109" t="s">
        <v>135</v>
      </c>
      <c r="BR196" s="109" t="s">
        <v>136</v>
      </c>
      <c r="BS196" s="109" t="s">
        <v>137</v>
      </c>
      <c r="BT196" s="109" t="s">
        <v>138</v>
      </c>
      <c r="BU196" s="109" t="s">
        <v>139</v>
      </c>
      <c r="BZ196" s="436">
        <v>7</v>
      </c>
      <c r="CA196" s="437">
        <f>SUM(R200:R203)</f>
        <v>0.39020833438871172</v>
      </c>
      <c r="CB196" s="437">
        <f>SUM(T200:T203)</f>
        <v>0.52221827575710345</v>
      </c>
      <c r="CC196" s="437">
        <f>SUM(V200:V203)</f>
        <v>0.59813038293422593</v>
      </c>
      <c r="CD196" s="437">
        <f>SUM(X200:X203)</f>
        <v>0.66448794890016849</v>
      </c>
      <c r="CE196" s="437">
        <f>SUM(Z200:Z203)</f>
        <v>0.74325103006078796</v>
      </c>
      <c r="CF196" s="486">
        <f>SUM(AB200:AB203)</f>
        <v>0.79821858529969791</v>
      </c>
      <c r="CG196" s="437">
        <f>SUM(AD200:AD203)</f>
        <v>0.82898349023447349</v>
      </c>
      <c r="CH196" s="437">
        <f>SUM(AF200:AF203)</f>
        <v>0.91568229857338146</v>
      </c>
    </row>
    <row r="197" spans="7:86" x14ac:dyDescent="0.3">
      <c r="M197" s="140">
        <f t="shared" si="137"/>
        <v>4</v>
      </c>
      <c r="N197" s="130">
        <f t="shared" si="147"/>
        <v>240</v>
      </c>
      <c r="O197" s="144">
        <f t="shared" si="138"/>
        <v>4.8000000000000001E-2</v>
      </c>
      <c r="P197" s="142">
        <f t="shared" si="148"/>
        <v>1.2999999999999998E-2</v>
      </c>
      <c r="Q197" s="112">
        <f t="shared" si="139"/>
        <v>1.0405555583698973</v>
      </c>
      <c r="R197" s="158">
        <f t="shared" si="149"/>
        <v>0.28181713039184708</v>
      </c>
      <c r="S197" s="136">
        <f t="shared" si="140"/>
        <v>1.3925820686856085</v>
      </c>
      <c r="T197" s="122">
        <f t="shared" si="150"/>
        <v>0.37715764360235227</v>
      </c>
      <c r="U197" s="112">
        <f t="shared" si="141"/>
        <v>1.5950143544912698</v>
      </c>
      <c r="V197" s="122">
        <f t="shared" si="151"/>
        <v>0.4319830543413854</v>
      </c>
      <c r="W197" s="112">
        <f t="shared" si="142"/>
        <v>1.7719678637337828</v>
      </c>
      <c r="X197" s="122">
        <f t="shared" si="152"/>
        <v>0.47990796309456618</v>
      </c>
      <c r="Y197" s="112">
        <f t="shared" si="143"/>
        <v>1.9820027468287686</v>
      </c>
      <c r="Z197" s="122">
        <f t="shared" si="153"/>
        <v>0.53679241059945815</v>
      </c>
      <c r="AA197" s="112">
        <f t="shared" si="144"/>
        <v>2.1285828941325287</v>
      </c>
      <c r="AB197" s="122">
        <f t="shared" si="154"/>
        <v>0.57649120049422664</v>
      </c>
      <c r="AC197" s="112">
        <f t="shared" si="145"/>
        <v>2.2106226406252611</v>
      </c>
      <c r="AD197" s="122">
        <f t="shared" si="155"/>
        <v>0.59871029850267465</v>
      </c>
      <c r="AE197" s="112">
        <f t="shared" si="146"/>
        <v>2.44181946286235</v>
      </c>
      <c r="AF197" s="122">
        <f t="shared" si="156"/>
        <v>0.66132610452521967</v>
      </c>
      <c r="BL197">
        <f>LOG(Z249)</f>
        <v>1.5503609792003941</v>
      </c>
      <c r="BM197">
        <f>LOG($Z$248)</f>
        <v>0.69897000433601886</v>
      </c>
      <c r="BN197">
        <f>LOG(X249)</f>
        <v>1.1760912590556813</v>
      </c>
      <c r="BP197" t="s">
        <v>131</v>
      </c>
      <c r="BQ197">
        <v>2</v>
      </c>
      <c r="BR197">
        <v>7.46391363789769</v>
      </c>
      <c r="BS197">
        <v>3.731956818948845</v>
      </c>
      <c r="BT197">
        <v>4229.5891518005556</v>
      </c>
      <c r="BU197">
        <v>6.6950257614569493E-73</v>
      </c>
      <c r="BZ197" s="436">
        <v>8</v>
      </c>
      <c r="CA197" s="437">
        <f>SUM(R204:R207)</f>
        <v>0.47692129758620272</v>
      </c>
      <c r="CB197" s="437">
        <f>SUM(T204:T207)</f>
        <v>0.63826678148090332</v>
      </c>
      <c r="CC197" s="437">
        <f>SUM(V204:V207)</f>
        <v>0.73104824580849881</v>
      </c>
      <c r="CD197" s="437">
        <f>SUM(X204:X207)</f>
        <v>0.81215193754464998</v>
      </c>
      <c r="CE197" s="437">
        <f>SUM(Z204:Z207)</f>
        <v>0.9084179256298528</v>
      </c>
      <c r="CF197" s="486">
        <f>SUM(AB204:AB207)</f>
        <v>0.97560049314407582</v>
      </c>
      <c r="CG197" s="437">
        <f>SUM(AD204:AD207)</f>
        <v>1.013202043619911</v>
      </c>
      <c r="CH197" s="437">
        <f>SUM(AF204:AF207)</f>
        <v>1.1191672538119093</v>
      </c>
    </row>
    <row r="198" spans="7:86" x14ac:dyDescent="0.3">
      <c r="M198" s="140">
        <f t="shared" si="137"/>
        <v>5</v>
      </c>
      <c r="N198" s="130">
        <f t="shared" si="147"/>
        <v>300</v>
      </c>
      <c r="O198" s="144">
        <f t="shared" si="138"/>
        <v>6.4000000000000001E-2</v>
      </c>
      <c r="P198" s="142">
        <f t="shared" si="148"/>
        <v>1.6E-2</v>
      </c>
      <c r="Q198" s="112">
        <f t="shared" si="139"/>
        <v>1.3874074111598631</v>
      </c>
      <c r="R198" s="158">
        <f t="shared" si="149"/>
        <v>0.34685185278996578</v>
      </c>
      <c r="S198" s="136">
        <f t="shared" si="140"/>
        <v>1.8567760915808114</v>
      </c>
      <c r="T198" s="122">
        <f t="shared" si="150"/>
        <v>0.46419402289520284</v>
      </c>
      <c r="U198" s="112">
        <f t="shared" si="141"/>
        <v>2.1266858059883598</v>
      </c>
      <c r="V198" s="122">
        <f t="shared" si="151"/>
        <v>0.53167145149708994</v>
      </c>
      <c r="W198" s="112">
        <f t="shared" si="142"/>
        <v>2.3626238183117101</v>
      </c>
      <c r="X198" s="122">
        <f t="shared" si="152"/>
        <v>0.5906559545779273</v>
      </c>
      <c r="Y198" s="112">
        <f t="shared" si="143"/>
        <v>2.6426703291050249</v>
      </c>
      <c r="Z198" s="122">
        <f t="shared" si="153"/>
        <v>0.66066758227625622</v>
      </c>
      <c r="AA198" s="112">
        <f t="shared" si="144"/>
        <v>2.8381105255100381</v>
      </c>
      <c r="AB198" s="122">
        <f t="shared" si="154"/>
        <v>0.7095276313775094</v>
      </c>
      <c r="AC198" s="112">
        <f t="shared" si="145"/>
        <v>2.947496854167015</v>
      </c>
      <c r="AD198" s="122">
        <f t="shared" si="155"/>
        <v>0.73687421354175386</v>
      </c>
      <c r="AE198" s="112">
        <f t="shared" si="146"/>
        <v>3.2557592838164666</v>
      </c>
      <c r="AF198" s="122">
        <f t="shared" si="156"/>
        <v>0.81393982095411666</v>
      </c>
      <c r="BA198" s="573" t="s">
        <v>100</v>
      </c>
      <c r="BB198" s="573"/>
      <c r="BC198" s="110">
        <f>BQ202</f>
        <v>2.3159403111583385</v>
      </c>
      <c r="BD198" s="103"/>
      <c r="BF198" s="99" t="s">
        <v>110</v>
      </c>
      <c r="BG198" s="68">
        <f>BC198</f>
        <v>2.3159403111583385</v>
      </c>
      <c r="BH198" s="99" t="s">
        <v>111</v>
      </c>
      <c r="BI198" s="73">
        <f>ROUND(10^BG198,2)</f>
        <v>206.99</v>
      </c>
      <c r="BL198">
        <f t="shared" ref="BL198:BL205" si="157">LOG(Z250)</f>
        <v>1.343393153671643</v>
      </c>
      <c r="BM198">
        <f t="shared" ref="BM198:BM205" si="158">LOG($Z$248)</f>
        <v>0.69897000433601886</v>
      </c>
      <c r="BN198">
        <f t="shared" ref="BN198:BN205" si="159">LOG(X250)</f>
        <v>1.4771212547196624</v>
      </c>
      <c r="BP198" t="s">
        <v>132</v>
      </c>
      <c r="BQ198">
        <v>69</v>
      </c>
      <c r="BR198">
        <v>6.0881804654206007E-2</v>
      </c>
      <c r="BS198">
        <v>8.8234499498849282E-4</v>
      </c>
      <c r="BZ198" s="436">
        <v>9</v>
      </c>
      <c r="CA198" s="437">
        <f>SUM(R208:R211)</f>
        <v>0.58531250158306714</v>
      </c>
      <c r="CB198" s="437">
        <f>SUM(T208:T211)</f>
        <v>0.78332741363565495</v>
      </c>
      <c r="CC198" s="437">
        <f>SUM(V208:V211)</f>
        <v>0.8971955744013389</v>
      </c>
      <c r="CD198" s="437">
        <f>SUM(X208:X211)</f>
        <v>0.99673192335025274</v>
      </c>
      <c r="CE198" s="437">
        <f>SUM(Z208:Z211)</f>
        <v>1.1148765450911817</v>
      </c>
      <c r="CF198" s="486">
        <f>SUM(AB208:AB211)</f>
        <v>1.1973278779495464</v>
      </c>
      <c r="CG198" s="437">
        <f>SUM(AD208:AD211)</f>
        <v>1.2434752353517089</v>
      </c>
      <c r="CH198" s="437">
        <f>SUM(AF208:AF211)</f>
        <v>1.3735234478600722</v>
      </c>
    </row>
    <row r="199" spans="7:86" ht="15" thickBot="1" x14ac:dyDescent="0.35">
      <c r="M199" s="140">
        <f t="shared" si="137"/>
        <v>6</v>
      </c>
      <c r="N199" s="130">
        <f t="shared" si="147"/>
        <v>360</v>
      </c>
      <c r="O199" s="144">
        <f t="shared" si="138"/>
        <v>0.08</v>
      </c>
      <c r="P199" s="142">
        <f t="shared" si="148"/>
        <v>1.6E-2</v>
      </c>
      <c r="Q199" s="112">
        <f t="shared" si="139"/>
        <v>1.7342592639498289</v>
      </c>
      <c r="R199" s="158">
        <f t="shared" si="149"/>
        <v>0.34685185278996578</v>
      </c>
      <c r="S199" s="136">
        <f t="shared" si="140"/>
        <v>2.320970114476014</v>
      </c>
      <c r="T199" s="122">
        <f t="shared" si="150"/>
        <v>0.46419402289520262</v>
      </c>
      <c r="U199" s="112">
        <f t="shared" si="141"/>
        <v>2.6583572574854499</v>
      </c>
      <c r="V199" s="122">
        <f t="shared" si="151"/>
        <v>0.53167145149709016</v>
      </c>
      <c r="W199" s="112">
        <f t="shared" si="142"/>
        <v>2.9532797728896378</v>
      </c>
      <c r="X199" s="122">
        <f t="shared" si="152"/>
        <v>0.59065595457792774</v>
      </c>
      <c r="Y199" s="112">
        <f t="shared" si="143"/>
        <v>3.3033379113812811</v>
      </c>
      <c r="Z199" s="122">
        <f t="shared" si="153"/>
        <v>0.66066758227625622</v>
      </c>
      <c r="AA199" s="112">
        <f t="shared" si="144"/>
        <v>3.5476381568875475</v>
      </c>
      <c r="AB199" s="122">
        <f t="shared" si="154"/>
        <v>0.7095276313775094</v>
      </c>
      <c r="AC199" s="112">
        <f t="shared" si="145"/>
        <v>3.6843710677087689</v>
      </c>
      <c r="AD199" s="122">
        <f t="shared" si="155"/>
        <v>0.73687421354175386</v>
      </c>
      <c r="AE199" s="112">
        <f t="shared" si="146"/>
        <v>4.0696991047705833</v>
      </c>
      <c r="AF199" s="122">
        <f t="shared" si="156"/>
        <v>0.81393982095411666</v>
      </c>
      <c r="AG199" s="123"/>
      <c r="AP199" s="123"/>
      <c r="AQ199" s="123"/>
      <c r="AZ199" s="123"/>
      <c r="BA199" s="573" t="s">
        <v>101</v>
      </c>
      <c r="BB199" s="573"/>
      <c r="BC199" s="110">
        <f>BQ192</f>
        <v>2.9704292534724553E-2</v>
      </c>
      <c r="BD199" s="103"/>
      <c r="BH199" s="99" t="s">
        <v>112</v>
      </c>
      <c r="BI199" s="102">
        <f>BC203</f>
        <v>0.14611613330576878</v>
      </c>
      <c r="BL199">
        <f t="shared" si="157"/>
        <v>1.2066116286258946</v>
      </c>
      <c r="BM199">
        <f t="shared" si="158"/>
        <v>0.69897000433601886</v>
      </c>
      <c r="BN199">
        <f t="shared" si="159"/>
        <v>1.6532125137753437</v>
      </c>
      <c r="BP199" s="108" t="s">
        <v>133</v>
      </c>
      <c r="BQ199" s="108">
        <v>71</v>
      </c>
      <c r="BR199" s="108">
        <v>7.5247954425518957</v>
      </c>
      <c r="BS199" s="108"/>
      <c r="BT199" s="108"/>
      <c r="BU199" s="108"/>
      <c r="BZ199" s="436">
        <v>10</v>
      </c>
      <c r="CA199" s="437">
        <f>SUM(R212:R215)</f>
        <v>0.7370601871786775</v>
      </c>
      <c r="CB199" s="437">
        <f>SUM(T212:T215)</f>
        <v>0.98641229865230606</v>
      </c>
      <c r="CC199" s="437">
        <f>SUM(V212:V215)</f>
        <v>1.1298018344313165</v>
      </c>
      <c r="CD199" s="437">
        <f>SUM(X212:X215)</f>
        <v>1.2551439034780962</v>
      </c>
      <c r="CE199" s="437">
        <f>SUM(Z212:Z215)</f>
        <v>1.4039186123370442</v>
      </c>
      <c r="CF199" s="486">
        <f>SUM(AB212:AB215)</f>
        <v>1.5077462166772078</v>
      </c>
      <c r="CG199" s="437">
        <f>SUM(AD212:AD215)</f>
        <v>1.5658577037762278</v>
      </c>
      <c r="CH199" s="437">
        <f>SUM(AF212:AF215)</f>
        <v>1.7296221195274972</v>
      </c>
    </row>
    <row r="200" spans="7:86" ht="15" thickBot="1" x14ac:dyDescent="0.35">
      <c r="M200" s="140">
        <f>(M199+M201)/2</f>
        <v>6.25</v>
      </c>
      <c r="N200" s="130">
        <f>N199+15</f>
        <v>375</v>
      </c>
      <c r="O200" s="144">
        <f>(O199+O201)/2</f>
        <v>8.4499999999999992E-2</v>
      </c>
      <c r="P200" s="142">
        <f t="shared" si="148"/>
        <v>4.4999999999999901E-3</v>
      </c>
      <c r="Q200" s="112">
        <f t="shared" si="139"/>
        <v>1.8318113475470066</v>
      </c>
      <c r="R200" s="158">
        <f t="shared" si="149"/>
        <v>9.7552083597177708E-2</v>
      </c>
      <c r="S200" s="136">
        <f t="shared" si="140"/>
        <v>2.4515246834152897</v>
      </c>
      <c r="T200" s="122">
        <f t="shared" si="150"/>
        <v>0.13055456893927575</v>
      </c>
      <c r="U200" s="112">
        <f t="shared" si="141"/>
        <v>2.807889853219006</v>
      </c>
      <c r="V200" s="122">
        <f t="shared" si="151"/>
        <v>0.14953259573355604</v>
      </c>
      <c r="W200" s="112">
        <f t="shared" si="142"/>
        <v>3.1194017601146795</v>
      </c>
      <c r="X200" s="122">
        <f t="shared" si="152"/>
        <v>0.16612198722504168</v>
      </c>
      <c r="Y200" s="112">
        <f t="shared" si="143"/>
        <v>3.4891506688964777</v>
      </c>
      <c r="Z200" s="122">
        <f t="shared" si="153"/>
        <v>0.18581275751519666</v>
      </c>
      <c r="AA200" s="112">
        <f t="shared" si="144"/>
        <v>3.7471928032124713</v>
      </c>
      <c r="AB200" s="122">
        <f t="shared" si="154"/>
        <v>0.19955464632492381</v>
      </c>
      <c r="AC200" s="112">
        <f t="shared" si="145"/>
        <v>3.8916169402673866</v>
      </c>
      <c r="AD200" s="122">
        <f t="shared" si="155"/>
        <v>0.20724587255861771</v>
      </c>
      <c r="AE200" s="112">
        <f t="shared" si="146"/>
        <v>4.2986196794139282</v>
      </c>
      <c r="AF200" s="122">
        <f t="shared" si="156"/>
        <v>0.22892057464334492</v>
      </c>
      <c r="BA200" s="573" t="s">
        <v>102</v>
      </c>
      <c r="BB200" s="573"/>
      <c r="BC200" s="110">
        <f>BQ191</f>
        <v>0.99167465811895383</v>
      </c>
      <c r="BD200" s="103"/>
      <c r="BH200" s="99" t="s">
        <v>113</v>
      </c>
      <c r="BI200" s="102">
        <f>BD203*-1</f>
        <v>0.74061522123594881</v>
      </c>
      <c r="BL200">
        <f t="shared" si="157"/>
        <v>1.1177179962022339</v>
      </c>
      <c r="BM200">
        <f t="shared" si="158"/>
        <v>0.69897000433601886</v>
      </c>
      <c r="BN200">
        <f t="shared" si="159"/>
        <v>1.7781512503836436</v>
      </c>
      <c r="BZ200" s="436">
        <v>11</v>
      </c>
      <c r="CA200" s="437">
        <f>SUM(R216:R219)</f>
        <v>1.1706250031661347</v>
      </c>
      <c r="CB200" s="437">
        <f>SUM(T216:T219)</f>
        <v>1.566654827271309</v>
      </c>
      <c r="CC200" s="437">
        <f>SUM(V216:V219)</f>
        <v>1.7943911488026778</v>
      </c>
      <c r="CD200" s="437">
        <f>SUM(X216:X219)</f>
        <v>1.9934638467005055</v>
      </c>
      <c r="CE200" s="437">
        <f>SUM(Z216:Z219)</f>
        <v>2.2297530901823643</v>
      </c>
      <c r="CF200" s="486">
        <f>SUM(AB216:AB219)</f>
        <v>2.3946557558990946</v>
      </c>
      <c r="CG200" s="437">
        <f>SUM(AD216:AD219)</f>
        <v>2.4869504707034178</v>
      </c>
      <c r="CH200" s="437">
        <f>SUM(AF216:AF219)</f>
        <v>2.7470468957201444</v>
      </c>
    </row>
    <row r="201" spans="7:86" x14ac:dyDescent="0.3">
      <c r="M201" s="140">
        <f>(M199+M203)/2</f>
        <v>6.5</v>
      </c>
      <c r="N201" s="130">
        <f t="shared" ref="N201:N231" si="160">N200+15</f>
        <v>390</v>
      </c>
      <c r="O201" s="144">
        <f>(O199+O203)/2</f>
        <v>8.8999999999999996E-2</v>
      </c>
      <c r="P201" s="142">
        <f t="shared" si="148"/>
        <v>4.500000000000004E-3</v>
      </c>
      <c r="Q201" s="112">
        <f t="shared" si="139"/>
        <v>1.9293634311441845</v>
      </c>
      <c r="R201" s="158">
        <f t="shared" si="149"/>
        <v>9.755208359717793E-2</v>
      </c>
      <c r="S201" s="136">
        <f t="shared" si="140"/>
        <v>2.5820792523545655</v>
      </c>
      <c r="T201" s="122">
        <f t="shared" si="150"/>
        <v>0.13055456893927575</v>
      </c>
      <c r="U201" s="112">
        <f t="shared" si="141"/>
        <v>2.9574224489525629</v>
      </c>
      <c r="V201" s="122">
        <f t="shared" si="151"/>
        <v>0.14953259573355693</v>
      </c>
      <c r="W201" s="112">
        <f t="shared" si="142"/>
        <v>3.2855237473397221</v>
      </c>
      <c r="X201" s="122">
        <f t="shared" si="152"/>
        <v>0.16612198722504257</v>
      </c>
      <c r="Y201" s="112">
        <f t="shared" si="143"/>
        <v>3.6749634264116748</v>
      </c>
      <c r="Z201" s="122">
        <f t="shared" si="153"/>
        <v>0.1858127575151971</v>
      </c>
      <c r="AA201" s="112">
        <f t="shared" si="144"/>
        <v>3.9467474495373964</v>
      </c>
      <c r="AB201" s="122">
        <f t="shared" si="154"/>
        <v>0.19955464632492514</v>
      </c>
      <c r="AC201" s="112">
        <f t="shared" si="145"/>
        <v>4.0988628128260052</v>
      </c>
      <c r="AD201" s="122">
        <f t="shared" si="155"/>
        <v>0.20724587255861859</v>
      </c>
      <c r="AE201" s="112">
        <f t="shared" si="146"/>
        <v>4.5275402540572731</v>
      </c>
      <c r="AF201" s="122">
        <f t="shared" si="156"/>
        <v>0.22892057464334492</v>
      </c>
      <c r="BA201" s="573" t="s">
        <v>103</v>
      </c>
      <c r="BB201" s="573"/>
      <c r="BC201" s="103">
        <f>BQ193</f>
        <v>72</v>
      </c>
      <c r="BD201" s="103"/>
      <c r="BL201">
        <f t="shared" si="157"/>
        <v>0.98545830667118928</v>
      </c>
      <c r="BM201">
        <f t="shared" si="158"/>
        <v>0.69897000433601886</v>
      </c>
      <c r="BN201">
        <f t="shared" si="159"/>
        <v>1.954242509439325</v>
      </c>
      <c r="BP201" s="109"/>
      <c r="BQ201" s="109" t="s">
        <v>140</v>
      </c>
      <c r="BR201" s="109" t="s">
        <v>128</v>
      </c>
      <c r="BS201" s="109" t="s">
        <v>141</v>
      </c>
      <c r="BT201" s="109" t="s">
        <v>142</v>
      </c>
      <c r="BU201" s="109" t="s">
        <v>143</v>
      </c>
      <c r="BV201" s="109" t="s">
        <v>144</v>
      </c>
      <c r="BW201" s="109" t="s">
        <v>145</v>
      </c>
      <c r="BX201" s="109" t="s">
        <v>146</v>
      </c>
      <c r="BZ201" s="436">
        <v>12</v>
      </c>
      <c r="CA201" s="437">
        <f>SUM(R220:R223)</f>
        <v>9.2782870621315858</v>
      </c>
      <c r="CB201" s="437">
        <f>SUM(T220:T223)</f>
        <v>12.417190112446676</v>
      </c>
      <c r="CC201" s="437">
        <f>SUM(V220:V223)</f>
        <v>14.222211327547157</v>
      </c>
      <c r="CD201" s="437">
        <f>SUM(X220:X223)</f>
        <v>15.800046784959564</v>
      </c>
      <c r="CE201" s="437">
        <f>SUM(Z220:Z223)</f>
        <v>17.672857825889857</v>
      </c>
      <c r="CF201" s="488">
        <f>SUM(AB220:AB223)</f>
        <v>18.979864139348379</v>
      </c>
      <c r="CG201" s="487">
        <f>SUM(AD220:AD223)</f>
        <v>19.711385212241915</v>
      </c>
      <c r="CH201" s="437">
        <f>SUM(AF220:AF223)</f>
        <v>21.772890210522622</v>
      </c>
    </row>
    <row r="202" spans="7:86" x14ac:dyDescent="0.3">
      <c r="M202" s="140">
        <f>(M201+M203)/2</f>
        <v>6.75</v>
      </c>
      <c r="N202" s="130">
        <f t="shared" si="160"/>
        <v>405</v>
      </c>
      <c r="O202" s="144">
        <f>(O201+O203)/2</f>
        <v>9.35E-2</v>
      </c>
      <c r="P202" s="142">
        <f t="shared" si="148"/>
        <v>4.500000000000004E-3</v>
      </c>
      <c r="Q202" s="112">
        <f t="shared" si="139"/>
        <v>2.0269155147413627</v>
      </c>
      <c r="R202" s="158">
        <f t="shared" si="149"/>
        <v>9.7552083597178152E-2</v>
      </c>
      <c r="S202" s="136">
        <f t="shared" si="140"/>
        <v>2.7126338212938412</v>
      </c>
      <c r="T202" s="122">
        <f t="shared" si="150"/>
        <v>0.13055456893927575</v>
      </c>
      <c r="U202" s="112">
        <f t="shared" si="141"/>
        <v>3.1069550446861194</v>
      </c>
      <c r="V202" s="122">
        <f t="shared" si="151"/>
        <v>0.14953259573355648</v>
      </c>
      <c r="W202" s="112">
        <f t="shared" si="142"/>
        <v>3.4516457345647642</v>
      </c>
      <c r="X202" s="122">
        <f t="shared" si="152"/>
        <v>0.16612198722504212</v>
      </c>
      <c r="Y202" s="112">
        <f t="shared" si="143"/>
        <v>3.8607761839268724</v>
      </c>
      <c r="Z202" s="122">
        <f t="shared" si="153"/>
        <v>0.18581275751519755</v>
      </c>
      <c r="AA202" s="112">
        <f t="shared" si="144"/>
        <v>4.1463020958623211</v>
      </c>
      <c r="AB202" s="122">
        <f t="shared" si="154"/>
        <v>0.1995546463249247</v>
      </c>
      <c r="AC202" s="112">
        <f t="shared" si="145"/>
        <v>4.3061086853846238</v>
      </c>
      <c r="AD202" s="122">
        <f t="shared" si="155"/>
        <v>0.20724587255861859</v>
      </c>
      <c r="AE202" s="112">
        <f t="shared" si="146"/>
        <v>4.7564608287006189</v>
      </c>
      <c r="AF202" s="122">
        <f t="shared" si="156"/>
        <v>0.22892057464334581</v>
      </c>
      <c r="BA202" s="573" t="s">
        <v>104</v>
      </c>
      <c r="BB202" s="573"/>
      <c r="BC202" s="103">
        <f>BQ199</f>
        <v>71</v>
      </c>
      <c r="BD202" s="103"/>
      <c r="BL202">
        <f t="shared" si="157"/>
        <v>0.89152385142642621</v>
      </c>
      <c r="BM202">
        <f t="shared" si="158"/>
        <v>0.69897000433601886</v>
      </c>
      <c r="BN202">
        <f t="shared" si="159"/>
        <v>2.0791812460476247</v>
      </c>
      <c r="BP202" t="s">
        <v>134</v>
      </c>
      <c r="BQ202">
        <v>2.3159403111583385</v>
      </c>
      <c r="BR202">
        <v>1.8136439650492196E-2</v>
      </c>
      <c r="BS202">
        <v>127.69542180212241</v>
      </c>
      <c r="BT202">
        <v>1.0783533337773354E-83</v>
      </c>
      <c r="BU202">
        <v>2.27975910403122</v>
      </c>
      <c r="BV202">
        <v>2.3521215182854571</v>
      </c>
      <c r="BW202">
        <v>3.0970443652152904</v>
      </c>
      <c r="BX202">
        <v>3.1562556635333543</v>
      </c>
      <c r="BZ202" s="436">
        <v>13</v>
      </c>
      <c r="CA202" s="437">
        <f>SUM(R224:R227)</f>
        <v>2.3629282471316415</v>
      </c>
      <c r="CB202" s="437">
        <f>SUM(T224:T227)</f>
        <v>3.1623217809735706</v>
      </c>
      <c r="CC202" s="437">
        <f>SUM(V224:V227)</f>
        <v>3.6220117633239255</v>
      </c>
      <c r="CD202" s="437">
        <f>SUM(X224:X227)</f>
        <v>4.0238436905621313</v>
      </c>
      <c r="CE202" s="437">
        <f>SUM(Z224:Z227)</f>
        <v>4.500797904256995</v>
      </c>
      <c r="CF202" s="486">
        <f>SUM(AB224:AB227)</f>
        <v>4.8336569887592802</v>
      </c>
      <c r="CG202" s="437">
        <f>SUM(AD224:AD227)</f>
        <v>5.0199555797531978</v>
      </c>
      <c r="CH202" s="437">
        <f>SUM(AF224:AF227)</f>
        <v>5.5449650302499194</v>
      </c>
    </row>
    <row r="203" spans="7:86" x14ac:dyDescent="0.3">
      <c r="M203" s="147">
        <v>7</v>
      </c>
      <c r="N203" s="130">
        <f t="shared" si="160"/>
        <v>420</v>
      </c>
      <c r="O203" s="145">
        <f>J232</f>
        <v>9.8000000000000004E-2</v>
      </c>
      <c r="P203" s="142">
        <f t="shared" si="148"/>
        <v>4.500000000000004E-3</v>
      </c>
      <c r="Q203" s="112">
        <f t="shared" si="139"/>
        <v>2.1244675983385406</v>
      </c>
      <c r="R203" s="158">
        <f t="shared" si="149"/>
        <v>9.755208359717793E-2</v>
      </c>
      <c r="S203" s="136">
        <f t="shared" si="140"/>
        <v>2.8431883902331174</v>
      </c>
      <c r="T203" s="122">
        <f t="shared" si="150"/>
        <v>0.13055456893927619</v>
      </c>
      <c r="U203" s="112">
        <f t="shared" si="141"/>
        <v>3.2564876404196759</v>
      </c>
      <c r="V203" s="122">
        <f t="shared" si="151"/>
        <v>0.14953259573355648</v>
      </c>
      <c r="W203" s="112">
        <f t="shared" si="142"/>
        <v>3.6177677217898063</v>
      </c>
      <c r="X203" s="122">
        <f t="shared" si="152"/>
        <v>0.16612198722504212</v>
      </c>
      <c r="Y203" s="112">
        <f t="shared" si="143"/>
        <v>4.046588941442069</v>
      </c>
      <c r="Z203" s="122">
        <f t="shared" si="153"/>
        <v>0.18581275751519666</v>
      </c>
      <c r="AA203" s="112">
        <f t="shared" si="144"/>
        <v>4.3458567421872454</v>
      </c>
      <c r="AB203" s="122">
        <f t="shared" si="154"/>
        <v>0.19955464632492426</v>
      </c>
      <c r="AC203" s="112">
        <f t="shared" si="145"/>
        <v>4.5133545579432424</v>
      </c>
      <c r="AD203" s="122">
        <f t="shared" si="155"/>
        <v>0.20724587255861859</v>
      </c>
      <c r="AE203" s="112">
        <f t="shared" si="146"/>
        <v>4.9853814033439647</v>
      </c>
      <c r="AF203" s="122">
        <f t="shared" si="156"/>
        <v>0.22892057464334581</v>
      </c>
      <c r="BA203" s="573" t="s">
        <v>105</v>
      </c>
      <c r="BB203" s="573"/>
      <c r="BC203" s="110">
        <f>BQ203</f>
        <v>0.14611613330576878</v>
      </c>
      <c r="BD203" s="110">
        <f>BQ204</f>
        <v>-0.74061522123594881</v>
      </c>
      <c r="BF203" s="24" t="s">
        <v>84</v>
      </c>
      <c r="BG203" s="99" t="s">
        <v>114</v>
      </c>
      <c r="BH203" s="24" t="s">
        <v>115</v>
      </c>
      <c r="BL203">
        <f t="shared" si="157"/>
        <v>0.75997527239973883</v>
      </c>
      <c r="BM203">
        <f t="shared" si="158"/>
        <v>0.69897000433601886</v>
      </c>
      <c r="BN203">
        <f t="shared" si="159"/>
        <v>2.255272505103306</v>
      </c>
      <c r="BP203" t="s">
        <v>147</v>
      </c>
      <c r="BQ203">
        <v>0.14611613330576878</v>
      </c>
      <c r="BR203">
        <v>4.6413352828763473E-3</v>
      </c>
      <c r="BS203">
        <v>31.481486339684793</v>
      </c>
      <c r="BT203">
        <v>1.151294231560746E-42</v>
      </c>
      <c r="BU203">
        <v>0.13685692276321917</v>
      </c>
      <c r="BV203">
        <v>0.15537534384831839</v>
      </c>
      <c r="BW203">
        <v>9.12411057091502E-2</v>
      </c>
      <c r="BX203">
        <v>0.10740406332979924</v>
      </c>
      <c r="BZ203" s="436">
        <v>14</v>
      </c>
      <c r="CA203" s="437">
        <f>SUM(R228:R231)</f>
        <v>1.0405555583698956</v>
      </c>
      <c r="CB203" s="437">
        <f>SUM(T228:T231)</f>
        <v>1.3925820686856056</v>
      </c>
      <c r="CC203" s="437">
        <f>SUM(V228:V231)</f>
        <v>1.5950143544912692</v>
      </c>
      <c r="CD203" s="437">
        <f>SUM(X228:X231)</f>
        <v>1.7719678637337779</v>
      </c>
      <c r="CE203" s="437">
        <f>SUM(Z228:Z231)</f>
        <v>1.982002746828762</v>
      </c>
      <c r="CF203" s="486">
        <f>SUM(AB228:AB231)</f>
        <v>2.1285828941325278</v>
      </c>
      <c r="CG203" s="437">
        <f>SUM(AD228:AD231)</f>
        <v>2.2106226406252603</v>
      </c>
      <c r="CH203" s="437">
        <f>SUM(AF228:AF231)</f>
        <v>2.4418194628623482</v>
      </c>
    </row>
    <row r="204" spans="7:86" ht="15" thickBot="1" x14ac:dyDescent="0.35">
      <c r="M204" s="140">
        <f>(M203+M205)/2</f>
        <v>7.25</v>
      </c>
      <c r="N204" s="130">
        <f t="shared" si="160"/>
        <v>435</v>
      </c>
      <c r="O204" s="144">
        <f>(O203+O205)/2</f>
        <v>0.10350000000000001</v>
      </c>
      <c r="P204" s="142">
        <f t="shared" si="148"/>
        <v>5.5000000000000049E-3</v>
      </c>
      <c r="Q204" s="112">
        <f t="shared" si="139"/>
        <v>2.2436979227350915</v>
      </c>
      <c r="R204" s="158">
        <f t="shared" si="149"/>
        <v>0.1192303243965509</v>
      </c>
      <c r="S204" s="136">
        <f t="shared" si="140"/>
        <v>3.0027550856033436</v>
      </c>
      <c r="T204" s="122">
        <f t="shared" si="150"/>
        <v>0.15956669537022616</v>
      </c>
      <c r="U204" s="112">
        <f t="shared" si="141"/>
        <v>3.4392497018718009</v>
      </c>
      <c r="V204" s="122">
        <f t="shared" si="151"/>
        <v>0.18276206145212504</v>
      </c>
      <c r="W204" s="112">
        <f t="shared" si="142"/>
        <v>3.8208057061759693</v>
      </c>
      <c r="X204" s="122">
        <f t="shared" si="152"/>
        <v>0.20303798438616294</v>
      </c>
      <c r="Y204" s="112">
        <f t="shared" si="143"/>
        <v>4.2736934228495329</v>
      </c>
      <c r="Z204" s="122">
        <f t="shared" si="153"/>
        <v>0.22710448140746387</v>
      </c>
      <c r="AA204" s="112">
        <f t="shared" si="144"/>
        <v>4.589756865473265</v>
      </c>
      <c r="AB204" s="122">
        <f t="shared" si="154"/>
        <v>0.24390012328601962</v>
      </c>
      <c r="AC204" s="112">
        <f t="shared" si="145"/>
        <v>4.7666550688482197</v>
      </c>
      <c r="AD204" s="122">
        <f t="shared" si="155"/>
        <v>0.25330051090497729</v>
      </c>
      <c r="AE204" s="112">
        <f t="shared" si="146"/>
        <v>5.2651732167969421</v>
      </c>
      <c r="AF204" s="122">
        <f t="shared" si="156"/>
        <v>0.27979181345297732</v>
      </c>
      <c r="BA204" s="573" t="s">
        <v>106</v>
      </c>
      <c r="BB204" s="573"/>
      <c r="BC204" s="110">
        <f>BR203</f>
        <v>4.6413352828763473E-3</v>
      </c>
      <c r="BD204" s="110">
        <f>BR204</f>
        <v>8.5701364432050203E-3</v>
      </c>
      <c r="BG204" s="99" t="s">
        <v>79</v>
      </c>
      <c r="BH204" s="24" t="s">
        <v>85</v>
      </c>
      <c r="BL204">
        <f t="shared" si="157"/>
        <v>0.66602042822128937</v>
      </c>
      <c r="BM204">
        <f t="shared" si="158"/>
        <v>0.69897000433601886</v>
      </c>
      <c r="BN204">
        <f t="shared" si="159"/>
        <v>2.3802112417116059</v>
      </c>
      <c r="BP204" s="108" t="s">
        <v>148</v>
      </c>
      <c r="BQ204" s="108">
        <v>-0.74061522123594881</v>
      </c>
      <c r="BR204" s="108">
        <v>8.5701364432050203E-3</v>
      </c>
      <c r="BS204" s="108">
        <v>-86.418136530738465</v>
      </c>
      <c r="BT204" s="108">
        <v>4.567094202128276E-72</v>
      </c>
      <c r="BU204" s="108">
        <v>-0.75771217564016413</v>
      </c>
      <c r="BV204" s="108">
        <v>-0.72351826683173348</v>
      </c>
      <c r="BW204" s="108">
        <v>-0.75461260626719551</v>
      </c>
      <c r="BX204" s="108">
        <v>-0.72661783620470122</v>
      </c>
      <c r="BZ204" s="436">
        <v>15</v>
      </c>
      <c r="CA204" s="437">
        <f t="shared" ref="CA204:CA213" si="161">R232</f>
        <v>0.65034722398118916</v>
      </c>
      <c r="CB204" s="437">
        <f t="shared" ref="CB204:CB213" si="162">T232</f>
        <v>0.87036379292850796</v>
      </c>
      <c r="CC204" s="437">
        <f t="shared" ref="CC204:CC213" si="163">V232</f>
        <v>0.99688397155704322</v>
      </c>
      <c r="CD204" s="437">
        <f t="shared" ref="CD204:CD213" si="164">X232</f>
        <v>1.1074799148336183</v>
      </c>
      <c r="CE204" s="437">
        <f t="shared" ref="CE204:CE213" si="165">Z232</f>
        <v>1.238751716767986</v>
      </c>
      <c r="CF204" s="486">
        <f t="shared" ref="CF204:CF213" si="166">AB232</f>
        <v>1.3303643088328343</v>
      </c>
      <c r="CG204" s="437">
        <f t="shared" ref="CG204:CG213" si="167">AD232</f>
        <v>1.3816391503907894</v>
      </c>
      <c r="CH204" s="437">
        <f t="shared" ref="CH204:CH213" si="168">AF232</f>
        <v>1.5261371642889685</v>
      </c>
    </row>
    <row r="205" spans="7:86" x14ac:dyDescent="0.3">
      <c r="M205" s="140">
        <f>(M203+M207)/2</f>
        <v>7.5</v>
      </c>
      <c r="N205" s="130">
        <f t="shared" si="160"/>
        <v>450</v>
      </c>
      <c r="O205" s="144">
        <f>(O203+O207)/2</f>
        <v>0.109</v>
      </c>
      <c r="P205" s="142">
        <f t="shared" si="148"/>
        <v>5.499999999999991E-3</v>
      </c>
      <c r="Q205" s="112">
        <f t="shared" si="139"/>
        <v>2.362928247131642</v>
      </c>
      <c r="R205" s="158">
        <f t="shared" si="149"/>
        <v>0.11923032439655046</v>
      </c>
      <c r="S205" s="136">
        <f t="shared" si="140"/>
        <v>3.1623217809735693</v>
      </c>
      <c r="T205" s="122">
        <f t="shared" si="150"/>
        <v>0.15956669537022572</v>
      </c>
      <c r="U205" s="112">
        <f t="shared" si="141"/>
        <v>3.622011763323925</v>
      </c>
      <c r="V205" s="122">
        <f t="shared" si="151"/>
        <v>0.18276206145212415</v>
      </c>
      <c r="W205" s="112">
        <f t="shared" si="142"/>
        <v>4.0238436905621313</v>
      </c>
      <c r="X205" s="122">
        <f t="shared" si="152"/>
        <v>0.20303798438616205</v>
      </c>
      <c r="Y205" s="112">
        <f t="shared" si="143"/>
        <v>4.500797904256995</v>
      </c>
      <c r="Z205" s="122">
        <f t="shared" si="153"/>
        <v>0.22710448140746209</v>
      </c>
      <c r="AA205" s="112">
        <f t="shared" si="144"/>
        <v>4.8336569887592828</v>
      </c>
      <c r="AB205" s="122">
        <f t="shared" si="154"/>
        <v>0.24390012328601784</v>
      </c>
      <c r="AC205" s="112">
        <f t="shared" si="145"/>
        <v>5.0199555797531978</v>
      </c>
      <c r="AD205" s="122">
        <f t="shared" si="155"/>
        <v>0.25330051090497818</v>
      </c>
      <c r="AE205" s="112">
        <f t="shared" si="146"/>
        <v>5.5449650302499194</v>
      </c>
      <c r="AF205" s="122">
        <f t="shared" si="156"/>
        <v>0.27979181345297732</v>
      </c>
      <c r="BF205" s="24"/>
      <c r="BG205" s="99" t="s">
        <v>86</v>
      </c>
      <c r="BH205" s="24" t="s">
        <v>87</v>
      </c>
      <c r="BL205" s="106">
        <f t="shared" si="157"/>
        <v>0.59162462127880977</v>
      </c>
      <c r="BM205" s="106">
        <f t="shared" si="158"/>
        <v>0.69897000433601886</v>
      </c>
      <c r="BN205" s="106">
        <f t="shared" si="159"/>
        <v>2.4771212547196626</v>
      </c>
      <c r="BZ205" s="436">
        <v>16</v>
      </c>
      <c r="CA205" s="437">
        <f t="shared" si="161"/>
        <v>0.65034722398118561</v>
      </c>
      <c r="CB205" s="437">
        <f t="shared" si="162"/>
        <v>0.87036379292850441</v>
      </c>
      <c r="CC205" s="437">
        <f t="shared" si="163"/>
        <v>0.99688397155704678</v>
      </c>
      <c r="CD205" s="437">
        <f t="shared" si="164"/>
        <v>1.1074799148336112</v>
      </c>
      <c r="CE205" s="437">
        <f t="shared" si="165"/>
        <v>1.2387517167679789</v>
      </c>
      <c r="CF205" s="486">
        <f t="shared" si="166"/>
        <v>1.3303643088328272</v>
      </c>
      <c r="CG205" s="437">
        <f t="shared" si="167"/>
        <v>1.3816391503907894</v>
      </c>
      <c r="CH205" s="437">
        <f t="shared" si="168"/>
        <v>1.5261371642889685</v>
      </c>
    </row>
    <row r="206" spans="7:86" x14ac:dyDescent="0.3">
      <c r="M206" s="140">
        <f>(M205+M207)/2</f>
        <v>7.75</v>
      </c>
      <c r="N206" s="130">
        <f t="shared" si="160"/>
        <v>465</v>
      </c>
      <c r="O206" s="144">
        <f>(O205+O207)/2</f>
        <v>0.11449999999999999</v>
      </c>
      <c r="P206" s="142">
        <f t="shared" si="148"/>
        <v>5.499999999999991E-3</v>
      </c>
      <c r="Q206" s="112">
        <f t="shared" si="139"/>
        <v>2.4821585715281924</v>
      </c>
      <c r="R206" s="158">
        <f t="shared" si="149"/>
        <v>0.11923032439655046</v>
      </c>
      <c r="S206" s="136">
        <f t="shared" si="140"/>
        <v>3.321888476343795</v>
      </c>
      <c r="T206" s="122">
        <f t="shared" si="150"/>
        <v>0.15956669537022572</v>
      </c>
      <c r="U206" s="112">
        <f t="shared" si="141"/>
        <v>3.8047738247760496</v>
      </c>
      <c r="V206" s="122">
        <f t="shared" si="151"/>
        <v>0.18276206145212459</v>
      </c>
      <c r="W206" s="112">
        <f t="shared" si="142"/>
        <v>4.2268816749482934</v>
      </c>
      <c r="X206" s="122">
        <f t="shared" si="152"/>
        <v>0.20303798438616205</v>
      </c>
      <c r="Y206" s="112">
        <f t="shared" si="143"/>
        <v>4.727902385664458</v>
      </c>
      <c r="Z206" s="122">
        <f t="shared" si="153"/>
        <v>0.22710448140746298</v>
      </c>
      <c r="AA206" s="112">
        <f t="shared" si="144"/>
        <v>5.0775571120453016</v>
      </c>
      <c r="AB206" s="122">
        <f t="shared" si="154"/>
        <v>0.24390012328601873</v>
      </c>
      <c r="AC206" s="112">
        <f t="shared" si="145"/>
        <v>5.2732560906581751</v>
      </c>
      <c r="AD206" s="122">
        <f t="shared" si="155"/>
        <v>0.25330051090497729</v>
      </c>
      <c r="AE206" s="112">
        <f t="shared" si="146"/>
        <v>5.8247568437028967</v>
      </c>
      <c r="AF206" s="122">
        <f t="shared" si="156"/>
        <v>0.27979181345297732</v>
      </c>
      <c r="BL206">
        <f>LOG(AA249)</f>
        <v>1.609304776321385</v>
      </c>
      <c r="BM206">
        <f>LOG($AA$248)</f>
        <v>1</v>
      </c>
      <c r="BN206">
        <f>LOG(X249)</f>
        <v>1.1760912590556813</v>
      </c>
      <c r="BZ206" s="436">
        <v>17</v>
      </c>
      <c r="CA206" s="437">
        <f t="shared" si="161"/>
        <v>0.39020833438870994</v>
      </c>
      <c r="CB206" s="437">
        <f t="shared" si="162"/>
        <v>0.52221827575710478</v>
      </c>
      <c r="CC206" s="437">
        <f t="shared" si="163"/>
        <v>0.59813038293422593</v>
      </c>
      <c r="CD206" s="437">
        <f t="shared" si="164"/>
        <v>0.66448794890017382</v>
      </c>
      <c r="CE206" s="437">
        <f t="shared" si="165"/>
        <v>0.74325103006079019</v>
      </c>
      <c r="CF206" s="486">
        <f t="shared" si="166"/>
        <v>0.79821858529970058</v>
      </c>
      <c r="CG206" s="437">
        <f t="shared" si="167"/>
        <v>0.82898349023447082</v>
      </c>
      <c r="CH206" s="437">
        <f t="shared" si="168"/>
        <v>0.91568229857337968</v>
      </c>
    </row>
    <row r="207" spans="7:86" x14ac:dyDescent="0.3">
      <c r="M207" s="147">
        <v>8</v>
      </c>
      <c r="N207" s="130">
        <f t="shared" si="160"/>
        <v>480</v>
      </c>
      <c r="O207" s="145">
        <f>J233</f>
        <v>0.12</v>
      </c>
      <c r="P207" s="142">
        <f t="shared" si="148"/>
        <v>5.5000000000000049E-3</v>
      </c>
      <c r="Q207" s="112">
        <f t="shared" si="139"/>
        <v>2.6013888959247433</v>
      </c>
      <c r="R207" s="158">
        <f t="shared" si="149"/>
        <v>0.1192303243965509</v>
      </c>
      <c r="S207" s="136">
        <f t="shared" si="140"/>
        <v>3.4814551717140207</v>
      </c>
      <c r="T207" s="122">
        <f t="shared" si="150"/>
        <v>0.15956669537022572</v>
      </c>
      <c r="U207" s="112">
        <f t="shared" si="141"/>
        <v>3.9875358862281747</v>
      </c>
      <c r="V207" s="122">
        <f t="shared" si="151"/>
        <v>0.18276206145212504</v>
      </c>
      <c r="W207" s="112">
        <f t="shared" si="142"/>
        <v>4.4299196593344563</v>
      </c>
      <c r="X207" s="122">
        <f t="shared" si="152"/>
        <v>0.20303798438616294</v>
      </c>
      <c r="Y207" s="112">
        <f t="shared" si="143"/>
        <v>4.9550068670719218</v>
      </c>
      <c r="Z207" s="122">
        <f t="shared" si="153"/>
        <v>0.22710448140746387</v>
      </c>
      <c r="AA207" s="112">
        <f t="shared" si="144"/>
        <v>5.3214572353313212</v>
      </c>
      <c r="AB207" s="122">
        <f t="shared" si="154"/>
        <v>0.24390012328601962</v>
      </c>
      <c r="AC207" s="112">
        <f t="shared" si="145"/>
        <v>5.5265566015631533</v>
      </c>
      <c r="AD207" s="122">
        <f t="shared" si="155"/>
        <v>0.25330051090497818</v>
      </c>
      <c r="AE207" s="112">
        <f t="shared" si="146"/>
        <v>6.104548657155874</v>
      </c>
      <c r="AF207" s="122">
        <f t="shared" si="156"/>
        <v>0.27979181345297732</v>
      </c>
      <c r="BA207" s="24" t="s">
        <v>307</v>
      </c>
      <c r="BL207">
        <f t="shared" ref="BL207:BL214" si="169">LOG(AA250)</f>
        <v>1.402336950792634</v>
      </c>
      <c r="BM207">
        <f t="shared" ref="BM207:BM214" si="170">LOG($AA$248)</f>
        <v>1</v>
      </c>
      <c r="BN207">
        <f t="shared" ref="BN207:BN214" si="171">LOG(X250)</f>
        <v>1.4771212547196624</v>
      </c>
      <c r="BZ207" s="436">
        <v>18</v>
      </c>
      <c r="CA207" s="437">
        <f t="shared" si="161"/>
        <v>0.3902083343887135</v>
      </c>
      <c r="CB207" s="437">
        <f t="shared" si="162"/>
        <v>0.52221827575710122</v>
      </c>
      <c r="CC207" s="437">
        <f t="shared" si="163"/>
        <v>0.59813038293422593</v>
      </c>
      <c r="CD207" s="437">
        <f t="shared" si="164"/>
        <v>0.66448794890016671</v>
      </c>
      <c r="CE207" s="437">
        <f t="shared" si="165"/>
        <v>0.74325103006079019</v>
      </c>
      <c r="CF207" s="486">
        <f t="shared" si="166"/>
        <v>0.79821858529970058</v>
      </c>
      <c r="CG207" s="437">
        <f t="shared" si="167"/>
        <v>0.82898349023447082</v>
      </c>
      <c r="CH207" s="437">
        <f t="shared" si="168"/>
        <v>0.91568229857338679</v>
      </c>
    </row>
    <row r="208" spans="7:86" x14ac:dyDescent="0.3">
      <c r="G208" s="70" t="s">
        <v>186</v>
      </c>
      <c r="H208" s="30" t="s">
        <v>190</v>
      </c>
      <c r="M208" s="140">
        <f>(M207+M209)/2</f>
        <v>8.25</v>
      </c>
      <c r="N208" s="130">
        <f t="shared" si="160"/>
        <v>495</v>
      </c>
      <c r="O208" s="144">
        <f>(O207+O209)/2</f>
        <v>0.1265</v>
      </c>
      <c r="P208" s="142">
        <f t="shared" si="148"/>
        <v>6.5000000000000058E-3</v>
      </c>
      <c r="Q208" s="112">
        <f t="shared" si="139"/>
        <v>2.7422974611206672</v>
      </c>
      <c r="R208" s="158">
        <f t="shared" si="149"/>
        <v>0.14090856519592387</v>
      </c>
      <c r="S208" s="136">
        <f t="shared" si="140"/>
        <v>3.6700339935151973</v>
      </c>
      <c r="T208" s="122">
        <f t="shared" si="150"/>
        <v>0.18857882180117658</v>
      </c>
      <c r="U208" s="112">
        <f t="shared" si="141"/>
        <v>4.2035274133988674</v>
      </c>
      <c r="V208" s="122">
        <f t="shared" si="151"/>
        <v>0.2159915271706927</v>
      </c>
      <c r="W208" s="112">
        <f t="shared" si="142"/>
        <v>4.6698736408817396</v>
      </c>
      <c r="X208" s="122">
        <f t="shared" si="152"/>
        <v>0.23995398154728331</v>
      </c>
      <c r="Y208" s="112">
        <f t="shared" si="143"/>
        <v>5.2234030723716511</v>
      </c>
      <c r="Z208" s="122">
        <f t="shared" si="153"/>
        <v>0.2683962052997293</v>
      </c>
      <c r="AA208" s="112">
        <f t="shared" si="144"/>
        <v>5.6097028355784344</v>
      </c>
      <c r="AB208" s="122">
        <f t="shared" si="154"/>
        <v>0.28824560024711321</v>
      </c>
      <c r="AC208" s="112">
        <f t="shared" si="145"/>
        <v>5.8259117508144911</v>
      </c>
      <c r="AD208" s="122">
        <f t="shared" si="155"/>
        <v>0.29935514925133777</v>
      </c>
      <c r="AE208" s="112">
        <f t="shared" si="146"/>
        <v>6.4352117094184846</v>
      </c>
      <c r="AF208" s="122">
        <f t="shared" si="156"/>
        <v>0.33066305226261061</v>
      </c>
      <c r="BA208" s="24" t="s">
        <v>308</v>
      </c>
      <c r="BL208">
        <f t="shared" si="169"/>
        <v>1.2655554257468855</v>
      </c>
      <c r="BM208">
        <f t="shared" si="170"/>
        <v>1</v>
      </c>
      <c r="BN208">
        <f t="shared" si="171"/>
        <v>1.6532125137753437</v>
      </c>
      <c r="BZ208" s="436">
        <v>19</v>
      </c>
      <c r="CA208" s="437">
        <f t="shared" si="161"/>
        <v>0.39020833438870994</v>
      </c>
      <c r="CB208" s="437">
        <f t="shared" si="162"/>
        <v>0.52221827575710478</v>
      </c>
      <c r="CC208" s="437">
        <f t="shared" si="163"/>
        <v>0.59813038293422593</v>
      </c>
      <c r="CD208" s="437">
        <f t="shared" si="164"/>
        <v>0.66448794890016671</v>
      </c>
      <c r="CE208" s="437">
        <f t="shared" si="165"/>
        <v>0.74325103006079019</v>
      </c>
      <c r="CF208" s="486">
        <f t="shared" si="166"/>
        <v>0.79821858529970058</v>
      </c>
      <c r="CG208" s="437">
        <f t="shared" si="167"/>
        <v>0.82898349023447793</v>
      </c>
      <c r="CH208" s="437">
        <f t="shared" si="168"/>
        <v>0.91568229857337968</v>
      </c>
    </row>
    <row r="209" spans="1:86" ht="15" thickBot="1" x14ac:dyDescent="0.35">
      <c r="G209" s="27"/>
      <c r="H209" s="30" t="s">
        <v>191</v>
      </c>
      <c r="M209" s="147">
        <v>8.5</v>
      </c>
      <c r="N209" s="130">
        <f t="shared" si="160"/>
        <v>510</v>
      </c>
      <c r="O209" s="145">
        <f>J234</f>
        <v>0.13300000000000001</v>
      </c>
      <c r="P209" s="142">
        <f t="shared" si="148"/>
        <v>6.5000000000000058E-3</v>
      </c>
      <c r="Q209" s="112">
        <f t="shared" si="139"/>
        <v>2.8832060263165906</v>
      </c>
      <c r="R209" s="158">
        <f t="shared" si="149"/>
        <v>0.14090856519592343</v>
      </c>
      <c r="S209" s="136">
        <f t="shared" si="140"/>
        <v>3.8586128153163735</v>
      </c>
      <c r="T209" s="122">
        <f t="shared" si="150"/>
        <v>0.18857882180117613</v>
      </c>
      <c r="U209" s="112">
        <f t="shared" si="141"/>
        <v>4.4195189405695601</v>
      </c>
      <c r="V209" s="122">
        <f t="shared" si="151"/>
        <v>0.2159915271706927</v>
      </c>
      <c r="W209" s="112">
        <f t="shared" si="142"/>
        <v>4.9098276224290229</v>
      </c>
      <c r="X209" s="122">
        <f t="shared" si="152"/>
        <v>0.23995398154728331</v>
      </c>
      <c r="Y209" s="112">
        <f t="shared" si="143"/>
        <v>5.4917992776713804</v>
      </c>
      <c r="Z209" s="122">
        <f t="shared" si="153"/>
        <v>0.2683962052997293</v>
      </c>
      <c r="AA209" s="112">
        <f t="shared" si="144"/>
        <v>5.8979484358255476</v>
      </c>
      <c r="AB209" s="122">
        <f t="shared" si="154"/>
        <v>0.28824560024711321</v>
      </c>
      <c r="AC209" s="112">
        <f t="shared" si="145"/>
        <v>6.1252669000658289</v>
      </c>
      <c r="AD209" s="122">
        <f t="shared" si="155"/>
        <v>0.29935514925133777</v>
      </c>
      <c r="AE209" s="112">
        <f t="shared" si="146"/>
        <v>6.7658747616810944</v>
      </c>
      <c r="AF209" s="122">
        <f t="shared" si="156"/>
        <v>0.33066305226260972</v>
      </c>
      <c r="BL209">
        <f t="shared" si="169"/>
        <v>1.1766617933232248</v>
      </c>
      <c r="BM209">
        <f t="shared" si="170"/>
        <v>1</v>
      </c>
      <c r="BN209">
        <f t="shared" si="171"/>
        <v>1.7781512503836436</v>
      </c>
      <c r="BZ209" s="436">
        <v>20</v>
      </c>
      <c r="CA209" s="437">
        <f t="shared" si="161"/>
        <v>0.39020833438870994</v>
      </c>
      <c r="CB209" s="437">
        <f t="shared" si="162"/>
        <v>0.52221827575710122</v>
      </c>
      <c r="CC209" s="437">
        <f t="shared" si="163"/>
        <v>0.59813038293422238</v>
      </c>
      <c r="CD209" s="437">
        <f t="shared" si="164"/>
        <v>0.66448794890016671</v>
      </c>
      <c r="CE209" s="437">
        <f t="shared" si="165"/>
        <v>0.74325103006078308</v>
      </c>
      <c r="CF209" s="486">
        <f t="shared" si="166"/>
        <v>0.79821858529969347</v>
      </c>
      <c r="CG209" s="437">
        <f t="shared" si="167"/>
        <v>0.82898349023447082</v>
      </c>
      <c r="CH209" s="437">
        <f t="shared" si="168"/>
        <v>0.91568229857337258</v>
      </c>
    </row>
    <row r="210" spans="1:86" ht="15" thickBot="1" x14ac:dyDescent="0.35">
      <c r="G210" s="27"/>
      <c r="H210" s="27"/>
      <c r="M210" s="140">
        <f>(M209+M211)/2</f>
        <v>8.75</v>
      </c>
      <c r="N210" s="130">
        <f t="shared" si="160"/>
        <v>525</v>
      </c>
      <c r="O210" s="144">
        <f>(O209+O211)/2</f>
        <v>0.14000000000000001</v>
      </c>
      <c r="P210" s="142">
        <f t="shared" si="148"/>
        <v>7.0000000000000062E-3</v>
      </c>
      <c r="Q210" s="112">
        <f t="shared" si="139"/>
        <v>3.034953711912201</v>
      </c>
      <c r="R210" s="158">
        <f t="shared" si="149"/>
        <v>0.15174768559561036</v>
      </c>
      <c r="S210" s="136">
        <f t="shared" si="140"/>
        <v>4.061697700333025</v>
      </c>
      <c r="T210" s="122">
        <f t="shared" si="150"/>
        <v>0.20308488501665156</v>
      </c>
      <c r="U210" s="112">
        <f t="shared" si="141"/>
        <v>4.6521252005995377</v>
      </c>
      <c r="V210" s="122">
        <f t="shared" si="151"/>
        <v>0.23260626002997764</v>
      </c>
      <c r="W210" s="112">
        <f t="shared" si="142"/>
        <v>5.1682396025568664</v>
      </c>
      <c r="X210" s="122">
        <f t="shared" si="152"/>
        <v>0.2584119801278435</v>
      </c>
      <c r="Y210" s="112">
        <f t="shared" si="143"/>
        <v>5.780841344917242</v>
      </c>
      <c r="Z210" s="122">
        <f t="shared" si="153"/>
        <v>0.28904206724586157</v>
      </c>
      <c r="AA210" s="112">
        <f t="shared" si="144"/>
        <v>6.2083667745532081</v>
      </c>
      <c r="AB210" s="122">
        <f t="shared" si="154"/>
        <v>0.31041833872766045</v>
      </c>
      <c r="AC210" s="112">
        <f t="shared" si="145"/>
        <v>6.447649368490346</v>
      </c>
      <c r="AD210" s="122">
        <f t="shared" si="155"/>
        <v>0.32238246842451712</v>
      </c>
      <c r="AE210" s="112">
        <f t="shared" si="146"/>
        <v>7.1219734333485212</v>
      </c>
      <c r="AF210" s="122">
        <f t="shared" si="156"/>
        <v>0.35609867166742681</v>
      </c>
      <c r="BA210" s="576" t="s">
        <v>149</v>
      </c>
      <c r="BB210" s="577"/>
      <c r="BC210" s="577"/>
      <c r="BD210" s="577"/>
      <c r="BE210" s="577"/>
      <c r="BF210" s="577"/>
      <c r="BG210" s="577"/>
      <c r="BH210" s="577"/>
      <c r="BI210" s="577"/>
      <c r="BJ210" s="578"/>
      <c r="BL210">
        <f t="shared" si="169"/>
        <v>1.0444021037921802</v>
      </c>
      <c r="BM210">
        <f t="shared" si="170"/>
        <v>1</v>
      </c>
      <c r="BN210">
        <f t="shared" si="171"/>
        <v>1.954242509439325</v>
      </c>
      <c r="BZ210" s="436">
        <v>21</v>
      </c>
      <c r="CA210" s="437">
        <f t="shared" si="161"/>
        <v>0.26013888959247566</v>
      </c>
      <c r="CB210" s="437">
        <f t="shared" si="162"/>
        <v>0.34814551717140318</v>
      </c>
      <c r="CC210" s="437">
        <f t="shared" si="163"/>
        <v>0.39875358862282084</v>
      </c>
      <c r="CD210" s="437">
        <f t="shared" si="164"/>
        <v>0.44299196593344448</v>
      </c>
      <c r="CE210" s="437">
        <f t="shared" si="165"/>
        <v>0.49550068670718872</v>
      </c>
      <c r="CF210" s="486">
        <f t="shared" si="166"/>
        <v>0.53214572353312661</v>
      </c>
      <c r="CG210" s="437">
        <f t="shared" si="167"/>
        <v>0.55265566015631151</v>
      </c>
      <c r="CH210" s="437">
        <f t="shared" si="168"/>
        <v>0.61045486571558882</v>
      </c>
    </row>
    <row r="211" spans="1:86" ht="15" thickBot="1" x14ac:dyDescent="0.35">
      <c r="G211" s="70" t="s">
        <v>187</v>
      </c>
      <c r="H211" s="30" t="s">
        <v>192</v>
      </c>
      <c r="M211" s="147">
        <v>9</v>
      </c>
      <c r="N211" s="130">
        <f t="shared" si="160"/>
        <v>540</v>
      </c>
      <c r="O211" s="145">
        <f>J235</f>
        <v>0.14699999999999999</v>
      </c>
      <c r="P211" s="142">
        <f t="shared" si="148"/>
        <v>6.9999999999999785E-3</v>
      </c>
      <c r="Q211" s="112">
        <f t="shared" si="139"/>
        <v>3.1867013975078105</v>
      </c>
      <c r="R211" s="158">
        <f t="shared" si="149"/>
        <v>0.15174768559560947</v>
      </c>
      <c r="S211" s="136">
        <f t="shared" si="140"/>
        <v>4.2647825853496757</v>
      </c>
      <c r="T211" s="122">
        <f t="shared" si="150"/>
        <v>0.20308488501665067</v>
      </c>
      <c r="U211" s="112">
        <f t="shared" si="141"/>
        <v>4.8847314606295136</v>
      </c>
      <c r="V211" s="122">
        <f t="shared" si="151"/>
        <v>0.23260626002997586</v>
      </c>
      <c r="W211" s="112">
        <f t="shared" si="142"/>
        <v>5.426651582684709</v>
      </c>
      <c r="X211" s="122">
        <f t="shared" si="152"/>
        <v>0.25841198012784261</v>
      </c>
      <c r="Y211" s="112">
        <f t="shared" si="143"/>
        <v>6.0698834121631036</v>
      </c>
      <c r="Z211" s="122">
        <f t="shared" si="153"/>
        <v>0.28904206724586157</v>
      </c>
      <c r="AA211" s="112">
        <f t="shared" si="144"/>
        <v>6.5187851132808676</v>
      </c>
      <c r="AB211" s="122">
        <f t="shared" si="154"/>
        <v>0.31041833872765956</v>
      </c>
      <c r="AC211" s="112">
        <f t="shared" si="145"/>
        <v>6.7700318369148622</v>
      </c>
      <c r="AD211" s="122">
        <f t="shared" si="155"/>
        <v>0.32238246842451623</v>
      </c>
      <c r="AE211" s="112">
        <f t="shared" si="146"/>
        <v>7.4780721050159462</v>
      </c>
      <c r="AF211" s="122">
        <f t="shared" si="156"/>
        <v>0.35609867166742504</v>
      </c>
      <c r="BA211" s="574" t="s">
        <v>150</v>
      </c>
      <c r="BB211" s="574" t="s">
        <v>208</v>
      </c>
      <c r="BC211" s="576" t="s">
        <v>151</v>
      </c>
      <c r="BD211" s="577"/>
      <c r="BE211" s="577"/>
      <c r="BF211" s="577"/>
      <c r="BG211" s="577"/>
      <c r="BH211" s="577"/>
      <c r="BI211" s="577"/>
      <c r="BJ211" s="578"/>
      <c r="BL211">
        <f t="shared" si="169"/>
        <v>0.95046764854741717</v>
      </c>
      <c r="BM211">
        <f t="shared" si="170"/>
        <v>1</v>
      </c>
      <c r="BN211">
        <f t="shared" si="171"/>
        <v>2.0791812460476247</v>
      </c>
      <c r="BZ211" s="436">
        <v>22</v>
      </c>
      <c r="CA211" s="437">
        <f t="shared" si="161"/>
        <v>0.26013888959247566</v>
      </c>
      <c r="CB211" s="437">
        <f t="shared" si="162"/>
        <v>0.34814551717139963</v>
      </c>
      <c r="CC211" s="437">
        <f t="shared" si="163"/>
        <v>0.39875358862281729</v>
      </c>
      <c r="CD211" s="437">
        <f t="shared" si="164"/>
        <v>0.44299196593345158</v>
      </c>
      <c r="CE211" s="437">
        <f t="shared" si="165"/>
        <v>0.49550068670719583</v>
      </c>
      <c r="CF211" s="486">
        <f t="shared" si="166"/>
        <v>0.53214572353313372</v>
      </c>
      <c r="CG211" s="437">
        <f t="shared" si="167"/>
        <v>0.55265566015631862</v>
      </c>
      <c r="CH211" s="437">
        <f t="shared" si="168"/>
        <v>0.61045486571558882</v>
      </c>
    </row>
    <row r="212" spans="1:86" ht="15" thickBot="1" x14ac:dyDescent="0.35">
      <c r="G212" s="27"/>
      <c r="H212" s="30" t="s">
        <v>193</v>
      </c>
      <c r="M212" s="140">
        <f>(M211+M213)/2</f>
        <v>9.25</v>
      </c>
      <c r="N212" s="130">
        <f t="shared" si="160"/>
        <v>555</v>
      </c>
      <c r="O212" s="144">
        <f>(O211+O213)/2</f>
        <v>0.155</v>
      </c>
      <c r="P212" s="142">
        <f t="shared" si="148"/>
        <v>8.0000000000000071E-3</v>
      </c>
      <c r="Q212" s="112">
        <f t="shared" si="139"/>
        <v>3.3601273239027938</v>
      </c>
      <c r="R212" s="158">
        <f t="shared" si="149"/>
        <v>0.17342592639498333</v>
      </c>
      <c r="S212" s="136">
        <f t="shared" si="140"/>
        <v>4.4968795967972772</v>
      </c>
      <c r="T212" s="122">
        <f t="shared" si="150"/>
        <v>0.23209701144760153</v>
      </c>
      <c r="U212" s="112">
        <f t="shared" si="141"/>
        <v>5.1505671863780584</v>
      </c>
      <c r="V212" s="122">
        <f t="shared" si="151"/>
        <v>0.26583572574854486</v>
      </c>
      <c r="W212" s="112">
        <f t="shared" si="142"/>
        <v>5.7219795599736729</v>
      </c>
      <c r="X212" s="122">
        <f t="shared" si="152"/>
        <v>0.29532797728896387</v>
      </c>
      <c r="Y212" s="112">
        <f t="shared" si="143"/>
        <v>6.4002172033012323</v>
      </c>
      <c r="Z212" s="122">
        <f t="shared" si="153"/>
        <v>0.33033379113812877</v>
      </c>
      <c r="AA212" s="112">
        <f t="shared" si="144"/>
        <v>6.8735489289696226</v>
      </c>
      <c r="AB212" s="122">
        <f t="shared" si="154"/>
        <v>0.35476381568875492</v>
      </c>
      <c r="AC212" s="112">
        <f t="shared" si="145"/>
        <v>7.1384689436857398</v>
      </c>
      <c r="AD212" s="122">
        <f t="shared" si="155"/>
        <v>0.3684371067708776</v>
      </c>
      <c r="AE212" s="112">
        <f t="shared" si="146"/>
        <v>7.8850420154930045</v>
      </c>
      <c r="AF212" s="122">
        <f t="shared" si="156"/>
        <v>0.40696991047705833</v>
      </c>
      <c r="BA212" s="575"/>
      <c r="BB212" s="575"/>
      <c r="BC212" s="94">
        <v>2</v>
      </c>
      <c r="BD212" s="94">
        <v>5</v>
      </c>
      <c r="BE212" s="94">
        <v>10</v>
      </c>
      <c r="BF212" s="94">
        <v>20</v>
      </c>
      <c r="BG212" s="94">
        <v>50</v>
      </c>
      <c r="BH212" s="94">
        <v>100</v>
      </c>
      <c r="BI212" s="94">
        <v>150</v>
      </c>
      <c r="BJ212" s="94">
        <v>500</v>
      </c>
      <c r="BL212">
        <f t="shared" si="169"/>
        <v>0.81891906952072979</v>
      </c>
      <c r="BM212">
        <f t="shared" si="170"/>
        <v>1</v>
      </c>
      <c r="BN212">
        <f t="shared" si="171"/>
        <v>2.255272505103306</v>
      </c>
      <c r="BQ212" s="455" t="s">
        <v>894</v>
      </c>
      <c r="BZ212" s="436">
        <v>23</v>
      </c>
      <c r="CA212" s="437">
        <f t="shared" si="161"/>
        <v>0.26013888959247211</v>
      </c>
      <c r="CB212" s="437">
        <f t="shared" si="162"/>
        <v>0.34814551717140318</v>
      </c>
      <c r="CC212" s="437">
        <f t="shared" si="163"/>
        <v>0.39875358862281729</v>
      </c>
      <c r="CD212" s="437">
        <f t="shared" si="164"/>
        <v>0.44299196593344448</v>
      </c>
      <c r="CE212" s="437">
        <f t="shared" si="165"/>
        <v>0.49550068670718872</v>
      </c>
      <c r="CF212" s="486">
        <f t="shared" si="166"/>
        <v>0.53214572353313372</v>
      </c>
      <c r="CG212" s="437">
        <f t="shared" si="167"/>
        <v>0.55265566015631151</v>
      </c>
      <c r="CH212" s="437">
        <f t="shared" si="168"/>
        <v>0.61045486571558882</v>
      </c>
    </row>
    <row r="213" spans="1:86" x14ac:dyDescent="0.3">
      <c r="G213" s="27"/>
      <c r="H213" s="30" t="s">
        <v>194</v>
      </c>
      <c r="M213" s="147">
        <v>9.5</v>
      </c>
      <c r="N213" s="130">
        <f t="shared" si="160"/>
        <v>570</v>
      </c>
      <c r="O213" s="145">
        <f>J236</f>
        <v>0.16300000000000001</v>
      </c>
      <c r="P213" s="142">
        <f t="shared" si="148"/>
        <v>8.0000000000000071E-3</v>
      </c>
      <c r="Q213" s="112">
        <f t="shared" si="139"/>
        <v>3.5335532502977767</v>
      </c>
      <c r="R213" s="158">
        <f t="shared" si="149"/>
        <v>0.17342592639498289</v>
      </c>
      <c r="S213" s="136">
        <f t="shared" si="140"/>
        <v>4.7289766082448788</v>
      </c>
      <c r="T213" s="122">
        <f t="shared" si="150"/>
        <v>0.23209701144760153</v>
      </c>
      <c r="U213" s="112">
        <f t="shared" si="141"/>
        <v>5.4164029121266042</v>
      </c>
      <c r="V213" s="122">
        <f t="shared" si="151"/>
        <v>0.26583572574854575</v>
      </c>
      <c r="W213" s="112">
        <f t="shared" si="142"/>
        <v>6.0173075372626377</v>
      </c>
      <c r="X213" s="122">
        <f t="shared" si="152"/>
        <v>0.29532797728896476</v>
      </c>
      <c r="Y213" s="112">
        <f t="shared" si="143"/>
        <v>6.7305509944393602</v>
      </c>
      <c r="Z213" s="122">
        <f t="shared" si="153"/>
        <v>0.33033379113812789</v>
      </c>
      <c r="AA213" s="112">
        <f t="shared" si="144"/>
        <v>7.2283127446583784</v>
      </c>
      <c r="AB213" s="122">
        <f t="shared" si="154"/>
        <v>0.35476381568875581</v>
      </c>
      <c r="AC213" s="112">
        <f t="shared" si="145"/>
        <v>7.5069060504566165</v>
      </c>
      <c r="AD213" s="122">
        <f t="shared" si="155"/>
        <v>0.36843710677087671</v>
      </c>
      <c r="AE213" s="112">
        <f t="shared" si="146"/>
        <v>8.2920119259700638</v>
      </c>
      <c r="AF213" s="122">
        <f t="shared" si="156"/>
        <v>0.40696991047705922</v>
      </c>
      <c r="BA213" s="160">
        <v>5</v>
      </c>
      <c r="BB213" s="161">
        <f t="shared" ref="BB213:BB222" si="172">BA213/60</f>
        <v>8.3333333333333329E-2</v>
      </c>
      <c r="BC213" s="111">
        <f>$BI$198*($BC$212^$BI$199)/(BA213^$BI$200)</f>
        <v>69.545154954285351</v>
      </c>
      <c r="BD213" s="59">
        <f>$BI$198*($BD$212^$BI$199)/(BA213^$BI$200)</f>
        <v>79.508275604545801</v>
      </c>
      <c r="BE213" s="59">
        <f>$BI$198*($BE$212^$BI$199)/(BA213^$BI$200)</f>
        <v>87.982778611697626</v>
      </c>
      <c r="BF213" s="59">
        <f>$BI$198*($BF$212^$BI$199)/(BA213^$BI$200)</f>
        <v>97.360548614293123</v>
      </c>
      <c r="BG213" s="59">
        <f>$BI$198*($BG$212^$BI$199)/(BA213^$BI$200)</f>
        <v>111.30853525775342</v>
      </c>
      <c r="BH213" s="59">
        <f>$BI$198*($BH$212^$BI$199)/(BA213^$BI$200)</f>
        <v>123.17251431642597</v>
      </c>
      <c r="BI213" s="59">
        <f>$BI$198*($BI$212^$BI$199)/(BA213^$BI$200)</f>
        <v>130.69036793293856</v>
      </c>
      <c r="BJ213" s="452">
        <f>$BI$198*($BJ$212^$BI$199)/(BA213^$BI$200)</f>
        <v>155.82767865384537</v>
      </c>
      <c r="BL213">
        <f t="shared" si="169"/>
        <v>0.72496422534228044</v>
      </c>
      <c r="BM213">
        <f t="shared" si="170"/>
        <v>1</v>
      </c>
      <c r="BN213">
        <f t="shared" si="171"/>
        <v>2.3802112417116059</v>
      </c>
      <c r="BZ213" s="436">
        <v>24</v>
      </c>
      <c r="CA213" s="437">
        <f t="shared" si="161"/>
        <v>0.26013888959247566</v>
      </c>
      <c r="CB213" s="437">
        <f t="shared" si="162"/>
        <v>0.34814551717140318</v>
      </c>
      <c r="CC213" s="437">
        <f t="shared" si="163"/>
        <v>0.39875358862281729</v>
      </c>
      <c r="CD213" s="437">
        <f t="shared" si="164"/>
        <v>0.44299196593344448</v>
      </c>
      <c r="CE213" s="437">
        <f t="shared" si="165"/>
        <v>0.49550068670719583</v>
      </c>
      <c r="CF213" s="486">
        <f t="shared" si="166"/>
        <v>0.53214572353313372</v>
      </c>
      <c r="CG213" s="437">
        <f t="shared" si="167"/>
        <v>0.55265566015631862</v>
      </c>
      <c r="CH213" s="437">
        <f t="shared" si="168"/>
        <v>0.61045486571558882</v>
      </c>
    </row>
    <row r="214" spans="1:86" x14ac:dyDescent="0.3">
      <c r="G214" s="27"/>
      <c r="H214" s="27"/>
      <c r="M214" s="147">
        <v>9.75</v>
      </c>
      <c r="N214" s="130">
        <f t="shared" si="160"/>
        <v>585</v>
      </c>
      <c r="O214" s="145">
        <f>J237</f>
        <v>0.17199999999999999</v>
      </c>
      <c r="P214" s="142">
        <f t="shared" si="148"/>
        <v>8.9999999999999802E-3</v>
      </c>
      <c r="Q214" s="112">
        <f t="shared" si="139"/>
        <v>3.7286574174921321</v>
      </c>
      <c r="R214" s="158">
        <f t="shared" si="149"/>
        <v>0.19510416719435542</v>
      </c>
      <c r="S214" s="136">
        <f t="shared" si="140"/>
        <v>4.9900857461234294</v>
      </c>
      <c r="T214" s="122">
        <f t="shared" si="150"/>
        <v>0.26110913787855061</v>
      </c>
      <c r="U214" s="112">
        <f t="shared" si="141"/>
        <v>5.7154681035937163</v>
      </c>
      <c r="V214" s="122">
        <f t="shared" si="151"/>
        <v>0.29906519146711208</v>
      </c>
      <c r="W214" s="112">
        <f t="shared" si="142"/>
        <v>6.349551511712721</v>
      </c>
      <c r="X214" s="122">
        <f t="shared" si="152"/>
        <v>0.33224397445008336</v>
      </c>
      <c r="Y214" s="112">
        <f t="shared" si="143"/>
        <v>7.1021765094697535</v>
      </c>
      <c r="Z214" s="122">
        <f t="shared" si="153"/>
        <v>0.37162551503039332</v>
      </c>
      <c r="AA214" s="112">
        <f t="shared" si="144"/>
        <v>7.627422037308226</v>
      </c>
      <c r="AB214" s="122">
        <f t="shared" si="154"/>
        <v>0.39910929264984762</v>
      </c>
      <c r="AC214" s="112">
        <f t="shared" si="145"/>
        <v>7.9213977955738519</v>
      </c>
      <c r="AD214" s="122">
        <f t="shared" si="155"/>
        <v>0.41449174511723541</v>
      </c>
      <c r="AE214" s="112">
        <f t="shared" si="146"/>
        <v>8.7498530752567536</v>
      </c>
      <c r="AF214" s="122">
        <f t="shared" si="156"/>
        <v>0.45784114928668984</v>
      </c>
      <c r="BA214" s="120">
        <v>10</v>
      </c>
      <c r="BB214" s="162">
        <f t="shared" si="172"/>
        <v>0.16666666666666666</v>
      </c>
      <c r="BC214" s="97">
        <f t="shared" ref="BC214:BC222" si="173">$BI$198*($BC$212^$BI$199)/(BA214^$BI$200)</f>
        <v>41.621668151668828</v>
      </c>
      <c r="BD214" s="115">
        <f t="shared" ref="BD214:BD222" si="174">$BI$198*($BD$212^$BI$199)/(BA214^$BI$200)</f>
        <v>47.584437258053953</v>
      </c>
      <c r="BE214" s="115">
        <f t="shared" ref="BE214:BE222" si="175">$BI$198*($BE$212^$BI$199)/(BA214^$BI$200)</f>
        <v>52.656292402324617</v>
      </c>
      <c r="BF214" s="115">
        <f t="shared" ref="BF214:BF222" si="176">$BI$198*($BF$212^$BI$199)/(BA214^$BI$200)</f>
        <v>58.268738464272069</v>
      </c>
      <c r="BG214" s="115">
        <f t="shared" ref="BG214:BG222" si="177">$BI$198*($BG$212^$BI$199)/(BA214^$BI$200)</f>
        <v>66.616386432554307</v>
      </c>
      <c r="BH214" s="115">
        <f t="shared" ref="BH214:BH222" si="178">$BI$198*($BH$212^$BI$199)/(BA214^$BI$200)</f>
        <v>73.716789036632335</v>
      </c>
      <c r="BI214" s="115">
        <f t="shared" ref="BI214:BI222" si="179">$BI$198*($BI$212^$BI$199)/(BA214^$BI$200)</f>
        <v>78.216104749495358</v>
      </c>
      <c r="BJ214" s="453">
        <f t="shared" ref="BJ214:BJ222" si="180">$BI$198*($BJ$212^$BI$199)/(BA214^$BI$200)</f>
        <v>93.260385055416222</v>
      </c>
      <c r="BL214" s="106">
        <f t="shared" si="169"/>
        <v>0.65056841839980073</v>
      </c>
      <c r="BM214" s="106">
        <f t="shared" si="170"/>
        <v>1</v>
      </c>
      <c r="BN214" s="106">
        <f t="shared" si="171"/>
        <v>2.4771212547196626</v>
      </c>
    </row>
    <row r="215" spans="1:86" x14ac:dyDescent="0.3">
      <c r="G215" s="70" t="s">
        <v>188</v>
      </c>
      <c r="H215" s="30" t="s">
        <v>189</v>
      </c>
      <c r="M215" s="147">
        <v>10</v>
      </c>
      <c r="N215" s="130">
        <f t="shared" si="160"/>
        <v>600</v>
      </c>
      <c r="O215" s="145">
        <f>J238</f>
        <v>0.18099999999999999</v>
      </c>
      <c r="P215" s="142">
        <f t="shared" si="148"/>
        <v>9.000000000000008E-3</v>
      </c>
      <c r="Q215" s="112">
        <f t="shared" si="139"/>
        <v>3.9237615846864879</v>
      </c>
      <c r="R215" s="158">
        <f t="shared" si="149"/>
        <v>0.19510416719435586</v>
      </c>
      <c r="S215" s="136">
        <f t="shared" si="140"/>
        <v>5.2511948840019818</v>
      </c>
      <c r="T215" s="122">
        <f t="shared" si="150"/>
        <v>0.26110913787855239</v>
      </c>
      <c r="U215" s="112">
        <f t="shared" si="141"/>
        <v>6.0145332950608301</v>
      </c>
      <c r="V215" s="122">
        <f t="shared" si="151"/>
        <v>0.29906519146711386</v>
      </c>
      <c r="W215" s="112">
        <f t="shared" si="142"/>
        <v>6.6817954861628053</v>
      </c>
      <c r="X215" s="122">
        <f t="shared" si="152"/>
        <v>0.33224397445008425</v>
      </c>
      <c r="Y215" s="112">
        <f t="shared" si="143"/>
        <v>7.4738020245001477</v>
      </c>
      <c r="Z215" s="122">
        <f t="shared" si="153"/>
        <v>0.3716255150303942</v>
      </c>
      <c r="AA215" s="112">
        <f t="shared" si="144"/>
        <v>8.0265313299580754</v>
      </c>
      <c r="AB215" s="122">
        <f t="shared" si="154"/>
        <v>0.3991092926498494</v>
      </c>
      <c r="AC215" s="112">
        <f t="shared" si="145"/>
        <v>8.33588954069109</v>
      </c>
      <c r="AD215" s="122">
        <f t="shared" si="155"/>
        <v>0.41449174511723808</v>
      </c>
      <c r="AE215" s="112">
        <f t="shared" si="146"/>
        <v>9.2076942245434434</v>
      </c>
      <c r="AF215" s="122">
        <f t="shared" si="156"/>
        <v>0.45784114928668984</v>
      </c>
      <c r="BA215" s="120">
        <v>15</v>
      </c>
      <c r="BB215" s="162">
        <f t="shared" si="172"/>
        <v>0.25</v>
      </c>
      <c r="BC215" s="97">
        <f t="shared" si="173"/>
        <v>30.825037634177217</v>
      </c>
      <c r="BD215" s="115">
        <f t="shared" si="174"/>
        <v>35.241068761004151</v>
      </c>
      <c r="BE215" s="115">
        <f t="shared" si="175"/>
        <v>38.997288361034045</v>
      </c>
      <c r="BF215" s="115">
        <f t="shared" si="176"/>
        <v>43.153869986952934</v>
      </c>
      <c r="BG215" s="115">
        <f t="shared" si="177"/>
        <v>49.336144129390107</v>
      </c>
      <c r="BH215" s="115">
        <f t="shared" si="178"/>
        <v>54.594707450085352</v>
      </c>
      <c r="BI215" s="115">
        <f t="shared" si="179"/>
        <v>57.926903931775065</v>
      </c>
      <c r="BJ215" s="453">
        <f t="shared" si="180"/>
        <v>69.068708842603186</v>
      </c>
      <c r="BL215">
        <f>LOG(AB249)</f>
        <v>1.654996021726723</v>
      </c>
      <c r="BM215">
        <f>LOG($AB$248)</f>
        <v>1.3010299956639813</v>
      </c>
      <c r="BN215">
        <f>LOG(X249)</f>
        <v>1.1760912590556813</v>
      </c>
      <c r="CA215" s="153" t="s">
        <v>151</v>
      </c>
      <c r="CB215" s="153" t="s">
        <v>151</v>
      </c>
      <c r="CC215" s="153" t="s">
        <v>151</v>
      </c>
      <c r="CD215" s="153" t="s">
        <v>151</v>
      </c>
      <c r="CE215" s="153" t="s">
        <v>151</v>
      </c>
      <c r="CF215" s="153" t="s">
        <v>151</v>
      </c>
      <c r="CG215" s="153" t="s">
        <v>151</v>
      </c>
      <c r="CH215" s="153" t="s">
        <v>151</v>
      </c>
    </row>
    <row r="216" spans="1:86" x14ac:dyDescent="0.3">
      <c r="M216" s="140">
        <f>(M215+M217)/2</f>
        <v>10.25</v>
      </c>
      <c r="N216" s="130">
        <f t="shared" si="160"/>
        <v>615</v>
      </c>
      <c r="O216" s="144">
        <f>(O215+O217)/2</f>
        <v>0.1925</v>
      </c>
      <c r="P216" s="142">
        <f t="shared" si="148"/>
        <v>1.150000000000001E-2</v>
      </c>
      <c r="Q216" s="112">
        <f t="shared" si="139"/>
        <v>4.1730613538792758</v>
      </c>
      <c r="R216" s="158">
        <f t="shared" si="149"/>
        <v>0.24929976919278785</v>
      </c>
      <c r="S216" s="136">
        <f t="shared" si="140"/>
        <v>5.5848343379579086</v>
      </c>
      <c r="T216" s="122">
        <f t="shared" si="150"/>
        <v>0.33363945395592687</v>
      </c>
      <c r="U216" s="112">
        <f t="shared" si="141"/>
        <v>6.3966721508243634</v>
      </c>
      <c r="V216" s="122">
        <f t="shared" si="151"/>
        <v>0.38213885576353324</v>
      </c>
      <c r="W216" s="112">
        <f t="shared" si="142"/>
        <v>7.1063294535156913</v>
      </c>
      <c r="X216" s="122">
        <f t="shared" si="152"/>
        <v>0.42453396735288607</v>
      </c>
      <c r="Y216" s="112">
        <f t="shared" si="143"/>
        <v>7.9486568492612077</v>
      </c>
      <c r="Z216" s="122">
        <f t="shared" si="153"/>
        <v>0.47485482476106</v>
      </c>
      <c r="AA216" s="112">
        <f t="shared" si="144"/>
        <v>8.5365043150106601</v>
      </c>
      <c r="AB216" s="122">
        <f t="shared" si="154"/>
        <v>0.5099729850525847</v>
      </c>
      <c r="AC216" s="112">
        <f t="shared" si="145"/>
        <v>8.8655178816742257</v>
      </c>
      <c r="AD216" s="122">
        <f t="shared" si="155"/>
        <v>0.52962834098313571</v>
      </c>
      <c r="AE216" s="112">
        <f t="shared" si="146"/>
        <v>9.7927134708542152</v>
      </c>
      <c r="AF216" s="122">
        <f t="shared" si="156"/>
        <v>0.58501924631077173</v>
      </c>
      <c r="BA216" s="120">
        <v>20</v>
      </c>
      <c r="BB216" s="162">
        <f t="shared" si="172"/>
        <v>0.33333333333333331</v>
      </c>
      <c r="BC216" s="97">
        <f t="shared" si="173"/>
        <v>24.909905813947653</v>
      </c>
      <c r="BD216" s="115">
        <f t="shared" si="174"/>
        <v>28.478528202870692</v>
      </c>
      <c r="BE216" s="115">
        <f t="shared" si="175"/>
        <v>31.513952767916685</v>
      </c>
      <c r="BF216" s="115">
        <f t="shared" si="176"/>
        <v>34.872912391532033</v>
      </c>
      <c r="BG216" s="115">
        <f t="shared" si="177"/>
        <v>39.868846814443067</v>
      </c>
      <c r="BH216" s="115">
        <f t="shared" si="178"/>
        <v>44.118324741761569</v>
      </c>
      <c r="BI216" s="115">
        <f t="shared" si="179"/>
        <v>46.811093571358299</v>
      </c>
      <c r="BJ216" s="453">
        <f t="shared" si="180"/>
        <v>55.814855844737792</v>
      </c>
      <c r="BL216">
        <f t="shared" ref="BL216:BL223" si="181">LOG(AB250)</f>
        <v>1.448028196197972</v>
      </c>
      <c r="BM216">
        <f t="shared" ref="BM216:BM223" si="182">LOG($AB$248)</f>
        <v>1.3010299956639813</v>
      </c>
      <c r="BN216">
        <f t="shared" ref="BN216:BN223" si="183">LOG(X250)</f>
        <v>1.4771212547196624</v>
      </c>
      <c r="BZ216" s="159"/>
      <c r="CA216" s="154">
        <f>R190</f>
        <v>2</v>
      </c>
      <c r="CB216" s="154">
        <f>T190</f>
        <v>5</v>
      </c>
      <c r="CC216" s="154">
        <f>V190</f>
        <v>10</v>
      </c>
      <c r="CD216" s="154">
        <f>X190</f>
        <v>20</v>
      </c>
      <c r="CE216" s="154">
        <f>Z190</f>
        <v>50</v>
      </c>
      <c r="CF216" s="154">
        <f>AB190</f>
        <v>100</v>
      </c>
      <c r="CG216" s="154">
        <f>AD190</f>
        <v>150</v>
      </c>
      <c r="CH216" s="154">
        <f>AF190</f>
        <v>500</v>
      </c>
    </row>
    <row r="217" spans="1:86" ht="15" customHeight="1" x14ac:dyDescent="0.3">
      <c r="G217" s="128" t="s">
        <v>224</v>
      </c>
      <c r="H217" s="128"/>
      <c r="I217" s="165"/>
      <c r="J217" s="165"/>
      <c r="K217" s="165"/>
      <c r="M217" s="147">
        <v>10.5</v>
      </c>
      <c r="N217" s="130">
        <f t="shared" si="160"/>
        <v>630</v>
      </c>
      <c r="O217" s="145">
        <f>J239</f>
        <v>0.20399999999999999</v>
      </c>
      <c r="P217" s="142">
        <f t="shared" si="148"/>
        <v>1.1499999999999982E-2</v>
      </c>
      <c r="Q217" s="112">
        <f t="shared" si="139"/>
        <v>4.4223611230720632</v>
      </c>
      <c r="R217" s="158">
        <f t="shared" si="149"/>
        <v>0.2492997691927874</v>
      </c>
      <c r="S217" s="136">
        <f t="shared" si="140"/>
        <v>5.9184737919138355</v>
      </c>
      <c r="T217" s="122">
        <f t="shared" si="150"/>
        <v>0.33363945395592687</v>
      </c>
      <c r="U217" s="112">
        <f t="shared" si="141"/>
        <v>6.7788110065878966</v>
      </c>
      <c r="V217" s="122">
        <f t="shared" si="151"/>
        <v>0.38213885576353324</v>
      </c>
      <c r="W217" s="112">
        <f t="shared" si="142"/>
        <v>7.5308634208685756</v>
      </c>
      <c r="X217" s="122">
        <f t="shared" si="152"/>
        <v>0.42453396735288429</v>
      </c>
      <c r="Y217" s="112">
        <f t="shared" si="143"/>
        <v>8.4235116740222669</v>
      </c>
      <c r="Z217" s="122">
        <f t="shared" si="153"/>
        <v>0.47485482476105911</v>
      </c>
      <c r="AA217" s="112">
        <f t="shared" si="144"/>
        <v>9.0464773000632448</v>
      </c>
      <c r="AB217" s="122">
        <f t="shared" si="154"/>
        <v>0.5099729850525847</v>
      </c>
      <c r="AC217" s="112">
        <f t="shared" si="145"/>
        <v>9.3951462226573597</v>
      </c>
      <c r="AD217" s="122">
        <f t="shared" si="155"/>
        <v>0.52962834098313394</v>
      </c>
      <c r="AE217" s="112">
        <f t="shared" si="146"/>
        <v>10.377732717164987</v>
      </c>
      <c r="AF217" s="122">
        <f t="shared" si="156"/>
        <v>0.58501924631077173</v>
      </c>
      <c r="BA217" s="120">
        <v>30</v>
      </c>
      <c r="BB217" s="122">
        <f t="shared" si="172"/>
        <v>0.5</v>
      </c>
      <c r="BC217" s="97">
        <f t="shared" si="173"/>
        <v>18.448294320658061</v>
      </c>
      <c r="BD217" s="115">
        <f t="shared" si="174"/>
        <v>21.091218651318492</v>
      </c>
      <c r="BE217" s="115">
        <f t="shared" si="175"/>
        <v>23.339256286722524</v>
      </c>
      <c r="BF217" s="115">
        <f t="shared" si="176"/>
        <v>25.826904221262925</v>
      </c>
      <c r="BG217" s="115">
        <f t="shared" si="177"/>
        <v>29.526896879965129</v>
      </c>
      <c r="BH217" s="115">
        <f t="shared" si="178"/>
        <v>32.674063316396058</v>
      </c>
      <c r="BI217" s="115">
        <f t="shared" si="179"/>
        <v>34.668329865492325</v>
      </c>
      <c r="BJ217" s="453">
        <f t="shared" si="180"/>
        <v>41.336522738366881</v>
      </c>
      <c r="BL217">
        <f t="shared" si="181"/>
        <v>1.3112466711522233</v>
      </c>
      <c r="BM217">
        <f t="shared" si="182"/>
        <v>1.3010299956639813</v>
      </c>
      <c r="BN217">
        <f t="shared" si="183"/>
        <v>1.6532125137753437</v>
      </c>
      <c r="BZ217" s="155"/>
      <c r="CA217" s="127" t="s">
        <v>198</v>
      </c>
      <c r="CB217" s="127" t="s">
        <v>198</v>
      </c>
      <c r="CC217" s="127" t="s">
        <v>198</v>
      </c>
      <c r="CD217" s="127" t="s">
        <v>198</v>
      </c>
      <c r="CE217" s="127" t="s">
        <v>198</v>
      </c>
      <c r="CF217" s="127" t="s">
        <v>198</v>
      </c>
      <c r="CG217" s="127" t="s">
        <v>198</v>
      </c>
      <c r="CH217" s="127" t="s">
        <v>198</v>
      </c>
    </row>
    <row r="218" spans="1:86" x14ac:dyDescent="0.3">
      <c r="M218" s="140">
        <f>(M217+M219)/2</f>
        <v>10.75</v>
      </c>
      <c r="N218" s="130">
        <f t="shared" si="160"/>
        <v>645</v>
      </c>
      <c r="O218" s="144">
        <f>(O217+O219)/2</f>
        <v>0.21949999999999997</v>
      </c>
      <c r="P218" s="142">
        <f t="shared" si="148"/>
        <v>1.5499999999999986E-2</v>
      </c>
      <c r="Q218" s="112">
        <f t="shared" si="139"/>
        <v>4.7583738554623425</v>
      </c>
      <c r="R218" s="158">
        <f t="shared" si="149"/>
        <v>0.33601273239027929</v>
      </c>
      <c r="S218" s="136">
        <f t="shared" si="140"/>
        <v>6.3681617515935631</v>
      </c>
      <c r="T218" s="122">
        <f t="shared" si="150"/>
        <v>0.44968795967972763</v>
      </c>
      <c r="U218" s="112">
        <f t="shared" si="141"/>
        <v>7.2938677252257014</v>
      </c>
      <c r="V218" s="122">
        <f t="shared" si="151"/>
        <v>0.51505671863780478</v>
      </c>
      <c r="W218" s="112">
        <f t="shared" si="142"/>
        <v>8.1030613768659432</v>
      </c>
      <c r="X218" s="122">
        <f t="shared" si="152"/>
        <v>0.57219795599736756</v>
      </c>
      <c r="Y218" s="112">
        <f t="shared" si="143"/>
        <v>9.0635333943523886</v>
      </c>
      <c r="Z218" s="122">
        <f t="shared" si="153"/>
        <v>0.64002172033012172</v>
      </c>
      <c r="AA218" s="112">
        <f t="shared" si="144"/>
        <v>9.7338321929602074</v>
      </c>
      <c r="AB218" s="122">
        <f t="shared" si="154"/>
        <v>0.68735489289696261</v>
      </c>
      <c r="AC218" s="112">
        <f t="shared" si="145"/>
        <v>10.108993117025934</v>
      </c>
      <c r="AD218" s="122">
        <f t="shared" si="155"/>
        <v>0.71384689436857407</v>
      </c>
      <c r="AE218" s="112">
        <f t="shared" si="146"/>
        <v>11.166236918714286</v>
      </c>
      <c r="AF218" s="122">
        <f t="shared" si="156"/>
        <v>0.78850420154929957</v>
      </c>
      <c r="BA218" s="120">
        <v>60</v>
      </c>
      <c r="BB218" s="163">
        <f t="shared" si="172"/>
        <v>1</v>
      </c>
      <c r="BC218" s="97">
        <f t="shared" si="173"/>
        <v>11.041010472742242</v>
      </c>
      <c r="BD218" s="115">
        <f t="shared" si="174"/>
        <v>12.622758611962425</v>
      </c>
      <c r="BE218" s="115">
        <f t="shared" si="175"/>
        <v>13.96817335026812</v>
      </c>
      <c r="BF218" s="115">
        <f t="shared" si="176"/>
        <v>15.456991038253511</v>
      </c>
      <c r="BG218" s="115">
        <f t="shared" si="177"/>
        <v>17.671377744348909</v>
      </c>
      <c r="BH218" s="115">
        <f t="shared" si="178"/>
        <v>19.554906756848823</v>
      </c>
      <c r="BI218" s="115">
        <f t="shared" si="179"/>
        <v>20.748443539778137</v>
      </c>
      <c r="BJ218" s="453">
        <f t="shared" si="180"/>
        <v>24.739250823312791</v>
      </c>
      <c r="BL218">
        <f t="shared" si="181"/>
        <v>1.2223530387285626</v>
      </c>
      <c r="BM218">
        <f t="shared" si="182"/>
        <v>1.3010299956639813</v>
      </c>
      <c r="BN218">
        <f t="shared" si="183"/>
        <v>1.7781512503836436</v>
      </c>
      <c r="BZ218" s="155" t="s">
        <v>295</v>
      </c>
      <c r="CA218" s="126">
        <f>R215</f>
        <v>0.19510416719435586</v>
      </c>
      <c r="CB218" s="126">
        <f>T215</f>
        <v>0.26110913787855239</v>
      </c>
      <c r="CC218" s="126">
        <f>V215</f>
        <v>0.29906519146711386</v>
      </c>
      <c r="CD218" s="126">
        <f>X215</f>
        <v>0.33224397445008425</v>
      </c>
      <c r="CE218" s="126">
        <f>Z215</f>
        <v>0.3716255150303942</v>
      </c>
      <c r="CF218" s="126">
        <f>AB215</f>
        <v>0.3991092926498494</v>
      </c>
      <c r="CG218" s="126">
        <f>AD215</f>
        <v>0.41449174511723808</v>
      </c>
      <c r="CH218" s="126">
        <f>AF215</f>
        <v>0.45784114928668984</v>
      </c>
    </row>
    <row r="219" spans="1:86" ht="15.6" x14ac:dyDescent="0.3">
      <c r="C219" s="24" t="s">
        <v>413</v>
      </c>
      <c r="J219" s="450" t="s">
        <v>200</v>
      </c>
      <c r="M219" s="147">
        <v>11</v>
      </c>
      <c r="N219" s="130">
        <f t="shared" si="160"/>
        <v>660</v>
      </c>
      <c r="O219" s="145">
        <f>J240</f>
        <v>0.23499999999999999</v>
      </c>
      <c r="P219" s="142">
        <f t="shared" si="148"/>
        <v>1.5500000000000014E-2</v>
      </c>
      <c r="Q219" s="112">
        <f t="shared" si="139"/>
        <v>5.0943865878526227</v>
      </c>
      <c r="R219" s="158">
        <f t="shared" si="149"/>
        <v>0.33601273239028018</v>
      </c>
      <c r="S219" s="136">
        <f t="shared" si="140"/>
        <v>6.8178497112732908</v>
      </c>
      <c r="T219" s="122">
        <f t="shared" si="150"/>
        <v>0.44968795967972763</v>
      </c>
      <c r="U219" s="112">
        <f t="shared" si="141"/>
        <v>7.8089244438635079</v>
      </c>
      <c r="V219" s="122">
        <f t="shared" si="151"/>
        <v>0.51505671863780655</v>
      </c>
      <c r="W219" s="112">
        <f t="shared" si="142"/>
        <v>8.6752593328633107</v>
      </c>
      <c r="X219" s="122">
        <f t="shared" si="152"/>
        <v>0.57219795599736756</v>
      </c>
      <c r="Y219" s="112">
        <f t="shared" si="143"/>
        <v>9.7035551146825121</v>
      </c>
      <c r="Z219" s="122">
        <f t="shared" si="153"/>
        <v>0.6400217203301235</v>
      </c>
      <c r="AA219" s="112">
        <f t="shared" si="144"/>
        <v>10.42118708585717</v>
      </c>
      <c r="AB219" s="122">
        <f t="shared" si="154"/>
        <v>0.68735489289696261</v>
      </c>
      <c r="AC219" s="112">
        <f t="shared" si="145"/>
        <v>10.822840011394508</v>
      </c>
      <c r="AD219" s="122">
        <f t="shared" si="155"/>
        <v>0.71384689436857407</v>
      </c>
      <c r="AE219" s="112">
        <f t="shared" si="146"/>
        <v>11.954741120263588</v>
      </c>
      <c r="AF219" s="122">
        <f t="shared" si="156"/>
        <v>0.78850420154930134</v>
      </c>
      <c r="BA219" s="120">
        <v>120</v>
      </c>
      <c r="BB219" s="163">
        <f t="shared" si="172"/>
        <v>2</v>
      </c>
      <c r="BC219" s="97">
        <f t="shared" si="173"/>
        <v>6.6078690062255836</v>
      </c>
      <c r="BD219" s="115">
        <f t="shared" si="174"/>
        <v>7.5545200877195837</v>
      </c>
      <c r="BE219" s="115">
        <f t="shared" si="175"/>
        <v>8.359729390954783</v>
      </c>
      <c r="BF219" s="115">
        <f t="shared" si="176"/>
        <v>9.2507630767434765</v>
      </c>
      <c r="BG219" s="115">
        <f t="shared" si="177"/>
        <v>10.576038269546688</v>
      </c>
      <c r="BH219" s="115">
        <f t="shared" si="178"/>
        <v>11.703300399652576</v>
      </c>
      <c r="BI219" s="115">
        <f t="shared" si="179"/>
        <v>12.417613164338325</v>
      </c>
      <c r="BJ219" s="453">
        <f t="shared" si="180"/>
        <v>14.806047793921488</v>
      </c>
      <c r="BL219">
        <f t="shared" si="181"/>
        <v>1.090093349197518</v>
      </c>
      <c r="BM219">
        <f t="shared" si="182"/>
        <v>1.3010299956639813</v>
      </c>
      <c r="BN219">
        <f t="shared" si="183"/>
        <v>1.954242509439325</v>
      </c>
      <c r="BZ219" s="155" t="s">
        <v>296</v>
      </c>
      <c r="CA219" s="126">
        <f>SUM(R214:R215)</f>
        <v>0.39020833438871128</v>
      </c>
      <c r="CB219" s="126">
        <f>SUM(T214:T215)</f>
        <v>0.522218275757103</v>
      </c>
      <c r="CC219" s="126">
        <f>SUM(V214:V215)</f>
        <v>0.59813038293422593</v>
      </c>
      <c r="CD219" s="126">
        <f>SUM(X214:X215)</f>
        <v>0.6644879489001676</v>
      </c>
      <c r="CE219" s="126">
        <f>SUM(Z214:Z215)</f>
        <v>0.74325103006078752</v>
      </c>
      <c r="CF219" s="126">
        <f>SUM(AB214:AB215)</f>
        <v>0.79821858529969703</v>
      </c>
      <c r="CG219" s="126">
        <f>SUM(AD214:AD215)</f>
        <v>0.82898349023447349</v>
      </c>
      <c r="CH219" s="126">
        <f>SUM(AF214:AF215)</f>
        <v>0.91568229857337968</v>
      </c>
    </row>
    <row r="220" spans="1:86" x14ac:dyDescent="0.3">
      <c r="A220" s="70" t="s">
        <v>198</v>
      </c>
      <c r="C220" s="24" t="s">
        <v>292</v>
      </c>
      <c r="M220" s="140">
        <f>(M219+M221)/2</f>
        <v>11.25</v>
      </c>
      <c r="N220" s="130">
        <f t="shared" si="160"/>
        <v>675</v>
      </c>
      <c r="O220" s="144">
        <f>(O219+O221)/2</f>
        <v>0.25900000000000001</v>
      </c>
      <c r="P220" s="142">
        <f t="shared" si="148"/>
        <v>2.4000000000000021E-2</v>
      </c>
      <c r="Q220" s="112">
        <f t="shared" si="139"/>
        <v>5.6146643670375713</v>
      </c>
      <c r="R220" s="158">
        <f t="shared" si="149"/>
        <v>0.52027777918494866</v>
      </c>
      <c r="S220" s="136">
        <f t="shared" si="140"/>
        <v>7.5141407456160954</v>
      </c>
      <c r="T220" s="122">
        <f t="shared" si="150"/>
        <v>0.69629103434280459</v>
      </c>
      <c r="U220" s="112">
        <f t="shared" si="141"/>
        <v>8.6064316211091434</v>
      </c>
      <c r="V220" s="122">
        <f t="shared" si="151"/>
        <v>0.79750717724563547</v>
      </c>
      <c r="W220" s="112">
        <f t="shared" si="142"/>
        <v>9.5612432647302033</v>
      </c>
      <c r="X220" s="122">
        <f t="shared" si="152"/>
        <v>0.8859839318668925</v>
      </c>
      <c r="Y220" s="112">
        <f t="shared" si="143"/>
        <v>10.694556488096898</v>
      </c>
      <c r="Z220" s="122">
        <f t="shared" si="153"/>
        <v>0.99100137341438632</v>
      </c>
      <c r="AA220" s="112">
        <f t="shared" si="144"/>
        <v>11.485478532923436</v>
      </c>
      <c r="AB220" s="122">
        <f t="shared" si="154"/>
        <v>1.0642914470662657</v>
      </c>
      <c r="AC220" s="112">
        <f t="shared" si="145"/>
        <v>11.92815133170714</v>
      </c>
      <c r="AD220" s="122">
        <f t="shared" si="155"/>
        <v>1.1053113203126319</v>
      </c>
      <c r="AE220" s="112">
        <f t="shared" si="146"/>
        <v>13.175650851694764</v>
      </c>
      <c r="AF220" s="122">
        <f t="shared" si="156"/>
        <v>1.2209097314311759</v>
      </c>
      <c r="BA220" s="120">
        <v>180</v>
      </c>
      <c r="BB220" s="163">
        <f t="shared" si="172"/>
        <v>3</v>
      </c>
      <c r="BC220" s="97">
        <f t="shared" si="173"/>
        <v>4.8937925807389817</v>
      </c>
      <c r="BD220" s="115">
        <f t="shared" si="174"/>
        <v>5.5948830585918534</v>
      </c>
      <c r="BE220" s="115">
        <f t="shared" si="175"/>
        <v>6.191221652834848</v>
      </c>
      <c r="BF220" s="115">
        <f t="shared" si="176"/>
        <v>6.8511218470718944</v>
      </c>
      <c r="BG220" s="115">
        <f t="shared" si="177"/>
        <v>7.8326216164933777</v>
      </c>
      <c r="BH220" s="115">
        <f t="shared" si="178"/>
        <v>8.6674727680011916</v>
      </c>
      <c r="BI220" s="115">
        <f t="shared" si="179"/>
        <v>9.1964933198391297</v>
      </c>
      <c r="BJ220" s="453">
        <f t="shared" si="180"/>
        <v>10.965369739577755</v>
      </c>
      <c r="BL220">
        <f t="shared" si="181"/>
        <v>0.99615889395275492</v>
      </c>
      <c r="BM220">
        <f t="shared" si="182"/>
        <v>1.3010299956639813</v>
      </c>
      <c r="BN220">
        <f t="shared" si="183"/>
        <v>2.0791812460476247</v>
      </c>
      <c r="BZ220" s="155" t="s">
        <v>297</v>
      </c>
      <c r="CA220" s="126">
        <f>SUM(R214:R216)</f>
        <v>0.63950810358149912</v>
      </c>
      <c r="CB220" s="126">
        <f>SUM(T214:T216)</f>
        <v>0.85585772971302987</v>
      </c>
      <c r="CC220" s="126">
        <f>SUM(V214:V216)</f>
        <v>0.98026923869775917</v>
      </c>
      <c r="CD220" s="126">
        <f>SUM(X214:X216)</f>
        <v>1.0890219162530537</v>
      </c>
      <c r="CE220" s="126">
        <f>SUM(Z214:Z216)</f>
        <v>1.2181058548218475</v>
      </c>
      <c r="CF220" s="126">
        <f>SUM(AB214:AB216)</f>
        <v>1.3081915703522817</v>
      </c>
      <c r="CG220" s="126">
        <f>SUM(AD214:AD216)</f>
        <v>1.3586118312176092</v>
      </c>
      <c r="CH220" s="126">
        <f>SUM(AF214:AF216)</f>
        <v>1.5007015448841514</v>
      </c>
    </row>
    <row r="221" spans="1:86" x14ac:dyDescent="0.3">
      <c r="A221" s="70" t="s">
        <v>199</v>
      </c>
      <c r="M221" s="147">
        <v>11.5</v>
      </c>
      <c r="N221" s="130">
        <f t="shared" si="160"/>
        <v>690</v>
      </c>
      <c r="O221" s="145">
        <f>J241</f>
        <v>0.28299999999999997</v>
      </c>
      <c r="P221" s="142">
        <f t="shared" si="148"/>
        <v>2.3999999999999966E-2</v>
      </c>
      <c r="Q221" s="112">
        <f t="shared" si="139"/>
        <v>6.1349421462225191</v>
      </c>
      <c r="R221" s="158">
        <f t="shared" si="149"/>
        <v>0.52027777918494778</v>
      </c>
      <c r="S221" s="136">
        <f t="shared" si="140"/>
        <v>8.2104317799588991</v>
      </c>
      <c r="T221" s="122">
        <f t="shared" si="150"/>
        <v>0.69629103434280371</v>
      </c>
      <c r="U221" s="112">
        <f t="shared" si="141"/>
        <v>9.403938798354778</v>
      </c>
      <c r="V221" s="122">
        <f t="shared" si="151"/>
        <v>0.79750717724563458</v>
      </c>
      <c r="W221" s="112">
        <f t="shared" si="142"/>
        <v>10.447227196597092</v>
      </c>
      <c r="X221" s="122">
        <f t="shared" si="152"/>
        <v>0.88598393186688895</v>
      </c>
      <c r="Y221" s="112">
        <f t="shared" si="143"/>
        <v>11.685557861511281</v>
      </c>
      <c r="Z221" s="122">
        <f t="shared" si="153"/>
        <v>0.99100137341438277</v>
      </c>
      <c r="AA221" s="112">
        <f t="shared" si="144"/>
        <v>12.549769979989698</v>
      </c>
      <c r="AB221" s="122">
        <f t="shared" si="154"/>
        <v>1.0642914470662621</v>
      </c>
      <c r="AC221" s="112">
        <f t="shared" si="145"/>
        <v>13.033462652019768</v>
      </c>
      <c r="AD221" s="122">
        <f t="shared" si="155"/>
        <v>1.1053113203126284</v>
      </c>
      <c r="AE221" s="112">
        <f t="shared" si="146"/>
        <v>14.396560583125936</v>
      </c>
      <c r="AF221" s="122">
        <f t="shared" si="156"/>
        <v>1.2209097314311723</v>
      </c>
      <c r="BA221" s="120">
        <v>600</v>
      </c>
      <c r="BB221" s="130">
        <f t="shared" si="172"/>
        <v>10</v>
      </c>
      <c r="BC221" s="97">
        <f t="shared" si="173"/>
        <v>2.0062895015053437</v>
      </c>
      <c r="BD221" s="115">
        <f t="shared" si="174"/>
        <v>2.2937128939183462</v>
      </c>
      <c r="BE221" s="115">
        <f t="shared" si="175"/>
        <v>2.5381915556583396</v>
      </c>
      <c r="BF221" s="115">
        <f t="shared" si="176"/>
        <v>2.8087283244110526</v>
      </c>
      <c r="BG221" s="115">
        <f t="shared" si="177"/>
        <v>3.2111100458739767</v>
      </c>
      <c r="BH221" s="115">
        <f t="shared" si="178"/>
        <v>3.5533707921062674</v>
      </c>
      <c r="BI221" s="115">
        <f t="shared" si="179"/>
        <v>3.7702513324484062</v>
      </c>
      <c r="BJ221" s="453">
        <f t="shared" si="180"/>
        <v>4.4954308597437924</v>
      </c>
      <c r="BL221">
        <f t="shared" si="181"/>
        <v>0.86461031492606766</v>
      </c>
      <c r="BM221">
        <f t="shared" si="182"/>
        <v>1.3010299956639813</v>
      </c>
      <c r="BN221">
        <f t="shared" si="183"/>
        <v>2.255272505103306</v>
      </c>
      <c r="BZ221" s="155" t="s">
        <v>298</v>
      </c>
      <c r="CA221" s="126">
        <f>SUM(R214:R217)</f>
        <v>0.88880787277428652</v>
      </c>
      <c r="CB221" s="126">
        <f>SUM(T214:T217)</f>
        <v>1.1894971836689567</v>
      </c>
      <c r="CC221" s="126">
        <f>SUM(V214:V217)</f>
        <v>1.3624080944612924</v>
      </c>
      <c r="CD221" s="126">
        <f>SUM(X214:X217)</f>
        <v>1.513555883605938</v>
      </c>
      <c r="CE221" s="126">
        <f>SUM(Z214:Z217)</f>
        <v>1.6929606795829066</v>
      </c>
      <c r="CF221" s="126">
        <f>SUM(AB214:AB217)</f>
        <v>1.8181645554048664</v>
      </c>
      <c r="CG221" s="126">
        <f>SUM(AD214:AD217)</f>
        <v>1.8882401722007431</v>
      </c>
      <c r="CH221" s="126">
        <f>SUM(AF214:AF217)</f>
        <v>2.0857207911949232</v>
      </c>
    </row>
    <row r="222" spans="1:86" ht="15" thickBot="1" x14ac:dyDescent="0.35">
      <c r="A222" s="70" t="s">
        <v>200</v>
      </c>
      <c r="C222" s="587" t="s">
        <v>202</v>
      </c>
      <c r="D222" s="587"/>
      <c r="E222" s="587"/>
      <c r="F222" s="587"/>
      <c r="G222" s="587"/>
      <c r="M222" s="147">
        <v>11.75</v>
      </c>
      <c r="N222" s="130">
        <f t="shared" si="160"/>
        <v>705</v>
      </c>
      <c r="O222" s="145">
        <f>J242</f>
        <v>0.35699999999999998</v>
      </c>
      <c r="P222" s="142">
        <f t="shared" si="148"/>
        <v>7.400000000000001E-2</v>
      </c>
      <c r="Q222" s="112">
        <f t="shared" si="139"/>
        <v>7.739131965376111</v>
      </c>
      <c r="R222" s="158">
        <f t="shared" si="149"/>
        <v>1.6041898191535919</v>
      </c>
      <c r="S222" s="136">
        <f t="shared" si="140"/>
        <v>10.357329135849213</v>
      </c>
      <c r="T222" s="122">
        <f t="shared" si="150"/>
        <v>2.1468973558903137</v>
      </c>
      <c r="U222" s="112">
        <f t="shared" si="141"/>
        <v>11.86291926152882</v>
      </c>
      <c r="V222" s="122">
        <f t="shared" si="151"/>
        <v>2.4589804631740417</v>
      </c>
      <c r="W222" s="112">
        <f t="shared" si="142"/>
        <v>13.179010986520009</v>
      </c>
      <c r="X222" s="122">
        <f t="shared" si="152"/>
        <v>2.7317837899229165</v>
      </c>
      <c r="Y222" s="112">
        <f t="shared" si="143"/>
        <v>14.741145429538966</v>
      </c>
      <c r="Z222" s="122">
        <f t="shared" si="153"/>
        <v>3.0555875680276845</v>
      </c>
      <c r="AA222" s="112">
        <f t="shared" si="144"/>
        <v>15.831335275110678</v>
      </c>
      <c r="AB222" s="122">
        <f t="shared" si="154"/>
        <v>3.2815652951209806</v>
      </c>
      <c r="AC222" s="112">
        <f t="shared" si="145"/>
        <v>16.441505889650379</v>
      </c>
      <c r="AD222" s="122">
        <f t="shared" si="155"/>
        <v>3.4080432376306113</v>
      </c>
      <c r="AE222" s="112">
        <f t="shared" si="146"/>
        <v>18.161032255038727</v>
      </c>
      <c r="AF222" s="122">
        <f t="shared" si="156"/>
        <v>3.7644716719127906</v>
      </c>
      <c r="BA222" s="119">
        <v>1440</v>
      </c>
      <c r="BB222" s="164">
        <f t="shared" si="172"/>
        <v>24</v>
      </c>
      <c r="BC222" s="98">
        <f t="shared" si="173"/>
        <v>1.0490673426236992</v>
      </c>
      <c r="BD222" s="116">
        <f t="shared" si="174"/>
        <v>1.1993579633244296</v>
      </c>
      <c r="BE222" s="116">
        <f t="shared" si="175"/>
        <v>1.32719324323161</v>
      </c>
      <c r="BF222" s="116">
        <f t="shared" si="176"/>
        <v>1.4686540288582426</v>
      </c>
      <c r="BG222" s="116">
        <f t="shared" si="177"/>
        <v>1.6790551314602018</v>
      </c>
      <c r="BH222" s="116">
        <f t="shared" si="178"/>
        <v>1.8580196185219695</v>
      </c>
      <c r="BI222" s="116">
        <f t="shared" si="179"/>
        <v>1.9714241356431561</v>
      </c>
      <c r="BJ222" s="454">
        <f t="shared" si="180"/>
        <v>2.3506127617382795</v>
      </c>
      <c r="BL222">
        <f t="shared" si="181"/>
        <v>0.7706554707476182</v>
      </c>
      <c r="BM222">
        <f t="shared" si="182"/>
        <v>1.3010299956639813</v>
      </c>
      <c r="BN222">
        <f t="shared" si="183"/>
        <v>2.3802112417116059</v>
      </c>
      <c r="BZ222" s="155" t="s">
        <v>299</v>
      </c>
      <c r="CA222" s="126">
        <f>SUM(R212:R217)</f>
        <v>1.2356597255642527</v>
      </c>
      <c r="CB222" s="126">
        <f>SUM(T212:T217)</f>
        <v>1.6536912065641598</v>
      </c>
      <c r="CC222" s="126">
        <f>SUM(V212:V217)</f>
        <v>1.894079545958383</v>
      </c>
      <c r="CD222" s="126">
        <f>SUM(X212:X217)</f>
        <v>2.1042118381838666</v>
      </c>
      <c r="CE222" s="126">
        <f>SUM(Z212:Z217)</f>
        <v>2.3536282618591633</v>
      </c>
      <c r="CF222" s="126">
        <f>SUM(AB212:AB217)</f>
        <v>2.5276921867823772</v>
      </c>
      <c r="CG222" s="126">
        <f>SUM(AD212:AD217)</f>
        <v>2.6251143857424974</v>
      </c>
      <c r="CH222" s="126">
        <f>SUM(AF212:AF217)</f>
        <v>2.8996606121490407</v>
      </c>
    </row>
    <row r="223" spans="1:86" x14ac:dyDescent="0.3">
      <c r="A223" s="70" t="s">
        <v>201</v>
      </c>
      <c r="C223" s="587" t="s">
        <v>195</v>
      </c>
      <c r="D223" s="587" t="s">
        <v>203</v>
      </c>
      <c r="E223" s="587"/>
      <c r="F223" s="587"/>
      <c r="G223" s="587"/>
      <c r="I223" s="533" t="str">
        <f>J219</f>
        <v>Tipo II</v>
      </c>
      <c r="J223" s="533"/>
      <c r="K223" s="533"/>
      <c r="M223" s="147">
        <v>12</v>
      </c>
      <c r="N223" s="130">
        <f t="shared" si="160"/>
        <v>720</v>
      </c>
      <c r="O223" s="145">
        <f>J243</f>
        <v>0.66300000000000003</v>
      </c>
      <c r="P223" s="142">
        <f t="shared" si="148"/>
        <v>0.30600000000000005</v>
      </c>
      <c r="Q223" s="112">
        <f t="shared" si="139"/>
        <v>14.372673649984208</v>
      </c>
      <c r="R223" s="158">
        <f t="shared" si="149"/>
        <v>6.6335416846080966</v>
      </c>
      <c r="S223" s="136">
        <f t="shared" si="140"/>
        <v>19.235039823719966</v>
      </c>
      <c r="T223" s="122">
        <f t="shared" si="150"/>
        <v>8.8777106878707528</v>
      </c>
      <c r="U223" s="112">
        <f t="shared" si="141"/>
        <v>22.031135771410664</v>
      </c>
      <c r="V223" s="122">
        <f t="shared" si="151"/>
        <v>10.168216509881844</v>
      </c>
      <c r="W223" s="112">
        <f t="shared" si="142"/>
        <v>24.475306117822875</v>
      </c>
      <c r="X223" s="122">
        <f t="shared" si="152"/>
        <v>11.296295131302866</v>
      </c>
      <c r="Y223" s="112">
        <f t="shared" si="143"/>
        <v>27.376412940572369</v>
      </c>
      <c r="Z223" s="122">
        <f t="shared" si="153"/>
        <v>12.635267511033403</v>
      </c>
      <c r="AA223" s="112">
        <f t="shared" si="144"/>
        <v>29.401051225205549</v>
      </c>
      <c r="AB223" s="122">
        <f t="shared" si="154"/>
        <v>13.569715950094871</v>
      </c>
      <c r="AC223" s="112">
        <f t="shared" si="145"/>
        <v>30.534225223636422</v>
      </c>
      <c r="AD223" s="122">
        <f t="shared" si="155"/>
        <v>14.092719333986043</v>
      </c>
      <c r="AE223" s="112">
        <f t="shared" si="146"/>
        <v>33.72763133078621</v>
      </c>
      <c r="AF223" s="122">
        <f t="shared" si="156"/>
        <v>15.566599075747483</v>
      </c>
      <c r="BL223" s="106">
        <f t="shared" si="181"/>
        <v>0.69625966380513837</v>
      </c>
      <c r="BM223" s="106">
        <f t="shared" si="182"/>
        <v>1.3010299956639813</v>
      </c>
      <c r="BN223" s="106">
        <f t="shared" si="183"/>
        <v>2.4771212547196626</v>
      </c>
      <c r="BZ223" s="155" t="s">
        <v>300</v>
      </c>
      <c r="CA223" s="126">
        <f>SUM(R212:R219)</f>
        <v>1.9076851903448122</v>
      </c>
      <c r="CB223" s="126">
        <f>SUM(T212:T219)</f>
        <v>2.5530671259236151</v>
      </c>
      <c r="CC223" s="126">
        <f>SUM(V212:V219)</f>
        <v>2.9241929832339943</v>
      </c>
      <c r="CD223" s="126">
        <f>SUM(X212:X219)</f>
        <v>3.2486077501786017</v>
      </c>
      <c r="CE223" s="126">
        <f>SUM(Z212:Z219)</f>
        <v>3.6336717025194085</v>
      </c>
      <c r="CF223" s="126">
        <f>SUM(AB212:AB219)</f>
        <v>3.9024019725763024</v>
      </c>
      <c r="CG223" s="126">
        <f>SUM(AD212:AD219)</f>
        <v>4.0528081744796456</v>
      </c>
      <c r="CH223" s="126">
        <f>SUM(AF212:AF219)</f>
        <v>4.4766690152476416</v>
      </c>
    </row>
    <row r="224" spans="1:86" x14ac:dyDescent="0.3">
      <c r="C224" s="587"/>
      <c r="D224" s="423" t="s">
        <v>204</v>
      </c>
      <c r="E224" s="423" t="s">
        <v>205</v>
      </c>
      <c r="F224" s="423" t="s">
        <v>206</v>
      </c>
      <c r="G224" s="423" t="s">
        <v>207</v>
      </c>
      <c r="I224" s="422" t="s">
        <v>195</v>
      </c>
      <c r="J224" s="422" t="s">
        <v>196</v>
      </c>
      <c r="K224" s="422" t="s">
        <v>197</v>
      </c>
      <c r="M224" s="140">
        <f>(M223+M225)/2</f>
        <v>12.25</v>
      </c>
      <c r="N224" s="130">
        <f t="shared" si="160"/>
        <v>735</v>
      </c>
      <c r="O224" s="144">
        <f>(O223+O225)/2</f>
        <v>0.69900000000000007</v>
      </c>
      <c r="P224" s="142">
        <f t="shared" si="148"/>
        <v>3.6000000000000032E-2</v>
      </c>
      <c r="Q224" s="112">
        <f t="shared" si="139"/>
        <v>15.153090318761631</v>
      </c>
      <c r="R224" s="158">
        <f t="shared" si="149"/>
        <v>0.78041666877742344</v>
      </c>
      <c r="S224" s="136">
        <f t="shared" si="140"/>
        <v>20.279476375234175</v>
      </c>
      <c r="T224" s="122">
        <f t="shared" si="150"/>
        <v>1.0444365515142096</v>
      </c>
      <c r="U224" s="112">
        <f t="shared" si="141"/>
        <v>23.22739653727912</v>
      </c>
      <c r="V224" s="122">
        <f t="shared" si="151"/>
        <v>1.1962607658684554</v>
      </c>
      <c r="W224" s="112">
        <f t="shared" si="142"/>
        <v>25.804282015623212</v>
      </c>
      <c r="X224" s="122">
        <f t="shared" si="152"/>
        <v>1.328975897800337</v>
      </c>
      <c r="Y224" s="112">
        <f t="shared" si="143"/>
        <v>28.862915000693945</v>
      </c>
      <c r="Z224" s="122">
        <f t="shared" si="153"/>
        <v>1.4865020601215768</v>
      </c>
      <c r="AA224" s="112">
        <f t="shared" si="144"/>
        <v>30.997488395804947</v>
      </c>
      <c r="AB224" s="122">
        <f t="shared" si="154"/>
        <v>1.5964371705993976</v>
      </c>
      <c r="AC224" s="112">
        <f t="shared" si="145"/>
        <v>32.192192204105368</v>
      </c>
      <c r="AD224" s="122">
        <f t="shared" si="155"/>
        <v>1.6579669804689452</v>
      </c>
      <c r="AE224" s="112">
        <f t="shared" si="146"/>
        <v>35.558995927932976</v>
      </c>
      <c r="AF224" s="122">
        <f t="shared" si="156"/>
        <v>1.8313645971467665</v>
      </c>
      <c r="BL224">
        <f>LOG(AC249)</f>
        <v>1.7036444324660323</v>
      </c>
      <c r="BM224">
        <f>LOG($AC$248)</f>
        <v>1.6989700043360187</v>
      </c>
      <c r="BN224">
        <f>LOG(X249)</f>
        <v>1.1760912590556813</v>
      </c>
      <c r="BZ224" s="155" t="s">
        <v>301</v>
      </c>
      <c r="CA224" s="126">
        <f>SUM(R210:R221)</f>
        <v>3.2517361199059285</v>
      </c>
      <c r="CB224" s="126">
        <f>SUM(T210:T221)</f>
        <v>4.3518189646425256</v>
      </c>
      <c r="CC224" s="126">
        <f>SUM(V210:V221)</f>
        <v>4.9844198577852179</v>
      </c>
      <c r="CD224" s="126">
        <f>SUM(X210:X221)</f>
        <v>5.5373995741680693</v>
      </c>
      <c r="CE224" s="126">
        <f>SUM(Z210:Z221)</f>
        <v>6.1937585838399007</v>
      </c>
      <c r="CF224" s="126">
        <f>SUM(AB210:AB221)</f>
        <v>6.6518215441641502</v>
      </c>
      <c r="CG224" s="126">
        <f>SUM(AD210:AD221)</f>
        <v>6.9081957519539392</v>
      </c>
      <c r="CH224" s="126">
        <f>SUM(AF210:AF221)</f>
        <v>7.6306858214448416</v>
      </c>
    </row>
    <row r="225" spans="3:86" x14ac:dyDescent="0.3">
      <c r="C225" s="407">
        <v>0</v>
      </c>
      <c r="D225" s="124">
        <v>0</v>
      </c>
      <c r="E225" s="124">
        <v>0</v>
      </c>
      <c r="F225" s="124">
        <v>0</v>
      </c>
      <c r="G225" s="124">
        <v>0</v>
      </c>
      <c r="I225" s="345">
        <v>0</v>
      </c>
      <c r="J225" s="117">
        <f t="shared" ref="J225:J257" si="184">IF($J$219="Tipo I",D225,IF($J$219="Tipo IA",E225,IF($J$219="Tipo II",F225,IF($J$219="Tipo III",G225))))</f>
        <v>0</v>
      </c>
      <c r="K225" s="103"/>
      <c r="M225" s="147">
        <v>12.5</v>
      </c>
      <c r="N225" s="130">
        <f t="shared" si="160"/>
        <v>750</v>
      </c>
      <c r="O225" s="145">
        <f>J244</f>
        <v>0.73499999999999999</v>
      </c>
      <c r="P225" s="142">
        <f t="shared" si="148"/>
        <v>3.5999999999999921E-2</v>
      </c>
      <c r="Q225" s="112">
        <f t="shared" si="139"/>
        <v>15.933506987539053</v>
      </c>
      <c r="R225" s="158">
        <f t="shared" si="149"/>
        <v>0.78041666877742166</v>
      </c>
      <c r="S225" s="136">
        <f t="shared" si="140"/>
        <v>21.323912926748378</v>
      </c>
      <c r="T225" s="122">
        <f t="shared" si="150"/>
        <v>1.0444365515142024</v>
      </c>
      <c r="U225" s="112">
        <f t="shared" si="141"/>
        <v>24.423657303147568</v>
      </c>
      <c r="V225" s="122">
        <f t="shared" si="151"/>
        <v>1.1962607658684483</v>
      </c>
      <c r="W225" s="112">
        <f t="shared" si="142"/>
        <v>27.133257913423545</v>
      </c>
      <c r="X225" s="122">
        <f t="shared" si="152"/>
        <v>1.3289758978003334</v>
      </c>
      <c r="Y225" s="112">
        <f t="shared" si="143"/>
        <v>30.349417060815519</v>
      </c>
      <c r="Z225" s="122">
        <f t="shared" si="153"/>
        <v>1.4865020601215733</v>
      </c>
      <c r="AA225" s="112">
        <f t="shared" si="144"/>
        <v>32.593925566404337</v>
      </c>
      <c r="AB225" s="122">
        <f t="shared" si="154"/>
        <v>1.5964371705993905</v>
      </c>
      <c r="AC225" s="112">
        <f t="shared" si="145"/>
        <v>33.850159184574309</v>
      </c>
      <c r="AD225" s="122">
        <f t="shared" si="155"/>
        <v>1.6579669804689416</v>
      </c>
      <c r="AE225" s="112">
        <f t="shared" si="146"/>
        <v>37.390360525079728</v>
      </c>
      <c r="AF225" s="122">
        <f t="shared" si="156"/>
        <v>1.8313645971467523</v>
      </c>
      <c r="BL225">
        <f t="shared" ref="BL225:BL232" si="185">LOG(AC250)</f>
        <v>1.4966766069372812</v>
      </c>
      <c r="BM225">
        <f t="shared" ref="BM225:BM232" si="186">LOG($AC$248)</f>
        <v>1.6989700043360187</v>
      </c>
      <c r="BN225">
        <f t="shared" ref="BN225:BN232" si="187">LOG(X250)</f>
        <v>1.4771212547196624</v>
      </c>
      <c r="BZ225" s="155" t="s">
        <v>302</v>
      </c>
      <c r="CA225" s="126">
        <f>SUM(R208:R223)</f>
        <v>11.771284754059465</v>
      </c>
      <c r="CB225" s="126">
        <f>SUM(T208:T223)</f>
        <v>15.753584652005944</v>
      </c>
      <c r="CC225" s="126">
        <f>SUM(V208:V223)</f>
        <v>18.043599885182488</v>
      </c>
      <c r="CD225" s="126">
        <f>SUM(X208:X223)</f>
        <v>20.045386458488419</v>
      </c>
      <c r="CE225" s="126">
        <f>SUM(Z208:Z223)</f>
        <v>22.421406073500449</v>
      </c>
      <c r="CF225" s="126">
        <f>SUM(AB208:AB223)</f>
        <v>24.079593989874226</v>
      </c>
      <c r="CG225" s="126">
        <f>SUM(AD208:AD223)</f>
        <v>25.007668622073268</v>
      </c>
      <c r="CH225" s="126">
        <f>SUM(AF208:AF223)</f>
        <v>27.623082673630336</v>
      </c>
    </row>
    <row r="226" spans="3:86" ht="17.25" customHeight="1" x14ac:dyDescent="0.3">
      <c r="C226" s="407">
        <v>1</v>
      </c>
      <c r="D226" s="125">
        <v>1.7500000000000002E-2</v>
      </c>
      <c r="E226" s="125">
        <v>2.5000000000000001E-2</v>
      </c>
      <c r="F226" s="125">
        <v>1.0999999999999999E-2</v>
      </c>
      <c r="G226" s="125">
        <v>0.01</v>
      </c>
      <c r="I226" s="345">
        <v>1</v>
      </c>
      <c r="J226" s="117">
        <f t="shared" si="184"/>
        <v>1.0999999999999999E-2</v>
      </c>
      <c r="K226" s="117">
        <f>J226-J225</f>
        <v>1.0999999999999999E-2</v>
      </c>
      <c r="M226" s="140">
        <f>(M225+M227)/2</f>
        <v>12.75</v>
      </c>
      <c r="N226" s="130">
        <f t="shared" si="160"/>
        <v>765</v>
      </c>
      <c r="O226" s="144">
        <f>(O225+O227)/2</f>
        <v>0.75350000000000006</v>
      </c>
      <c r="P226" s="142">
        <f t="shared" si="148"/>
        <v>1.8500000000000072E-2</v>
      </c>
      <c r="Q226" s="112">
        <f t="shared" si="139"/>
        <v>16.334554442327452</v>
      </c>
      <c r="R226" s="158">
        <f t="shared" si="149"/>
        <v>0.40104745478839909</v>
      </c>
      <c r="S226" s="136">
        <f t="shared" si="140"/>
        <v>21.86063726572096</v>
      </c>
      <c r="T226" s="122">
        <f t="shared" si="150"/>
        <v>0.53672433897258287</v>
      </c>
      <c r="U226" s="112">
        <f t="shared" si="141"/>
        <v>25.038402418941082</v>
      </c>
      <c r="V226" s="122">
        <f t="shared" si="151"/>
        <v>0.61474511579351443</v>
      </c>
      <c r="W226" s="112">
        <f t="shared" si="142"/>
        <v>27.816203860904277</v>
      </c>
      <c r="X226" s="122">
        <f t="shared" si="152"/>
        <v>0.68294594748073223</v>
      </c>
      <c r="Y226" s="112">
        <f t="shared" si="143"/>
        <v>31.113313952822445</v>
      </c>
      <c r="Z226" s="122">
        <f t="shared" si="153"/>
        <v>0.76389689200692601</v>
      </c>
      <c r="AA226" s="112">
        <f t="shared" si="144"/>
        <v>33.414316890184587</v>
      </c>
      <c r="AB226" s="122">
        <f t="shared" si="154"/>
        <v>0.82039132378024959</v>
      </c>
      <c r="AC226" s="112">
        <f t="shared" si="145"/>
        <v>34.702169993981968</v>
      </c>
      <c r="AD226" s="122">
        <f t="shared" si="155"/>
        <v>0.85201080940765905</v>
      </c>
      <c r="AE226" s="112">
        <f t="shared" si="146"/>
        <v>38.331478443057932</v>
      </c>
      <c r="AF226" s="122">
        <f t="shared" si="156"/>
        <v>0.94111791797820388</v>
      </c>
      <c r="BL226">
        <f t="shared" si="185"/>
        <v>1.3598950818915325</v>
      </c>
      <c r="BM226">
        <f t="shared" si="186"/>
        <v>1.6989700043360187</v>
      </c>
      <c r="BN226">
        <f t="shared" si="187"/>
        <v>1.6532125137753437</v>
      </c>
      <c r="BZ226" s="155" t="s">
        <v>303</v>
      </c>
      <c r="CA226" s="126">
        <f>SUM(R208:R227)</f>
        <v>14.134213001191107</v>
      </c>
      <c r="CB226" s="126">
        <f>SUM(T208:T227)</f>
        <v>18.915906432979515</v>
      </c>
      <c r="CC226" s="126">
        <f>SUM(V208:V227)</f>
        <v>21.665611648506413</v>
      </c>
      <c r="CD226" s="126">
        <f>SUM(X208:X227)</f>
        <v>24.069230149050551</v>
      </c>
      <c r="CE226" s="126">
        <f>SUM(Z208:Z227)</f>
        <v>26.922203977757444</v>
      </c>
      <c r="CF226" s="126">
        <f>SUM(AB208:AB227)</f>
        <v>28.913250978633506</v>
      </c>
      <c r="CG226" s="126">
        <f>SUM(AD208:AD227)</f>
        <v>30.027624201826466</v>
      </c>
      <c r="CH226" s="126">
        <f>SUM(AF208:AF227)</f>
        <v>33.168047703880255</v>
      </c>
    </row>
    <row r="227" spans="3:86" x14ac:dyDescent="0.3">
      <c r="C227" s="407">
        <v>2</v>
      </c>
      <c r="D227" s="124">
        <v>3.5000000000000003E-2</v>
      </c>
      <c r="E227" s="124">
        <v>0.05</v>
      </c>
      <c r="F227" s="124">
        <v>2.1999999999999999E-2</v>
      </c>
      <c r="G227" s="124">
        <v>0.02</v>
      </c>
      <c r="I227" s="345">
        <v>2</v>
      </c>
      <c r="J227" s="117">
        <f t="shared" si="184"/>
        <v>2.1999999999999999E-2</v>
      </c>
      <c r="K227" s="117">
        <f t="shared" ref="K227:K256" si="188">J227-J226</f>
        <v>1.0999999999999999E-2</v>
      </c>
      <c r="M227" s="147">
        <v>13</v>
      </c>
      <c r="N227" s="130">
        <f t="shared" si="160"/>
        <v>780</v>
      </c>
      <c r="O227" s="145">
        <f>J245</f>
        <v>0.77200000000000002</v>
      </c>
      <c r="P227" s="142">
        <f t="shared" si="148"/>
        <v>1.8499999999999961E-2</v>
      </c>
      <c r="Q227" s="112">
        <f t="shared" si="139"/>
        <v>16.735601897115849</v>
      </c>
      <c r="R227" s="158">
        <f t="shared" si="149"/>
        <v>0.40104745478839732</v>
      </c>
      <c r="S227" s="136">
        <f t="shared" si="140"/>
        <v>22.397361604693536</v>
      </c>
      <c r="T227" s="122">
        <f t="shared" si="150"/>
        <v>0.53672433897257577</v>
      </c>
      <c r="U227" s="112">
        <f t="shared" si="141"/>
        <v>25.65314753473459</v>
      </c>
      <c r="V227" s="122">
        <f t="shared" si="151"/>
        <v>0.61474511579350732</v>
      </c>
      <c r="W227" s="112">
        <f t="shared" si="142"/>
        <v>28.499149808385006</v>
      </c>
      <c r="X227" s="122">
        <f t="shared" si="152"/>
        <v>0.68294594748072868</v>
      </c>
      <c r="Y227" s="112">
        <f t="shared" si="143"/>
        <v>31.877210844829364</v>
      </c>
      <c r="Z227" s="122">
        <f t="shared" si="153"/>
        <v>0.7638968920069189</v>
      </c>
      <c r="AA227" s="112">
        <f t="shared" si="144"/>
        <v>34.234708213964829</v>
      </c>
      <c r="AB227" s="122">
        <f t="shared" si="154"/>
        <v>0.82039132378024249</v>
      </c>
      <c r="AC227" s="112">
        <f t="shared" si="145"/>
        <v>35.55418080338962</v>
      </c>
      <c r="AD227" s="122">
        <f t="shared" si="155"/>
        <v>0.85201080940765195</v>
      </c>
      <c r="AE227" s="112">
        <f t="shared" si="146"/>
        <v>39.272596361036129</v>
      </c>
      <c r="AF227" s="122">
        <f t="shared" si="156"/>
        <v>0.94111791797819677</v>
      </c>
      <c r="BL227">
        <f t="shared" si="185"/>
        <v>1.2710014494678719</v>
      </c>
      <c r="BM227">
        <f t="shared" si="186"/>
        <v>1.6989700043360187</v>
      </c>
      <c r="BN227">
        <f t="shared" si="187"/>
        <v>1.7781512503836436</v>
      </c>
      <c r="BZ227" s="155"/>
      <c r="CA227" s="127"/>
      <c r="CB227" s="127"/>
      <c r="CC227" s="127"/>
      <c r="CD227" s="127"/>
      <c r="CE227" s="127"/>
      <c r="CF227" s="127"/>
      <c r="CG227" s="127"/>
      <c r="CH227" s="127"/>
    </row>
    <row r="228" spans="3:86" x14ac:dyDescent="0.3">
      <c r="C228" s="407">
        <v>3</v>
      </c>
      <c r="D228" s="125">
        <v>5.5500000000000001E-2</v>
      </c>
      <c r="E228" s="125">
        <v>8.3000000000000004E-2</v>
      </c>
      <c r="F228" s="125">
        <v>3.5000000000000003E-2</v>
      </c>
      <c r="G228" s="125">
        <v>3.15E-2</v>
      </c>
      <c r="I228" s="345">
        <v>3</v>
      </c>
      <c r="J228" s="117">
        <f t="shared" si="184"/>
        <v>3.5000000000000003E-2</v>
      </c>
      <c r="K228" s="117">
        <f t="shared" si="188"/>
        <v>1.3000000000000005E-2</v>
      </c>
      <c r="M228" s="140">
        <f>(M227+M229)/2</f>
        <v>13.25</v>
      </c>
      <c r="N228" s="130">
        <f t="shared" si="160"/>
        <v>795</v>
      </c>
      <c r="O228" s="144">
        <f>(O227+O229)/2</f>
        <v>0.78550000000000009</v>
      </c>
      <c r="P228" s="142">
        <f t="shared" si="148"/>
        <v>1.3500000000000068E-2</v>
      </c>
      <c r="Q228" s="112">
        <f t="shared" si="139"/>
        <v>17.028258147907383</v>
      </c>
      <c r="R228" s="158">
        <f t="shared" si="149"/>
        <v>0.29265625079153423</v>
      </c>
      <c r="S228" s="136">
        <f t="shared" si="140"/>
        <v>22.789025311511367</v>
      </c>
      <c r="T228" s="122">
        <f t="shared" si="150"/>
        <v>0.39166370681783036</v>
      </c>
      <c r="U228" s="112">
        <f t="shared" si="141"/>
        <v>26.101745321935262</v>
      </c>
      <c r="V228" s="122">
        <f t="shared" si="151"/>
        <v>0.44859778720067212</v>
      </c>
      <c r="W228" s="112">
        <f t="shared" si="142"/>
        <v>28.997515770060133</v>
      </c>
      <c r="X228" s="122">
        <f t="shared" si="152"/>
        <v>0.49836596167512681</v>
      </c>
      <c r="Y228" s="112">
        <f t="shared" si="143"/>
        <v>32.43464911737496</v>
      </c>
      <c r="Z228" s="122">
        <f t="shared" si="153"/>
        <v>0.55743827254559619</v>
      </c>
      <c r="AA228" s="112">
        <f t="shared" si="144"/>
        <v>34.83337215293961</v>
      </c>
      <c r="AB228" s="122">
        <f t="shared" si="154"/>
        <v>0.59866393897478076</v>
      </c>
      <c r="AC228" s="112">
        <f t="shared" si="145"/>
        <v>36.175918421065475</v>
      </c>
      <c r="AD228" s="122">
        <f t="shared" si="155"/>
        <v>0.62173761767585489</v>
      </c>
      <c r="AE228" s="112">
        <f t="shared" si="146"/>
        <v>39.959358084966169</v>
      </c>
      <c r="AF228" s="122">
        <f t="shared" si="156"/>
        <v>0.68676172393004009</v>
      </c>
      <c r="BL228">
        <f t="shared" si="185"/>
        <v>1.1387417599368275</v>
      </c>
      <c r="BM228">
        <f t="shared" si="186"/>
        <v>1.6989700043360187</v>
      </c>
      <c r="BN228">
        <f t="shared" si="187"/>
        <v>1.954242509439325</v>
      </c>
      <c r="BZ228" s="155"/>
      <c r="CA228" s="127" t="s">
        <v>199</v>
      </c>
      <c r="CB228" s="127" t="s">
        <v>199</v>
      </c>
      <c r="CC228" s="127" t="s">
        <v>199</v>
      </c>
      <c r="CD228" s="127" t="s">
        <v>199</v>
      </c>
      <c r="CE228" s="127" t="s">
        <v>199</v>
      </c>
      <c r="CF228" s="127" t="s">
        <v>199</v>
      </c>
      <c r="CG228" s="127" t="s">
        <v>199</v>
      </c>
      <c r="CH228" s="127" t="s">
        <v>199</v>
      </c>
    </row>
    <row r="229" spans="3:86" x14ac:dyDescent="0.3">
      <c r="C229" s="407">
        <v>4</v>
      </c>
      <c r="D229" s="124">
        <v>7.5999999999999998E-2</v>
      </c>
      <c r="E229" s="124">
        <v>0.11600000000000001</v>
      </c>
      <c r="F229" s="124">
        <v>4.8000000000000001E-2</v>
      </c>
      <c r="G229" s="124">
        <v>4.2999999999999997E-2</v>
      </c>
      <c r="I229" s="345">
        <v>4</v>
      </c>
      <c r="J229" s="117">
        <f t="shared" si="184"/>
        <v>4.8000000000000001E-2</v>
      </c>
      <c r="K229" s="117">
        <f t="shared" si="188"/>
        <v>1.2999999999999998E-2</v>
      </c>
      <c r="M229" s="147">
        <v>13.5</v>
      </c>
      <c r="N229" s="130">
        <f t="shared" si="160"/>
        <v>810</v>
      </c>
      <c r="O229" s="145">
        <f>J246</f>
        <v>0.79900000000000004</v>
      </c>
      <c r="P229" s="142">
        <f t="shared" si="148"/>
        <v>1.3499999999999956E-2</v>
      </c>
      <c r="Q229" s="112">
        <f t="shared" si="139"/>
        <v>17.320914398698918</v>
      </c>
      <c r="R229" s="158">
        <f t="shared" si="149"/>
        <v>0.29265625079153423</v>
      </c>
      <c r="S229" s="136">
        <f t="shared" si="140"/>
        <v>23.18068901832919</v>
      </c>
      <c r="T229" s="122">
        <f t="shared" si="150"/>
        <v>0.39166370681782325</v>
      </c>
      <c r="U229" s="112">
        <f t="shared" si="141"/>
        <v>26.55034310913593</v>
      </c>
      <c r="V229" s="122">
        <f t="shared" si="151"/>
        <v>0.44859778720066856</v>
      </c>
      <c r="W229" s="112">
        <f t="shared" si="142"/>
        <v>29.49588173173526</v>
      </c>
      <c r="X229" s="122">
        <f t="shared" si="152"/>
        <v>0.49836596167512681</v>
      </c>
      <c r="Y229" s="112">
        <f t="shared" si="143"/>
        <v>32.992087389920549</v>
      </c>
      <c r="Z229" s="122">
        <f t="shared" si="153"/>
        <v>0.55743827254558909</v>
      </c>
      <c r="AA229" s="112">
        <f t="shared" si="144"/>
        <v>35.432036091914384</v>
      </c>
      <c r="AB229" s="122">
        <f t="shared" si="154"/>
        <v>0.59866393897477366</v>
      </c>
      <c r="AC229" s="112">
        <f t="shared" si="145"/>
        <v>36.79765603874133</v>
      </c>
      <c r="AD229" s="122">
        <f t="shared" si="155"/>
        <v>0.62173761767585489</v>
      </c>
      <c r="AE229" s="112">
        <f t="shared" si="146"/>
        <v>40.646119808896202</v>
      </c>
      <c r="AF229" s="122">
        <f t="shared" si="156"/>
        <v>0.68676172393003299</v>
      </c>
      <c r="BL229">
        <f t="shared" si="185"/>
        <v>1.0448073046920643</v>
      </c>
      <c r="BM229">
        <f t="shared" si="186"/>
        <v>1.6989700043360187</v>
      </c>
      <c r="BN229">
        <f t="shared" si="187"/>
        <v>2.0791812460476247</v>
      </c>
      <c r="BZ229" s="155" t="s">
        <v>295</v>
      </c>
      <c r="CA229" s="126">
        <f>R207</f>
        <v>0.1192303243965509</v>
      </c>
      <c r="CB229" s="126">
        <f>T207</f>
        <v>0.15956669537022572</v>
      </c>
      <c r="CC229" s="126">
        <f>V207</f>
        <v>0.18276206145212504</v>
      </c>
      <c r="CD229" s="126">
        <f>X207</f>
        <v>0.20303798438616294</v>
      </c>
      <c r="CE229" s="126">
        <f>Z207</f>
        <v>0.22710448140746387</v>
      </c>
      <c r="CF229" s="126">
        <f>AB207</f>
        <v>0.24390012328601962</v>
      </c>
      <c r="CG229" s="126">
        <f>AD207</f>
        <v>0.25330051090497818</v>
      </c>
      <c r="CH229" s="126">
        <f>AF207</f>
        <v>0.27979181345297732</v>
      </c>
    </row>
    <row r="230" spans="3:86" x14ac:dyDescent="0.3">
      <c r="C230" s="407">
        <v>5</v>
      </c>
      <c r="D230" s="125">
        <v>0.10050000000000001</v>
      </c>
      <c r="E230" s="125">
        <v>0.161</v>
      </c>
      <c r="F230" s="125">
        <v>6.4000000000000001E-2</v>
      </c>
      <c r="G230" s="125">
        <v>5.7499999999999996E-2</v>
      </c>
      <c r="I230" s="345">
        <v>5</v>
      </c>
      <c r="J230" s="117">
        <f t="shared" si="184"/>
        <v>6.4000000000000001E-2</v>
      </c>
      <c r="K230" s="117">
        <f t="shared" si="188"/>
        <v>1.6E-2</v>
      </c>
      <c r="M230" s="140">
        <f>(M229+M231)/2</f>
        <v>13.75</v>
      </c>
      <c r="N230" s="130">
        <f t="shared" si="160"/>
        <v>825</v>
      </c>
      <c r="O230" s="144">
        <f>(O229+O231)/2</f>
        <v>0.8095</v>
      </c>
      <c r="P230" s="142">
        <f t="shared" si="148"/>
        <v>1.0499999999999954E-2</v>
      </c>
      <c r="Q230" s="112">
        <f t="shared" si="139"/>
        <v>17.548535927092331</v>
      </c>
      <c r="R230" s="158">
        <f t="shared" si="149"/>
        <v>0.22762152839341354</v>
      </c>
      <c r="S230" s="136">
        <f t="shared" si="140"/>
        <v>23.485316345854166</v>
      </c>
      <c r="T230" s="122">
        <f t="shared" si="150"/>
        <v>0.30462732752497601</v>
      </c>
      <c r="U230" s="112">
        <f t="shared" si="141"/>
        <v>26.899252499180893</v>
      </c>
      <c r="V230" s="122">
        <f t="shared" si="151"/>
        <v>0.34890939004496246</v>
      </c>
      <c r="W230" s="112">
        <f t="shared" si="142"/>
        <v>29.883499701927022</v>
      </c>
      <c r="X230" s="122">
        <f t="shared" si="152"/>
        <v>0.38761797019176214</v>
      </c>
      <c r="Y230" s="112">
        <f t="shared" si="143"/>
        <v>33.425650490789337</v>
      </c>
      <c r="Z230" s="122">
        <f t="shared" si="153"/>
        <v>0.43356310086878835</v>
      </c>
      <c r="AA230" s="112">
        <f t="shared" si="144"/>
        <v>35.89766360000587</v>
      </c>
      <c r="AB230" s="122">
        <f t="shared" si="154"/>
        <v>0.46562750809148667</v>
      </c>
      <c r="AC230" s="112">
        <f t="shared" si="145"/>
        <v>37.281229741378105</v>
      </c>
      <c r="AD230" s="122">
        <f t="shared" si="155"/>
        <v>0.48357370263677524</v>
      </c>
      <c r="AE230" s="112">
        <f t="shared" si="146"/>
        <v>41.18026781639734</v>
      </c>
      <c r="AF230" s="122">
        <f t="shared" si="156"/>
        <v>0.53414800750113756</v>
      </c>
      <c r="BL230">
        <f t="shared" si="185"/>
        <v>0.91325872566537702</v>
      </c>
      <c r="BM230">
        <f t="shared" si="186"/>
        <v>1.6989700043360187</v>
      </c>
      <c r="BN230">
        <f t="shared" si="187"/>
        <v>2.255272505103306</v>
      </c>
      <c r="BZ230" s="155" t="s">
        <v>296</v>
      </c>
      <c r="CA230" s="126">
        <f>SUM(R206:R207)</f>
        <v>0.23846064879310136</v>
      </c>
      <c r="CB230" s="126">
        <f>SUM(T206:T207)</f>
        <v>0.31913339074045144</v>
      </c>
      <c r="CC230" s="126">
        <f>SUM(V206:V207)</f>
        <v>0.36552412290424963</v>
      </c>
      <c r="CD230" s="126">
        <f>SUM(X206:X207)</f>
        <v>0.40607596877232499</v>
      </c>
      <c r="CE230" s="126">
        <f>SUM(Z206:Z207)</f>
        <v>0.45420896281492684</v>
      </c>
      <c r="CF230" s="126">
        <f>SUM(AB206:AB207)</f>
        <v>0.48780024657203835</v>
      </c>
      <c r="CG230" s="126">
        <f>SUM(AD206:AD207)</f>
        <v>0.50660102180995548</v>
      </c>
      <c r="CH230" s="126">
        <f>SUM(AF206:AF207)</f>
        <v>0.55958362690595465</v>
      </c>
    </row>
    <row r="231" spans="3:86" x14ac:dyDescent="0.3">
      <c r="C231" s="407">
        <v>6</v>
      </c>
      <c r="D231" s="124">
        <v>0.125</v>
      </c>
      <c r="E231" s="124">
        <v>0.20599999999999999</v>
      </c>
      <c r="F231" s="124">
        <v>0.08</v>
      </c>
      <c r="G231" s="124">
        <v>7.1999999999999995E-2</v>
      </c>
      <c r="I231" s="345">
        <v>6</v>
      </c>
      <c r="J231" s="117">
        <f t="shared" si="184"/>
        <v>0.08</v>
      </c>
      <c r="K231" s="117">
        <f t="shared" si="188"/>
        <v>1.6E-2</v>
      </c>
      <c r="M231" s="147">
        <v>14</v>
      </c>
      <c r="N231" s="130">
        <f t="shared" si="160"/>
        <v>840</v>
      </c>
      <c r="O231" s="145">
        <f t="shared" ref="O231:O241" si="189">J247</f>
        <v>0.82</v>
      </c>
      <c r="P231" s="142">
        <f t="shared" si="148"/>
        <v>1.0499999999999954E-2</v>
      </c>
      <c r="Q231" s="112">
        <f t="shared" si="139"/>
        <v>17.776157455485745</v>
      </c>
      <c r="R231" s="158">
        <f t="shared" si="149"/>
        <v>0.22762152839341354</v>
      </c>
      <c r="S231" s="136">
        <f t="shared" si="140"/>
        <v>23.789943673379142</v>
      </c>
      <c r="T231" s="122">
        <f t="shared" si="150"/>
        <v>0.30462732752497601</v>
      </c>
      <c r="U231" s="112">
        <f t="shared" si="141"/>
        <v>27.248161889225859</v>
      </c>
      <c r="V231" s="122">
        <f t="shared" si="151"/>
        <v>0.34890939004496602</v>
      </c>
      <c r="W231" s="112">
        <f t="shared" si="142"/>
        <v>30.271117672118784</v>
      </c>
      <c r="X231" s="122">
        <f t="shared" si="152"/>
        <v>0.38761797019176214</v>
      </c>
      <c r="Y231" s="112">
        <f t="shared" si="143"/>
        <v>33.859213591658126</v>
      </c>
      <c r="Z231" s="122">
        <f t="shared" si="153"/>
        <v>0.43356310086878835</v>
      </c>
      <c r="AA231" s="112">
        <f t="shared" si="144"/>
        <v>36.363291108097357</v>
      </c>
      <c r="AB231" s="122">
        <f t="shared" si="154"/>
        <v>0.46562750809148667</v>
      </c>
      <c r="AC231" s="112">
        <f t="shared" si="145"/>
        <v>37.764803444014881</v>
      </c>
      <c r="AD231" s="122">
        <f t="shared" si="155"/>
        <v>0.48357370263677524</v>
      </c>
      <c r="AE231" s="112">
        <f t="shared" si="146"/>
        <v>41.714415823898477</v>
      </c>
      <c r="AF231" s="122">
        <f t="shared" si="156"/>
        <v>0.53414800750113756</v>
      </c>
      <c r="BL231">
        <f t="shared" si="185"/>
        <v>0.81930388148692757</v>
      </c>
      <c r="BM231">
        <f t="shared" si="186"/>
        <v>1.6989700043360187</v>
      </c>
      <c r="BN231">
        <f t="shared" si="187"/>
        <v>2.3802112417116059</v>
      </c>
      <c r="BZ231" s="155" t="s">
        <v>297</v>
      </c>
      <c r="CA231" s="126">
        <f>SUM(R205:R207)</f>
        <v>0.35769097318965182</v>
      </c>
      <c r="CB231" s="126">
        <f>SUM(T205:T207)</f>
        <v>0.47870008611067716</v>
      </c>
      <c r="CC231" s="126">
        <f>SUM(V205:V207)</f>
        <v>0.54828618435637377</v>
      </c>
      <c r="CD231" s="126">
        <f>SUM(X205:X207)</f>
        <v>0.60911395315848704</v>
      </c>
      <c r="CE231" s="126">
        <f>SUM(Z205:Z207)</f>
        <v>0.68131344422238893</v>
      </c>
      <c r="CF231" s="126">
        <f>SUM(AB205:AB207)</f>
        <v>0.7317003698580562</v>
      </c>
      <c r="CG231" s="126">
        <f>SUM(AD205:AD207)</f>
        <v>0.75990153271493366</v>
      </c>
      <c r="CH231" s="126">
        <f>SUM(AF205:AF207)</f>
        <v>0.83937544035893197</v>
      </c>
    </row>
    <row r="232" spans="3:86" x14ac:dyDescent="0.3">
      <c r="C232" s="407">
        <v>7</v>
      </c>
      <c r="D232" s="124">
        <v>0.156</v>
      </c>
      <c r="E232" s="124">
        <v>0.26800000000000002</v>
      </c>
      <c r="F232" s="124">
        <v>9.8000000000000004E-2</v>
      </c>
      <c r="G232" s="124">
        <v>8.8999999999999996E-2</v>
      </c>
      <c r="I232" s="345">
        <v>7</v>
      </c>
      <c r="J232" s="117">
        <f t="shared" si="184"/>
        <v>9.8000000000000004E-2</v>
      </c>
      <c r="K232" s="117">
        <f t="shared" si="188"/>
        <v>1.8000000000000002E-2</v>
      </c>
      <c r="M232" s="140">
        <f t="shared" ref="M232:M241" si="190">I248</f>
        <v>15</v>
      </c>
      <c r="N232" s="130">
        <f>N231+60</f>
        <v>900</v>
      </c>
      <c r="O232" s="145">
        <f t="shared" si="189"/>
        <v>0.85</v>
      </c>
      <c r="P232" s="142">
        <f t="shared" si="148"/>
        <v>3.0000000000000027E-2</v>
      </c>
      <c r="Q232" s="112">
        <f t="shared" si="139"/>
        <v>18.426504679466934</v>
      </c>
      <c r="R232" s="158">
        <f t="shared" si="149"/>
        <v>0.65034722398118916</v>
      </c>
      <c r="S232" s="136">
        <f t="shared" si="140"/>
        <v>24.66030746630765</v>
      </c>
      <c r="T232" s="122">
        <f t="shared" si="150"/>
        <v>0.87036379292850796</v>
      </c>
      <c r="U232" s="112">
        <f t="shared" si="141"/>
        <v>28.245045860782902</v>
      </c>
      <c r="V232" s="122">
        <f t="shared" si="151"/>
        <v>0.99688397155704322</v>
      </c>
      <c r="W232" s="112">
        <f t="shared" si="142"/>
        <v>31.378597586952402</v>
      </c>
      <c r="X232" s="122">
        <f t="shared" si="152"/>
        <v>1.1074799148336183</v>
      </c>
      <c r="Y232" s="112">
        <f t="shared" si="143"/>
        <v>35.097965308426112</v>
      </c>
      <c r="Z232" s="122">
        <f t="shared" si="153"/>
        <v>1.238751716767986</v>
      </c>
      <c r="AA232" s="112">
        <f t="shared" si="144"/>
        <v>37.693655416930191</v>
      </c>
      <c r="AB232" s="122">
        <f t="shared" si="154"/>
        <v>1.3303643088328343</v>
      </c>
      <c r="AC232" s="112">
        <f t="shared" si="145"/>
        <v>39.14644259440567</v>
      </c>
      <c r="AD232" s="122">
        <f t="shared" si="155"/>
        <v>1.3816391503907894</v>
      </c>
      <c r="AE232" s="112">
        <f t="shared" si="146"/>
        <v>43.240552988187446</v>
      </c>
      <c r="AF232" s="122">
        <f t="shared" si="156"/>
        <v>1.5261371642889685</v>
      </c>
      <c r="BL232" s="106">
        <f t="shared" si="185"/>
        <v>0.74490807454444785</v>
      </c>
      <c r="BM232" s="106">
        <f t="shared" si="186"/>
        <v>1.6989700043360187</v>
      </c>
      <c r="BN232" s="106">
        <f t="shared" si="187"/>
        <v>2.4771212547196626</v>
      </c>
      <c r="BZ232" s="155" t="s">
        <v>298</v>
      </c>
      <c r="CA232" s="126">
        <f>SUM(R204:R207)</f>
        <v>0.47692129758620272</v>
      </c>
      <c r="CB232" s="126">
        <f>SUM(T204:T207)</f>
        <v>0.63826678148090332</v>
      </c>
      <c r="CC232" s="126">
        <f>SUM(V204:V207)</f>
        <v>0.73104824580849881</v>
      </c>
      <c r="CD232" s="126">
        <f>SUM(X204:X207)</f>
        <v>0.81215193754464998</v>
      </c>
      <c r="CE232" s="126">
        <f>SUM(Z204:Z207)</f>
        <v>0.9084179256298528</v>
      </c>
      <c r="CF232" s="126">
        <f>SUM(AB204:AB207)</f>
        <v>0.97560049314407582</v>
      </c>
      <c r="CG232" s="126">
        <f>SUM(AD204:AD207)</f>
        <v>1.013202043619911</v>
      </c>
      <c r="CH232" s="126">
        <f>SUM(AF204:AF207)</f>
        <v>1.1191672538119093</v>
      </c>
    </row>
    <row r="233" spans="3:86" x14ac:dyDescent="0.3">
      <c r="C233" s="407">
        <v>8</v>
      </c>
      <c r="D233" s="124">
        <v>0.19400000000000001</v>
      </c>
      <c r="E233" s="124">
        <v>0.42499999999999999</v>
      </c>
      <c r="F233" s="124">
        <v>0.12</v>
      </c>
      <c r="G233" s="124">
        <v>0.115</v>
      </c>
      <c r="I233" s="345">
        <v>8</v>
      </c>
      <c r="J233" s="117">
        <f t="shared" si="184"/>
        <v>0.12</v>
      </c>
      <c r="K233" s="117">
        <f t="shared" si="188"/>
        <v>2.1999999999999992E-2</v>
      </c>
      <c r="M233" s="140">
        <f t="shared" si="190"/>
        <v>16</v>
      </c>
      <c r="N233" s="130">
        <f t="shared" ref="N233:N241" si="191">N232+60</f>
        <v>960</v>
      </c>
      <c r="O233" s="145">
        <f t="shared" si="189"/>
        <v>0.88</v>
      </c>
      <c r="P233" s="142">
        <f t="shared" si="148"/>
        <v>3.0000000000000027E-2</v>
      </c>
      <c r="Q233" s="112">
        <f t="shared" si="139"/>
        <v>19.076851903448119</v>
      </c>
      <c r="R233" s="158">
        <f t="shared" si="149"/>
        <v>0.65034722398118561</v>
      </c>
      <c r="S233" s="136">
        <f t="shared" si="140"/>
        <v>25.530671259236154</v>
      </c>
      <c r="T233" s="122">
        <f t="shared" si="150"/>
        <v>0.87036379292850441</v>
      </c>
      <c r="U233" s="112">
        <f>O233*$V$191</f>
        <v>29.241929832339949</v>
      </c>
      <c r="V233" s="122">
        <f t="shared" si="151"/>
        <v>0.99688397155704678</v>
      </c>
      <c r="W233" s="112">
        <f t="shared" si="142"/>
        <v>32.486077501786013</v>
      </c>
      <c r="X233" s="122">
        <f t="shared" si="152"/>
        <v>1.1074799148336112</v>
      </c>
      <c r="Y233" s="112">
        <f t="shared" si="143"/>
        <v>36.336717025194091</v>
      </c>
      <c r="Z233" s="122">
        <f t="shared" si="153"/>
        <v>1.2387517167679789</v>
      </c>
      <c r="AA233" s="112">
        <f t="shared" si="144"/>
        <v>39.024019725763019</v>
      </c>
      <c r="AB233" s="122">
        <f t="shared" si="154"/>
        <v>1.3303643088328272</v>
      </c>
      <c r="AC233" s="112">
        <f t="shared" si="145"/>
        <v>40.528081744796459</v>
      </c>
      <c r="AD233" s="122">
        <f t="shared" si="155"/>
        <v>1.3816391503907894</v>
      </c>
      <c r="AE233" s="112">
        <f t="shared" si="146"/>
        <v>44.766690152476414</v>
      </c>
      <c r="AF233" s="122">
        <f t="shared" si="156"/>
        <v>1.5261371642889685</v>
      </c>
      <c r="BL233">
        <f>LOG(AD249)</f>
        <v>1.7346307481551635</v>
      </c>
      <c r="BM233">
        <f>LOG($AD$248)</f>
        <v>2</v>
      </c>
      <c r="BN233">
        <f>LOG(X249)</f>
        <v>1.1760912590556813</v>
      </c>
      <c r="BZ233" s="155" t="s">
        <v>299</v>
      </c>
      <c r="CA233" s="126">
        <f>SUM(R204:R209)</f>
        <v>0.75873842797805002</v>
      </c>
      <c r="CB233" s="126">
        <f>SUM(T204:T209)</f>
        <v>1.015424425083256</v>
      </c>
      <c r="CC233" s="126">
        <f>SUM(V204:V209)</f>
        <v>1.1630313001498842</v>
      </c>
      <c r="CD233" s="126">
        <f>SUM(X204:X209)</f>
        <v>1.2920599006392166</v>
      </c>
      <c r="CE233" s="126">
        <f>SUM(Z204:Z209)</f>
        <v>1.4452103362293114</v>
      </c>
      <c r="CF233" s="126">
        <f>SUM(AB204:AB209)</f>
        <v>1.5520916936383022</v>
      </c>
      <c r="CG233" s="126">
        <f>SUM(AD204:AD209)</f>
        <v>1.6119123421225865</v>
      </c>
      <c r="CH233" s="126">
        <f>SUM(AF204:AF209)</f>
        <v>1.7804933583371296</v>
      </c>
    </row>
    <row r="234" spans="3:86" x14ac:dyDescent="0.3">
      <c r="C234" s="407">
        <v>8.5</v>
      </c>
      <c r="D234" s="124">
        <v>0.219</v>
      </c>
      <c r="E234" s="124">
        <v>0.48</v>
      </c>
      <c r="F234" s="124">
        <v>0.13300000000000001</v>
      </c>
      <c r="G234" s="124">
        <v>0.13</v>
      </c>
      <c r="I234" s="345">
        <v>8.5</v>
      </c>
      <c r="J234" s="117">
        <f t="shared" si="184"/>
        <v>0.13300000000000001</v>
      </c>
      <c r="K234" s="117">
        <f t="shared" si="188"/>
        <v>1.3000000000000012E-2</v>
      </c>
      <c r="M234" s="140">
        <f t="shared" si="190"/>
        <v>17</v>
      </c>
      <c r="N234" s="130">
        <f t="shared" si="191"/>
        <v>1020</v>
      </c>
      <c r="O234" s="145">
        <f t="shared" si="189"/>
        <v>0.89800000000000002</v>
      </c>
      <c r="P234" s="142">
        <f t="shared" si="148"/>
        <v>1.8000000000000016E-2</v>
      </c>
      <c r="Q234" s="112">
        <f t="shared" si="139"/>
        <v>19.467060237836829</v>
      </c>
      <c r="R234" s="158">
        <f t="shared" si="149"/>
        <v>0.39020833438870994</v>
      </c>
      <c r="S234" s="136">
        <f t="shared" si="140"/>
        <v>26.052889534993259</v>
      </c>
      <c r="T234" s="122">
        <f t="shared" si="150"/>
        <v>0.52221827575710478</v>
      </c>
      <c r="U234" s="112">
        <f t="shared" si="141"/>
        <v>29.840060215274175</v>
      </c>
      <c r="V234" s="122">
        <f t="shared" si="151"/>
        <v>0.59813038293422593</v>
      </c>
      <c r="W234" s="112">
        <f t="shared" si="142"/>
        <v>33.150565450686187</v>
      </c>
      <c r="X234" s="122">
        <f t="shared" si="152"/>
        <v>0.66448794890017382</v>
      </c>
      <c r="Y234" s="112">
        <f t="shared" si="143"/>
        <v>37.079968055254881</v>
      </c>
      <c r="Z234" s="122">
        <f t="shared" si="153"/>
        <v>0.74325103006079019</v>
      </c>
      <c r="AA234" s="112">
        <f t="shared" si="144"/>
        <v>39.822238311062719</v>
      </c>
      <c r="AB234" s="122">
        <f t="shared" si="154"/>
        <v>0.79821858529970058</v>
      </c>
      <c r="AC234" s="112">
        <f t="shared" si="145"/>
        <v>41.35706523503093</v>
      </c>
      <c r="AD234" s="122">
        <f t="shared" si="155"/>
        <v>0.82898349023447082</v>
      </c>
      <c r="AE234" s="112">
        <f t="shared" si="146"/>
        <v>45.682372451049794</v>
      </c>
      <c r="AF234" s="122">
        <f t="shared" si="156"/>
        <v>0.91568229857337968</v>
      </c>
      <c r="BL234">
        <f t="shared" ref="BL234:BL241" si="192">LOG(AD250)</f>
        <v>1.5276629226264125</v>
      </c>
      <c r="BM234">
        <f t="shared" ref="BM234:BM241" si="193">LOG($AD$248)</f>
        <v>2</v>
      </c>
      <c r="BN234">
        <f t="shared" ref="BN234:BN241" si="194">LOG(X250)</f>
        <v>1.4771212547196624</v>
      </c>
      <c r="BZ234" s="155" t="s">
        <v>300</v>
      </c>
      <c r="CA234" s="126">
        <f>SUM(R204:R211)</f>
        <v>1.0622337991692699</v>
      </c>
      <c r="CB234" s="126">
        <f>SUM(T204:T211)</f>
        <v>1.4215941951165583</v>
      </c>
      <c r="CC234" s="126">
        <f>SUM(V204:V211)</f>
        <v>1.6282438202098377</v>
      </c>
      <c r="CD234" s="126">
        <f>SUM(X204:X211)</f>
        <v>1.8088838608949027</v>
      </c>
      <c r="CE234" s="126">
        <f>SUM(Z204:Z211)</f>
        <v>2.0232944707210345</v>
      </c>
      <c r="CF234" s="126">
        <f>SUM(AB204:AB211)</f>
        <v>2.1729283710936222</v>
      </c>
      <c r="CG234" s="126">
        <f>SUM(AD204:AD211)</f>
        <v>2.2566772789716198</v>
      </c>
      <c r="CH234" s="126">
        <f>SUM(AF204:AF211)</f>
        <v>2.4926907016719815</v>
      </c>
    </row>
    <row r="235" spans="3:86" x14ac:dyDescent="0.3">
      <c r="C235" s="407">
        <v>9</v>
      </c>
      <c r="D235" s="124">
        <v>0.254</v>
      </c>
      <c r="E235" s="124">
        <v>0.52</v>
      </c>
      <c r="F235" s="124">
        <v>0.14699999999999999</v>
      </c>
      <c r="G235" s="124">
        <v>0.14799999999999999</v>
      </c>
      <c r="I235" s="345">
        <v>9</v>
      </c>
      <c r="J235" s="117">
        <f t="shared" si="184"/>
        <v>0.14699999999999999</v>
      </c>
      <c r="K235" s="117">
        <f t="shared" si="188"/>
        <v>1.3999999999999985E-2</v>
      </c>
      <c r="M235" s="140">
        <f t="shared" si="190"/>
        <v>18</v>
      </c>
      <c r="N235" s="130">
        <f t="shared" si="191"/>
        <v>1080</v>
      </c>
      <c r="O235" s="145">
        <f t="shared" si="189"/>
        <v>0.91600000000000004</v>
      </c>
      <c r="P235" s="142">
        <f t="shared" si="148"/>
        <v>1.8000000000000016E-2</v>
      </c>
      <c r="Q235" s="112">
        <f t="shared" si="139"/>
        <v>19.857268572225543</v>
      </c>
      <c r="R235" s="158">
        <f t="shared" si="149"/>
        <v>0.3902083343887135</v>
      </c>
      <c r="S235" s="136">
        <f t="shared" si="140"/>
        <v>26.57510781075036</v>
      </c>
      <c r="T235" s="122">
        <f t="shared" si="150"/>
        <v>0.52221827575710122</v>
      </c>
      <c r="U235" s="112">
        <f t="shared" si="141"/>
        <v>30.438190598208401</v>
      </c>
      <c r="V235" s="122">
        <f t="shared" si="151"/>
        <v>0.59813038293422593</v>
      </c>
      <c r="W235" s="112">
        <f t="shared" si="142"/>
        <v>33.815053399586354</v>
      </c>
      <c r="X235" s="122">
        <f t="shared" si="152"/>
        <v>0.66448794890016671</v>
      </c>
      <c r="Y235" s="112">
        <f t="shared" si="143"/>
        <v>37.823219085315671</v>
      </c>
      <c r="Z235" s="122">
        <f t="shared" si="153"/>
        <v>0.74325103006079019</v>
      </c>
      <c r="AA235" s="112">
        <f t="shared" si="144"/>
        <v>40.62045689636242</v>
      </c>
      <c r="AB235" s="122">
        <f t="shared" si="154"/>
        <v>0.79821858529970058</v>
      </c>
      <c r="AC235" s="112">
        <f t="shared" si="145"/>
        <v>42.186048725265401</v>
      </c>
      <c r="AD235" s="122">
        <f t="shared" si="155"/>
        <v>0.82898349023447082</v>
      </c>
      <c r="AE235" s="112">
        <f t="shared" si="146"/>
        <v>46.598054749623181</v>
      </c>
      <c r="AF235" s="122">
        <f t="shared" si="156"/>
        <v>0.91568229857338679</v>
      </c>
      <c r="BL235">
        <f t="shared" si="192"/>
        <v>1.3908813975806638</v>
      </c>
      <c r="BM235">
        <f t="shared" si="193"/>
        <v>2</v>
      </c>
      <c r="BN235">
        <f t="shared" si="194"/>
        <v>1.6532125137753437</v>
      </c>
      <c r="BZ235" s="155" t="s">
        <v>301</v>
      </c>
      <c r="CA235" s="126">
        <f>SUM(R200:R211)</f>
        <v>1.4524421335579816</v>
      </c>
      <c r="CB235" s="126">
        <f>SUM(T200:T211)</f>
        <v>1.9438124708736617</v>
      </c>
      <c r="CC235" s="126">
        <f>SUM(V200:V211)</f>
        <v>2.2263742031440636</v>
      </c>
      <c r="CD235" s="126">
        <f>SUM(X200:X211)</f>
        <v>2.4733718097950712</v>
      </c>
      <c r="CE235" s="126">
        <f>SUM(Z200:Z211)</f>
        <v>2.7665455007818225</v>
      </c>
      <c r="CF235" s="126">
        <f>SUM(AB200:AB211)</f>
        <v>2.9711469563933202</v>
      </c>
      <c r="CG235" s="126">
        <f>SUM(AD200:AD211)</f>
        <v>3.0856607692060933</v>
      </c>
      <c r="CH235" s="126">
        <f>SUM(AF200:AF211)</f>
        <v>3.4083730002453629</v>
      </c>
    </row>
    <row r="236" spans="3:86" x14ac:dyDescent="0.3">
      <c r="C236" s="407">
        <v>9.5</v>
      </c>
      <c r="D236" s="124">
        <v>0.30299999999999999</v>
      </c>
      <c r="E236" s="124">
        <v>0.55000000000000004</v>
      </c>
      <c r="F236" s="124">
        <v>0.16300000000000001</v>
      </c>
      <c r="G236" s="124">
        <v>0.16700000000000001</v>
      </c>
      <c r="I236" s="345">
        <v>9.5</v>
      </c>
      <c r="J236" s="117">
        <f t="shared" si="184"/>
        <v>0.16300000000000001</v>
      </c>
      <c r="K236" s="117">
        <f t="shared" si="188"/>
        <v>1.6000000000000014E-2</v>
      </c>
      <c r="M236" s="140">
        <f t="shared" si="190"/>
        <v>19</v>
      </c>
      <c r="N236" s="130">
        <f t="shared" si="191"/>
        <v>1140</v>
      </c>
      <c r="O236" s="145">
        <f t="shared" si="189"/>
        <v>0.93400000000000005</v>
      </c>
      <c r="P236" s="142">
        <f t="shared" si="148"/>
        <v>1.8000000000000016E-2</v>
      </c>
      <c r="Q236" s="112">
        <f t="shared" si="139"/>
        <v>20.247476906614253</v>
      </c>
      <c r="R236" s="158">
        <f t="shared" si="149"/>
        <v>0.39020833438870994</v>
      </c>
      <c r="S236" s="136">
        <f t="shared" si="140"/>
        <v>27.097326086507465</v>
      </c>
      <c r="T236" s="122">
        <f t="shared" si="150"/>
        <v>0.52221827575710478</v>
      </c>
      <c r="U236" s="112">
        <f t="shared" si="141"/>
        <v>31.036320981142627</v>
      </c>
      <c r="V236" s="122">
        <f t="shared" si="151"/>
        <v>0.59813038293422593</v>
      </c>
      <c r="W236" s="112">
        <f t="shared" si="142"/>
        <v>34.479541348486521</v>
      </c>
      <c r="X236" s="122">
        <f t="shared" si="152"/>
        <v>0.66448794890016671</v>
      </c>
      <c r="Y236" s="112">
        <f t="shared" si="143"/>
        <v>38.566470115376461</v>
      </c>
      <c r="Z236" s="122">
        <f t="shared" si="153"/>
        <v>0.74325103006079019</v>
      </c>
      <c r="AA236" s="112">
        <f t="shared" si="144"/>
        <v>41.41867548166212</v>
      </c>
      <c r="AB236" s="122">
        <f t="shared" si="154"/>
        <v>0.79821858529970058</v>
      </c>
      <c r="AC236" s="112">
        <f t="shared" si="145"/>
        <v>43.015032215499879</v>
      </c>
      <c r="AD236" s="122">
        <f t="shared" si="155"/>
        <v>0.82898349023447793</v>
      </c>
      <c r="AE236" s="112">
        <f t="shared" si="146"/>
        <v>47.51373704819656</v>
      </c>
      <c r="AF236" s="122">
        <f t="shared" si="156"/>
        <v>0.91568229857337968</v>
      </c>
      <c r="BL236">
        <f t="shared" si="192"/>
        <v>1.3019877651570031</v>
      </c>
      <c r="BM236">
        <f t="shared" si="193"/>
        <v>2</v>
      </c>
      <c r="BN236">
        <f t="shared" si="194"/>
        <v>1.7781512503836436</v>
      </c>
      <c r="BZ236" s="155" t="s">
        <v>302</v>
      </c>
      <c r="CA236" s="126">
        <f>SUM(R200:R215)</f>
        <v>2.1895023207366591</v>
      </c>
      <c r="CB236" s="126">
        <f>SUM(T200:T215)</f>
        <v>2.9302247695259678</v>
      </c>
      <c r="CC236" s="126">
        <f>SUM(V200:V215)</f>
        <v>3.3561760375753802</v>
      </c>
      <c r="CD236" s="126">
        <f>SUM(X200:X215)</f>
        <v>3.7285157132731674</v>
      </c>
      <c r="CE236" s="126">
        <f>SUM(Z200:Z215)</f>
        <v>4.1704641131188662</v>
      </c>
      <c r="CF236" s="126">
        <f>SUM(AB200:AB215)</f>
        <v>4.4788931730705279</v>
      </c>
      <c r="CG236" s="126">
        <f>SUM(AD200:AD215)</f>
        <v>4.6515184729823211</v>
      </c>
      <c r="CH236" s="126">
        <f>SUM(AF200:AF215)</f>
        <v>5.1379951197728602</v>
      </c>
    </row>
    <row r="237" spans="3:86" x14ac:dyDescent="0.3">
      <c r="C237" s="407">
        <v>9.75</v>
      </c>
      <c r="D237" s="124">
        <v>0.36199999999999999</v>
      </c>
      <c r="E237" s="124">
        <v>0.56399999999999995</v>
      </c>
      <c r="F237" s="124">
        <v>0.17199999999999999</v>
      </c>
      <c r="G237" s="124">
        <v>0.17799999999999999</v>
      </c>
      <c r="I237" s="345">
        <v>9.75</v>
      </c>
      <c r="J237" s="117">
        <f t="shared" si="184"/>
        <v>0.17199999999999999</v>
      </c>
      <c r="K237" s="117">
        <f t="shared" si="188"/>
        <v>8.9999999999999802E-3</v>
      </c>
      <c r="M237" s="140">
        <f t="shared" si="190"/>
        <v>20</v>
      </c>
      <c r="N237" s="130">
        <f t="shared" si="191"/>
        <v>1200</v>
      </c>
      <c r="O237" s="145">
        <f t="shared" si="189"/>
        <v>0.95199999999999996</v>
      </c>
      <c r="P237" s="142">
        <f t="shared" si="148"/>
        <v>1.7999999999999905E-2</v>
      </c>
      <c r="Q237" s="112">
        <f t="shared" si="139"/>
        <v>20.637685241002963</v>
      </c>
      <c r="R237" s="158">
        <f t="shared" si="149"/>
        <v>0.39020833438870994</v>
      </c>
      <c r="S237" s="136">
        <f t="shared" si="140"/>
        <v>27.619544362264566</v>
      </c>
      <c r="T237" s="122">
        <f t="shared" si="150"/>
        <v>0.52221827575710122</v>
      </c>
      <c r="U237" s="112">
        <f t="shared" si="141"/>
        <v>31.634451364076849</v>
      </c>
      <c r="V237" s="122">
        <f t="shared" si="151"/>
        <v>0.59813038293422238</v>
      </c>
      <c r="W237" s="112">
        <f t="shared" si="142"/>
        <v>35.144029297386687</v>
      </c>
      <c r="X237" s="122">
        <f t="shared" si="152"/>
        <v>0.66448794890016671</v>
      </c>
      <c r="Y237" s="112">
        <f t="shared" si="143"/>
        <v>39.309721145437244</v>
      </c>
      <c r="Z237" s="122">
        <f t="shared" si="153"/>
        <v>0.74325103006078308</v>
      </c>
      <c r="AA237" s="112">
        <f t="shared" si="144"/>
        <v>42.216894066961814</v>
      </c>
      <c r="AB237" s="122">
        <f t="shared" si="154"/>
        <v>0.79821858529969347</v>
      </c>
      <c r="AC237" s="112">
        <f t="shared" si="145"/>
        <v>43.84401570573435</v>
      </c>
      <c r="AD237" s="122">
        <f t="shared" si="155"/>
        <v>0.82898349023447082</v>
      </c>
      <c r="AE237" s="112">
        <f t="shared" si="146"/>
        <v>48.429419346769933</v>
      </c>
      <c r="AF237" s="122">
        <f t="shared" si="156"/>
        <v>0.91568229857337258</v>
      </c>
      <c r="BL237">
        <f t="shared" si="192"/>
        <v>1.1697280756259587</v>
      </c>
      <c r="BM237">
        <f t="shared" si="193"/>
        <v>2</v>
      </c>
      <c r="BN237">
        <f t="shared" si="194"/>
        <v>1.954242509439325</v>
      </c>
      <c r="BZ237" s="155" t="s">
        <v>303</v>
      </c>
      <c r="CA237" s="126">
        <f>SUM(R200:R219)</f>
        <v>3.3601273239027938</v>
      </c>
      <c r="CB237" s="126">
        <f>SUM(T200:T219)</f>
        <v>4.4968795967972772</v>
      </c>
      <c r="CC237" s="126">
        <f>SUM(V200:V219)</f>
        <v>5.1505671863780584</v>
      </c>
      <c r="CD237" s="126">
        <f>SUM(X200:X219)</f>
        <v>5.7219795599736729</v>
      </c>
      <c r="CE237" s="126">
        <f>SUM(Z200:Z219)</f>
        <v>6.4002172033012306</v>
      </c>
      <c r="CF237" s="126">
        <f>SUM(AB200:AB219)</f>
        <v>6.8735489289696226</v>
      </c>
      <c r="CG237" s="126">
        <f>SUM(AD200:AD219)</f>
        <v>7.1384689436857389</v>
      </c>
      <c r="CH237" s="126">
        <f>SUM(AF200:AF219)</f>
        <v>7.8850420154930045</v>
      </c>
    </row>
    <row r="238" spans="3:86" x14ac:dyDescent="0.3">
      <c r="C238" s="407">
        <v>10</v>
      </c>
      <c r="D238" s="124">
        <v>0.51500000000000001</v>
      </c>
      <c r="E238" s="124">
        <v>0.57699999999999996</v>
      </c>
      <c r="F238" s="124">
        <v>0.18099999999999999</v>
      </c>
      <c r="G238" s="124">
        <v>0.189</v>
      </c>
      <c r="I238" s="345">
        <v>10</v>
      </c>
      <c r="J238" s="117">
        <f t="shared" si="184"/>
        <v>0.18099999999999999</v>
      </c>
      <c r="K238" s="117">
        <f t="shared" si="188"/>
        <v>9.000000000000008E-3</v>
      </c>
      <c r="M238" s="140">
        <f t="shared" si="190"/>
        <v>21</v>
      </c>
      <c r="N238" s="130">
        <f t="shared" si="191"/>
        <v>1260</v>
      </c>
      <c r="O238" s="145">
        <f t="shared" si="189"/>
        <v>0.96399999999999997</v>
      </c>
      <c r="P238" s="142">
        <f t="shared" si="148"/>
        <v>1.2000000000000011E-2</v>
      </c>
      <c r="Q238" s="112">
        <f t="shared" si="139"/>
        <v>20.897824130595438</v>
      </c>
      <c r="R238" s="158">
        <f t="shared" si="149"/>
        <v>0.26013888959247566</v>
      </c>
      <c r="S238" s="136">
        <f t="shared" si="140"/>
        <v>27.967689879435969</v>
      </c>
      <c r="T238" s="122">
        <f t="shared" si="150"/>
        <v>0.34814551717140318</v>
      </c>
      <c r="U238" s="112">
        <f t="shared" si="141"/>
        <v>32.03320495269967</v>
      </c>
      <c r="V238" s="122">
        <f t="shared" si="151"/>
        <v>0.39875358862282084</v>
      </c>
      <c r="W238" s="112">
        <f t="shared" si="142"/>
        <v>35.587021263320132</v>
      </c>
      <c r="X238" s="122">
        <f t="shared" si="152"/>
        <v>0.44299196593344448</v>
      </c>
      <c r="Y238" s="112">
        <f t="shared" si="143"/>
        <v>39.805221832144433</v>
      </c>
      <c r="Z238" s="122">
        <f t="shared" si="153"/>
        <v>0.49550068670718872</v>
      </c>
      <c r="AA238" s="112">
        <f t="shared" si="144"/>
        <v>42.74903979049494</v>
      </c>
      <c r="AB238" s="122">
        <f t="shared" si="154"/>
        <v>0.53214572353312661</v>
      </c>
      <c r="AC238" s="112">
        <f t="shared" si="145"/>
        <v>44.396671365890661</v>
      </c>
      <c r="AD238" s="122">
        <f t="shared" si="155"/>
        <v>0.55265566015631151</v>
      </c>
      <c r="AE238" s="112">
        <f t="shared" si="146"/>
        <v>49.039874212485522</v>
      </c>
      <c r="AF238" s="122">
        <f t="shared" si="156"/>
        <v>0.61045486571558882</v>
      </c>
      <c r="BL238">
        <f t="shared" si="192"/>
        <v>1.0757936203811955</v>
      </c>
      <c r="BM238">
        <f t="shared" si="193"/>
        <v>2</v>
      </c>
      <c r="BN238">
        <f t="shared" si="194"/>
        <v>2.0791812460476247</v>
      </c>
      <c r="BZ238" s="155"/>
      <c r="CA238" s="127"/>
      <c r="CB238" s="127"/>
      <c r="CC238" s="127"/>
      <c r="CD238" s="127"/>
      <c r="CE238" s="127"/>
      <c r="CF238" s="127"/>
      <c r="CG238" s="127"/>
      <c r="CH238" s="127"/>
    </row>
    <row r="239" spans="3:86" x14ac:dyDescent="0.3">
      <c r="C239" s="407">
        <v>10.5</v>
      </c>
      <c r="D239" s="124">
        <v>0.58299999999999996</v>
      </c>
      <c r="E239" s="124">
        <v>0.60099999999999998</v>
      </c>
      <c r="F239" s="124">
        <v>0.20399999999999999</v>
      </c>
      <c r="G239" s="124">
        <v>0.216</v>
      </c>
      <c r="I239" s="345">
        <v>10.5</v>
      </c>
      <c r="J239" s="117">
        <f t="shared" si="184"/>
        <v>0.20399999999999999</v>
      </c>
      <c r="K239" s="117">
        <f t="shared" si="188"/>
        <v>2.2999999999999993E-2</v>
      </c>
      <c r="M239" s="140">
        <f t="shared" si="190"/>
        <v>22</v>
      </c>
      <c r="N239" s="130">
        <f t="shared" si="191"/>
        <v>1320</v>
      </c>
      <c r="O239" s="145">
        <f t="shared" si="189"/>
        <v>0.97599999999999998</v>
      </c>
      <c r="P239" s="142">
        <f t="shared" si="148"/>
        <v>1.2000000000000011E-2</v>
      </c>
      <c r="Q239" s="112">
        <f t="shared" si="139"/>
        <v>21.157963020187914</v>
      </c>
      <c r="R239" s="158">
        <f t="shared" si="149"/>
        <v>0.26013888959247566</v>
      </c>
      <c r="S239" s="136">
        <f t="shared" si="140"/>
        <v>28.315835396607369</v>
      </c>
      <c r="T239" s="122">
        <f t="shared" si="150"/>
        <v>0.34814551717139963</v>
      </c>
      <c r="U239" s="112">
        <f>O239*$V$191</f>
        <v>32.431958541322487</v>
      </c>
      <c r="V239" s="122">
        <f t="shared" si="151"/>
        <v>0.39875358862281729</v>
      </c>
      <c r="W239" s="112">
        <f t="shared" si="142"/>
        <v>36.030013229253584</v>
      </c>
      <c r="X239" s="122">
        <f t="shared" si="152"/>
        <v>0.44299196593345158</v>
      </c>
      <c r="Y239" s="112">
        <f t="shared" si="143"/>
        <v>40.300722518851629</v>
      </c>
      <c r="Z239" s="122">
        <f t="shared" si="153"/>
        <v>0.49550068670719583</v>
      </c>
      <c r="AA239" s="112">
        <f t="shared" si="144"/>
        <v>43.281185514028074</v>
      </c>
      <c r="AB239" s="122">
        <f t="shared" si="154"/>
        <v>0.53214572353313372</v>
      </c>
      <c r="AC239" s="112">
        <f t="shared" si="145"/>
        <v>44.94932702604698</v>
      </c>
      <c r="AD239" s="122">
        <f t="shared" si="155"/>
        <v>0.55265566015631862</v>
      </c>
      <c r="AE239" s="112">
        <f t="shared" si="146"/>
        <v>49.650329078201111</v>
      </c>
      <c r="AF239" s="122">
        <f t="shared" si="156"/>
        <v>0.61045486571558882</v>
      </c>
      <c r="BL239">
        <f t="shared" si="192"/>
        <v>0.94424504135450826</v>
      </c>
      <c r="BM239">
        <f t="shared" si="193"/>
        <v>2</v>
      </c>
      <c r="BN239">
        <f t="shared" si="194"/>
        <v>2.255272505103306</v>
      </c>
      <c r="BZ239" s="155"/>
      <c r="CA239" s="127" t="s">
        <v>200</v>
      </c>
      <c r="CB239" s="127" t="s">
        <v>200</v>
      </c>
      <c r="CC239" s="127" t="s">
        <v>200</v>
      </c>
      <c r="CD239" s="127" t="s">
        <v>200</v>
      </c>
      <c r="CE239" s="127" t="s">
        <v>200</v>
      </c>
      <c r="CF239" s="127" t="s">
        <v>200</v>
      </c>
      <c r="CG239" s="127" t="s">
        <v>200</v>
      </c>
      <c r="CH239" s="127" t="s">
        <v>200</v>
      </c>
    </row>
    <row r="240" spans="3:86" x14ac:dyDescent="0.3">
      <c r="C240" s="407">
        <v>11</v>
      </c>
      <c r="D240" s="124">
        <v>0.624</v>
      </c>
      <c r="E240" s="124">
        <v>0.624</v>
      </c>
      <c r="F240" s="124">
        <v>0.23499999999999999</v>
      </c>
      <c r="G240" s="124">
        <v>0.25</v>
      </c>
      <c r="I240" s="345">
        <v>11</v>
      </c>
      <c r="J240" s="117">
        <f t="shared" si="184"/>
        <v>0.23499999999999999</v>
      </c>
      <c r="K240" s="117">
        <f t="shared" si="188"/>
        <v>3.1E-2</v>
      </c>
      <c r="M240" s="140">
        <f t="shared" si="190"/>
        <v>23</v>
      </c>
      <c r="N240" s="130">
        <f t="shared" si="191"/>
        <v>1380</v>
      </c>
      <c r="O240" s="145">
        <f t="shared" si="189"/>
        <v>0.98799999999999999</v>
      </c>
      <c r="P240" s="142">
        <f t="shared" si="148"/>
        <v>1.2000000000000011E-2</v>
      </c>
      <c r="Q240" s="112">
        <f t="shared" si="139"/>
        <v>21.418101909780386</v>
      </c>
      <c r="R240" s="158">
        <f t="shared" si="149"/>
        <v>0.26013888959247211</v>
      </c>
      <c r="S240" s="136">
        <f t="shared" si="140"/>
        <v>28.663980913778772</v>
      </c>
      <c r="T240" s="122">
        <f t="shared" si="150"/>
        <v>0.34814551717140318</v>
      </c>
      <c r="U240" s="112">
        <f>O240*$V$191</f>
        <v>32.830712129945304</v>
      </c>
      <c r="V240" s="122">
        <f t="shared" si="151"/>
        <v>0.39875358862281729</v>
      </c>
      <c r="W240" s="112">
        <f t="shared" si="142"/>
        <v>36.473005195187028</v>
      </c>
      <c r="X240" s="122">
        <f t="shared" si="152"/>
        <v>0.44299196593344448</v>
      </c>
      <c r="Y240" s="112">
        <f t="shared" si="143"/>
        <v>40.796223205558817</v>
      </c>
      <c r="Z240" s="122">
        <f t="shared" si="153"/>
        <v>0.49550068670718872</v>
      </c>
      <c r="AA240" s="112">
        <f t="shared" si="144"/>
        <v>43.813331237561208</v>
      </c>
      <c r="AB240" s="122">
        <f t="shared" si="154"/>
        <v>0.53214572353313372</v>
      </c>
      <c r="AC240" s="112">
        <f t="shared" si="145"/>
        <v>45.501982686203291</v>
      </c>
      <c r="AD240" s="122">
        <f t="shared" si="155"/>
        <v>0.55265566015631151</v>
      </c>
      <c r="AE240" s="112">
        <f t="shared" si="146"/>
        <v>50.260783943916699</v>
      </c>
      <c r="AF240" s="122">
        <f t="shared" si="156"/>
        <v>0.61045486571558882</v>
      </c>
      <c r="BL240">
        <f t="shared" si="192"/>
        <v>0.8502901971760588</v>
      </c>
      <c r="BM240">
        <f t="shared" si="193"/>
        <v>2</v>
      </c>
      <c r="BN240">
        <f t="shared" si="194"/>
        <v>2.3802112417116059</v>
      </c>
      <c r="BZ240" s="155" t="s">
        <v>295</v>
      </c>
      <c r="CA240" s="126">
        <f>R223</f>
        <v>6.6335416846080966</v>
      </c>
      <c r="CB240" s="126">
        <f>T223</f>
        <v>8.8777106878707528</v>
      </c>
      <c r="CC240" s="126">
        <f>V223</f>
        <v>10.168216509881844</v>
      </c>
      <c r="CD240" s="126">
        <f>X223</f>
        <v>11.296295131302866</v>
      </c>
      <c r="CE240" s="126">
        <f>Z223</f>
        <v>12.635267511033403</v>
      </c>
      <c r="CF240" s="126">
        <f>AB223</f>
        <v>13.569715950094871</v>
      </c>
      <c r="CG240" s="126">
        <f>AD223</f>
        <v>14.092719333986043</v>
      </c>
      <c r="CH240" s="126">
        <f>AF223</f>
        <v>15.566599075747483</v>
      </c>
    </row>
    <row r="241" spans="3:86" ht="15" thickBot="1" x14ac:dyDescent="0.35">
      <c r="C241" s="407">
        <v>11.5</v>
      </c>
      <c r="D241" s="124">
        <v>0.65400000000000003</v>
      </c>
      <c r="E241" s="124">
        <v>0.64500000000000002</v>
      </c>
      <c r="F241" s="124">
        <v>0.28299999999999997</v>
      </c>
      <c r="G241" s="124">
        <v>0.29799999999999999</v>
      </c>
      <c r="I241" s="345">
        <v>11.5</v>
      </c>
      <c r="J241" s="117">
        <f t="shared" si="184"/>
        <v>0.28299999999999997</v>
      </c>
      <c r="K241" s="117">
        <f t="shared" si="188"/>
        <v>4.7999999999999987E-2</v>
      </c>
      <c r="M241" s="141">
        <f t="shared" si="190"/>
        <v>24</v>
      </c>
      <c r="N241" s="131">
        <f t="shared" si="191"/>
        <v>1440</v>
      </c>
      <c r="O241" s="146">
        <f t="shared" si="189"/>
        <v>1</v>
      </c>
      <c r="P241" s="148">
        <f t="shared" si="148"/>
        <v>1.2000000000000011E-2</v>
      </c>
      <c r="Q241" s="113">
        <f t="shared" si="139"/>
        <v>21.678240799372862</v>
      </c>
      <c r="R241" s="50">
        <f t="shared" si="149"/>
        <v>0.26013888959247566</v>
      </c>
      <c r="S241" s="137">
        <f t="shared" si="140"/>
        <v>29.012126430950175</v>
      </c>
      <c r="T241" s="50">
        <f t="shared" si="150"/>
        <v>0.34814551717140318</v>
      </c>
      <c r="U241" s="113">
        <f>O241*$V$191</f>
        <v>33.229465718568122</v>
      </c>
      <c r="V241" s="50">
        <f>U241-U240</f>
        <v>0.39875358862281729</v>
      </c>
      <c r="W241" s="113">
        <f t="shared" si="142"/>
        <v>36.915997161120472</v>
      </c>
      <c r="X241" s="50">
        <f t="shared" si="152"/>
        <v>0.44299196593344448</v>
      </c>
      <c r="Y241" s="113">
        <f t="shared" si="143"/>
        <v>41.291723892266013</v>
      </c>
      <c r="Z241" s="50">
        <f t="shared" si="153"/>
        <v>0.49550068670719583</v>
      </c>
      <c r="AA241" s="113">
        <f t="shared" si="144"/>
        <v>44.345476961094342</v>
      </c>
      <c r="AB241" s="50">
        <f t="shared" si="154"/>
        <v>0.53214572353313372</v>
      </c>
      <c r="AC241" s="113">
        <f t="shared" si="145"/>
        <v>46.05463834635961</v>
      </c>
      <c r="AD241" s="50">
        <f t="shared" si="155"/>
        <v>0.55265566015631862</v>
      </c>
      <c r="AE241" s="113">
        <f t="shared" si="146"/>
        <v>50.871238809632288</v>
      </c>
      <c r="AF241" s="50">
        <f t="shared" si="156"/>
        <v>0.61045486571558882</v>
      </c>
      <c r="BL241" s="106">
        <f t="shared" si="192"/>
        <v>0.77589439023357909</v>
      </c>
      <c r="BM241" s="106">
        <f t="shared" si="193"/>
        <v>2</v>
      </c>
      <c r="BN241" s="106">
        <f t="shared" si="194"/>
        <v>2.4771212547196626</v>
      </c>
      <c r="BZ241" s="155" t="s">
        <v>296</v>
      </c>
      <c r="CA241" s="126">
        <f>SUM(R222:R223)</f>
        <v>8.2377315037616885</v>
      </c>
      <c r="CB241" s="126">
        <f>SUM(T222:T223)</f>
        <v>11.024608043761067</v>
      </c>
      <c r="CC241" s="126">
        <f>SUM(V222:V223)</f>
        <v>12.627196973055886</v>
      </c>
      <c r="CD241" s="126">
        <f>SUM(X222:X223)</f>
        <v>14.028078921225783</v>
      </c>
      <c r="CE241" s="126">
        <f>SUM(Z222:Z223)</f>
        <v>15.690855079061087</v>
      </c>
      <c r="CF241" s="126">
        <f>SUM(AB222:AB223)</f>
        <v>16.851281245215851</v>
      </c>
      <c r="CG241" s="126">
        <f>SUM(AD222:AD223)</f>
        <v>17.500762571616654</v>
      </c>
      <c r="CH241" s="126">
        <f>SUM(AF222:AF223)</f>
        <v>19.331070747660274</v>
      </c>
    </row>
    <row r="242" spans="3:86" x14ac:dyDescent="0.3">
      <c r="C242" s="407">
        <v>11.75</v>
      </c>
      <c r="D242" s="124">
        <v>0.66900000000000004</v>
      </c>
      <c r="E242" s="124">
        <v>0.65500000000000003</v>
      </c>
      <c r="F242" s="124">
        <v>0.35699999999999998</v>
      </c>
      <c r="G242" s="124">
        <v>0.33900000000000002</v>
      </c>
      <c r="I242" s="345">
        <v>11.75</v>
      </c>
      <c r="J242" s="117">
        <f t="shared" si="184"/>
        <v>0.35699999999999998</v>
      </c>
      <c r="K242" s="117">
        <f t="shared" si="188"/>
        <v>7.400000000000001E-2</v>
      </c>
      <c r="M242" s="3"/>
      <c r="V242" s="152" t="s">
        <v>312</v>
      </c>
      <c r="BL242">
        <f>LOG(AE249)</f>
        <v>1.7510547940750092</v>
      </c>
      <c r="BM242">
        <f>LOG($AE$248)</f>
        <v>2.1760912590556813</v>
      </c>
      <c r="BN242">
        <f>LOG(X249)</f>
        <v>1.1760912590556813</v>
      </c>
      <c r="BZ242" s="155" t="s">
        <v>297</v>
      </c>
      <c r="CA242" s="126">
        <f>SUM(R222:R224)</f>
        <v>9.0181481725391119</v>
      </c>
      <c r="CB242" s="126">
        <f>SUM(T222:T224)</f>
        <v>12.069044595275276</v>
      </c>
      <c r="CC242" s="126">
        <f>SUM(V222:V224)</f>
        <v>13.823457738924342</v>
      </c>
      <c r="CD242" s="126">
        <f>SUM(X222:X224)</f>
        <v>15.35705481902612</v>
      </c>
      <c r="CE242" s="126">
        <f>SUM(Z222:Z224)</f>
        <v>17.177357139182664</v>
      </c>
      <c r="CF242" s="126">
        <f>SUM(AB222:AB224)</f>
        <v>18.447718415815249</v>
      </c>
      <c r="CG242" s="126">
        <f>SUM(AD222:AD224)</f>
        <v>19.1587295520856</v>
      </c>
      <c r="CH242" s="126">
        <f>SUM(AF222:AF224)</f>
        <v>21.16243534480704</v>
      </c>
    </row>
    <row r="243" spans="3:86" x14ac:dyDescent="0.3">
      <c r="C243" s="407">
        <v>12</v>
      </c>
      <c r="D243" s="124">
        <v>0.68200000000000005</v>
      </c>
      <c r="E243" s="124">
        <v>0.66400000000000003</v>
      </c>
      <c r="F243" s="124">
        <v>0.66300000000000003</v>
      </c>
      <c r="G243" s="124">
        <v>0.5</v>
      </c>
      <c r="I243" s="345">
        <v>12</v>
      </c>
      <c r="J243" s="117">
        <f t="shared" si="184"/>
        <v>0.66300000000000003</v>
      </c>
      <c r="K243" s="408">
        <f t="shared" si="188"/>
        <v>0.30600000000000005</v>
      </c>
      <c r="M243" s="24" t="s">
        <v>310</v>
      </c>
      <c r="BL243">
        <f t="shared" ref="BL243:BL250" si="195">LOG(AE250)</f>
        <v>1.5440869685462582</v>
      </c>
      <c r="BM243">
        <f t="shared" ref="BM243:BM250" si="196">LOG($AE$248)</f>
        <v>2.1760912590556813</v>
      </c>
      <c r="BN243">
        <f t="shared" ref="BN243:BN250" si="197">LOG(X250)</f>
        <v>1.4771212547196624</v>
      </c>
      <c r="BZ243" s="155" t="s">
        <v>298</v>
      </c>
      <c r="CA243" s="126">
        <f>SUM(R222:R225)</f>
        <v>9.7985648413165336</v>
      </c>
      <c r="CB243" s="126">
        <f>SUM(T222:T225)</f>
        <v>13.113481146789479</v>
      </c>
      <c r="CC243" s="126">
        <f>SUM(V222:V225)</f>
        <v>15.01971850479279</v>
      </c>
      <c r="CD243" s="126">
        <f>SUM(X222:X225)</f>
        <v>16.686030716826451</v>
      </c>
      <c r="CE243" s="126">
        <f>SUM(Z222:Z225)</f>
        <v>18.663859199304238</v>
      </c>
      <c r="CF243" s="126">
        <f>SUM(AB222:AB225)</f>
        <v>20.044155586414639</v>
      </c>
      <c r="CG243" s="126">
        <f>SUM(AD222:AD225)</f>
        <v>20.816696532554541</v>
      </c>
      <c r="CH243" s="126">
        <f>SUM(AF222:AF225)</f>
        <v>22.993799941953792</v>
      </c>
    </row>
    <row r="244" spans="3:86" x14ac:dyDescent="0.3">
      <c r="C244" s="407">
        <v>12.5</v>
      </c>
      <c r="D244" s="124">
        <v>0.70599999999999996</v>
      </c>
      <c r="E244" s="124">
        <v>0.68300000000000005</v>
      </c>
      <c r="F244" s="124">
        <v>0.73499999999999999</v>
      </c>
      <c r="G244" s="124">
        <v>0.70199999999999996</v>
      </c>
      <c r="I244" s="345">
        <v>12.5</v>
      </c>
      <c r="J244" s="117">
        <f t="shared" si="184"/>
        <v>0.73499999999999999</v>
      </c>
      <c r="K244" s="117">
        <f t="shared" si="188"/>
        <v>7.1999999999999953E-2</v>
      </c>
      <c r="M244" s="24" t="s">
        <v>311</v>
      </c>
      <c r="BL244">
        <f t="shared" si="195"/>
        <v>1.4073054435005095</v>
      </c>
      <c r="BM244">
        <f t="shared" si="196"/>
        <v>2.1760912590556813</v>
      </c>
      <c r="BN244">
        <f t="shared" si="197"/>
        <v>1.6532125137753437</v>
      </c>
      <c r="BZ244" s="155" t="s">
        <v>299</v>
      </c>
      <c r="CA244" s="126">
        <f>SUM(R220:R225)</f>
        <v>10.839120399686431</v>
      </c>
      <c r="CB244" s="126">
        <f>SUM(T220:T225)</f>
        <v>14.506063215475088</v>
      </c>
      <c r="CC244" s="126">
        <f>SUM(V220:V225)</f>
        <v>16.614732859284061</v>
      </c>
      <c r="CD244" s="126">
        <f>SUM(X220:X225)</f>
        <v>18.457998580560236</v>
      </c>
      <c r="CE244" s="126">
        <f>SUM(Z220:Z225)</f>
        <v>20.645861946133007</v>
      </c>
      <c r="CF244" s="126">
        <f>SUM(AB220:AB225)</f>
        <v>22.172738480547167</v>
      </c>
      <c r="CG244" s="126">
        <f>SUM(AD220:AD225)</f>
        <v>23.027319173179801</v>
      </c>
      <c r="CH244" s="126">
        <f>SUM(AF220:AF225)</f>
        <v>25.435619404816141</v>
      </c>
    </row>
    <row r="245" spans="3:86" x14ac:dyDescent="0.3">
      <c r="C245" s="407">
        <v>13</v>
      </c>
      <c r="D245" s="124">
        <v>0.72699999999999998</v>
      </c>
      <c r="E245" s="124">
        <v>0.70099999999999996</v>
      </c>
      <c r="F245" s="124">
        <v>0.77200000000000002</v>
      </c>
      <c r="G245" s="124">
        <v>0.751</v>
      </c>
      <c r="I245" s="345">
        <v>13</v>
      </c>
      <c r="J245" s="117">
        <f t="shared" si="184"/>
        <v>0.77200000000000002</v>
      </c>
      <c r="K245" s="117">
        <f t="shared" si="188"/>
        <v>3.7000000000000033E-2</v>
      </c>
      <c r="BL245">
        <f t="shared" si="195"/>
        <v>1.3184118110768488</v>
      </c>
      <c r="BM245">
        <f t="shared" si="196"/>
        <v>2.1760912590556813</v>
      </c>
      <c r="BN245">
        <f t="shared" si="197"/>
        <v>1.7781512503836436</v>
      </c>
      <c r="BZ245" s="155" t="s">
        <v>300</v>
      </c>
      <c r="CA245" s="126">
        <f>SUM(R220:R227)</f>
        <v>11.641215309263227</v>
      </c>
      <c r="CB245" s="126">
        <f>SUM(T220:T227)</f>
        <v>15.579511893420246</v>
      </c>
      <c r="CC245" s="126">
        <f>SUM(V220:V227)</f>
        <v>17.844223090871083</v>
      </c>
      <c r="CD245" s="126">
        <f>SUM(X220:X227)</f>
        <v>19.823890475521697</v>
      </c>
      <c r="CE245" s="126">
        <f>SUM(Z220:Z227)</f>
        <v>22.173655730146852</v>
      </c>
      <c r="CF245" s="126">
        <f>SUM(AB220:AB227)</f>
        <v>23.813521128107659</v>
      </c>
      <c r="CG245" s="126">
        <f>SUM(AD220:AD227)</f>
        <v>24.731340791995112</v>
      </c>
      <c r="CH245" s="126">
        <f>SUM(AF220:AF227)</f>
        <v>27.317855240772541</v>
      </c>
    </row>
    <row r="246" spans="3:86" x14ac:dyDescent="0.3">
      <c r="C246" s="407">
        <v>13.5</v>
      </c>
      <c r="D246" s="124">
        <v>0.748</v>
      </c>
      <c r="E246" s="124">
        <v>0.71899999999999997</v>
      </c>
      <c r="F246" s="124">
        <v>0.79900000000000004</v>
      </c>
      <c r="G246" s="124">
        <v>0.78500000000000003</v>
      </c>
      <c r="I246" s="345">
        <v>13.5</v>
      </c>
      <c r="J246" s="117">
        <f t="shared" si="184"/>
        <v>0.79900000000000004</v>
      </c>
      <c r="K246" s="117">
        <f>J246-J245</f>
        <v>2.7000000000000024E-2</v>
      </c>
      <c r="N246" s="533" t="s">
        <v>81</v>
      </c>
      <c r="O246" s="533"/>
      <c r="P246" s="533"/>
      <c r="Q246" s="533"/>
      <c r="R246" s="533"/>
      <c r="S246" s="533"/>
      <c r="T246" s="533"/>
      <c r="U246" s="533"/>
      <c r="V246" s="533"/>
      <c r="X246" s="533" t="s">
        <v>149</v>
      </c>
      <c r="Y246" s="533"/>
      <c r="Z246" s="533"/>
      <c r="AA246" s="533"/>
      <c r="AB246" s="533"/>
      <c r="AC246" s="533"/>
      <c r="AD246" s="533"/>
      <c r="AE246" s="533"/>
      <c r="AF246" s="533"/>
      <c r="BL246">
        <f t="shared" si="195"/>
        <v>1.1861521215458042</v>
      </c>
      <c r="BM246">
        <f t="shared" si="196"/>
        <v>2.1760912590556813</v>
      </c>
      <c r="BN246">
        <f t="shared" si="197"/>
        <v>1.954242509439325</v>
      </c>
      <c r="BZ246" s="155" t="s">
        <v>301</v>
      </c>
      <c r="CA246" s="126">
        <f>SUM(R218:R229)</f>
        <v>12.898553275626854</v>
      </c>
      <c r="CB246" s="126">
        <f>SUM(T218:T229)</f>
        <v>17.262215226415353</v>
      </c>
      <c r="CC246" s="126">
        <f>SUM(V218:V229)</f>
        <v>19.771532102548033</v>
      </c>
      <c r="CD246" s="126">
        <f>SUM(X218:X229)</f>
        <v>21.965018310866682</v>
      </c>
      <c r="CE246" s="126">
        <f>SUM(Z218:Z229)</f>
        <v>24.56857571589828</v>
      </c>
      <c r="CF246" s="126">
        <f>SUM(AB218:AB229)</f>
        <v>26.385558791851139</v>
      </c>
      <c r="CG246" s="126">
        <f>SUM(AD218:AD229)</f>
        <v>27.40250981608397</v>
      </c>
      <c r="CH246" s="126">
        <f>SUM(AF218:AF229)</f>
        <v>30.268387091731213</v>
      </c>
    </row>
    <row r="247" spans="3:86" x14ac:dyDescent="0.3">
      <c r="C247" s="407">
        <v>14</v>
      </c>
      <c r="D247" s="124">
        <v>0.76700000000000002</v>
      </c>
      <c r="E247" s="124">
        <v>0.73599999999999999</v>
      </c>
      <c r="F247" s="124">
        <v>0.82</v>
      </c>
      <c r="G247" s="124">
        <v>0.81100000000000005</v>
      </c>
      <c r="I247" s="345">
        <v>14</v>
      </c>
      <c r="J247" s="117">
        <f t="shared" si="184"/>
        <v>0.82</v>
      </c>
      <c r="K247" s="117">
        <f t="shared" si="188"/>
        <v>2.0999999999999908E-2</v>
      </c>
      <c r="N247" s="530" t="s">
        <v>304</v>
      </c>
      <c r="O247" s="533" t="s">
        <v>151</v>
      </c>
      <c r="P247" s="533"/>
      <c r="Q247" s="533"/>
      <c r="R247" s="533"/>
      <c r="S247" s="533"/>
      <c r="T247" s="533"/>
      <c r="U247" s="533"/>
      <c r="V247" s="533"/>
      <c r="X247" s="530" t="s">
        <v>304</v>
      </c>
      <c r="Y247" s="533" t="s">
        <v>151</v>
      </c>
      <c r="Z247" s="533"/>
      <c r="AA247" s="533"/>
      <c r="AB247" s="533"/>
      <c r="AC247" s="533"/>
      <c r="AD247" s="533"/>
      <c r="AE247" s="533"/>
      <c r="AF247" s="533"/>
      <c r="BL247">
        <f t="shared" si="195"/>
        <v>1.0922176663010412</v>
      </c>
      <c r="BM247">
        <f t="shared" si="196"/>
        <v>2.1760912590556813</v>
      </c>
      <c r="BN247">
        <f t="shared" si="197"/>
        <v>2.0791812460476247</v>
      </c>
      <c r="BZ247" s="155" t="s">
        <v>302</v>
      </c>
      <c r="CA247" s="126">
        <f>SUM(R216:R231)</f>
        <v>13.852395870799256</v>
      </c>
      <c r="CB247" s="126">
        <f>SUM(T216:T231)</f>
        <v>18.538748789377159</v>
      </c>
      <c r="CC247" s="126">
        <f>SUM(V216:V231)</f>
        <v>21.23362859416503</v>
      </c>
      <c r="CD247" s="126">
        <f>SUM(X216:X231)</f>
        <v>23.589322185955979</v>
      </c>
      <c r="CE247" s="126">
        <f>SUM(Z216:Z231)</f>
        <v>26.385411567157977</v>
      </c>
      <c r="CF247" s="126">
        <f>SUM(AB216:AB231)</f>
        <v>28.336759778139282</v>
      </c>
      <c r="CG247" s="126">
        <f>SUM(AD216:AD231)</f>
        <v>29.428913903323792</v>
      </c>
      <c r="CH247" s="126">
        <f>SUM(AF216:AF231)</f>
        <v>32.506721599355032</v>
      </c>
    </row>
    <row r="248" spans="3:86" x14ac:dyDescent="0.3">
      <c r="C248" s="407">
        <v>15</v>
      </c>
      <c r="D248" s="125">
        <v>0.79849999999999999</v>
      </c>
      <c r="E248" s="125">
        <v>0.76800000000000002</v>
      </c>
      <c r="F248" s="125">
        <v>0.85</v>
      </c>
      <c r="G248" s="125">
        <v>0.84850000000000003</v>
      </c>
      <c r="I248" s="345">
        <v>15</v>
      </c>
      <c r="J248" s="117">
        <f t="shared" si="184"/>
        <v>0.85</v>
      </c>
      <c r="K248" s="117">
        <f>J248-J247</f>
        <v>3.0000000000000027E-2</v>
      </c>
      <c r="N248" s="530"/>
      <c r="O248" s="416">
        <v>2</v>
      </c>
      <c r="P248" s="416">
        <v>5</v>
      </c>
      <c r="Q248" s="416">
        <v>10</v>
      </c>
      <c r="R248" s="416">
        <v>20</v>
      </c>
      <c r="S248" s="416">
        <v>50</v>
      </c>
      <c r="T248" s="416">
        <v>100</v>
      </c>
      <c r="U248" s="416">
        <v>150</v>
      </c>
      <c r="V248" s="416">
        <v>500</v>
      </c>
      <c r="X248" s="530"/>
      <c r="Y248" s="416">
        <v>2</v>
      </c>
      <c r="Z248" s="416">
        <v>5</v>
      </c>
      <c r="AA248" s="416">
        <v>10</v>
      </c>
      <c r="AB248" s="416">
        <v>20</v>
      </c>
      <c r="AC248" s="416">
        <v>50</v>
      </c>
      <c r="AD248" s="416">
        <v>100</v>
      </c>
      <c r="AE248" s="416">
        <v>150</v>
      </c>
      <c r="AF248" s="416">
        <v>500</v>
      </c>
      <c r="BL248">
        <f t="shared" si="195"/>
        <v>0.96066908727435385</v>
      </c>
      <c r="BM248">
        <f t="shared" si="196"/>
        <v>2.1760912590556813</v>
      </c>
      <c r="BN248">
        <f t="shared" si="197"/>
        <v>2.255272505103306</v>
      </c>
      <c r="BZ248" s="155" t="s">
        <v>303</v>
      </c>
      <c r="CA248" s="126">
        <f>SUM(R212:R231)</f>
        <v>14.589456057977934</v>
      </c>
      <c r="CB248" s="126">
        <f>SUM(T212:T231)</f>
        <v>19.525161088029467</v>
      </c>
      <c r="CC248" s="126">
        <f>SUM(V212:V231)</f>
        <v>22.363430428596345</v>
      </c>
      <c r="CD248" s="126">
        <f>SUM(X212:X231)</f>
        <v>24.844466089434075</v>
      </c>
      <c r="CE248" s="126">
        <f>SUM(Z212:Z231)</f>
        <v>27.789330179495021</v>
      </c>
      <c r="CF248" s="126">
        <f>SUM(AB212:AB231)</f>
        <v>29.84450599481649</v>
      </c>
      <c r="CG248" s="126">
        <f>SUM(AD212:AD231)</f>
        <v>30.994771607100017</v>
      </c>
      <c r="CH248" s="126">
        <f>SUM(AF212:AF231)</f>
        <v>34.23634371888253</v>
      </c>
    </row>
    <row r="249" spans="3:86" x14ac:dyDescent="0.3">
      <c r="C249" s="407">
        <v>16</v>
      </c>
      <c r="D249" s="124">
        <v>0.83</v>
      </c>
      <c r="E249" s="124">
        <v>0.8</v>
      </c>
      <c r="F249" s="124">
        <v>0.88</v>
      </c>
      <c r="G249" s="124">
        <v>0.88600000000000001</v>
      </c>
      <c r="I249" s="345">
        <v>16</v>
      </c>
      <c r="J249" s="117">
        <f t="shared" si="184"/>
        <v>0.88</v>
      </c>
      <c r="K249" s="117">
        <f t="shared" si="188"/>
        <v>3.0000000000000027E-2</v>
      </c>
      <c r="N249" s="43">
        <v>15</v>
      </c>
      <c r="O249" s="364">
        <f t="shared" ref="O249:Q250" si="198">IF($O$191="Tipo I",CA218,IF($O$191="Tipo IA",CA229,IF($O$191="Tipo II",CA240,IF($O$191="Tipo III",CA251,))))</f>
        <v>6.6335416846080966</v>
      </c>
      <c r="P249" s="364">
        <f t="shared" si="198"/>
        <v>8.8777106878707528</v>
      </c>
      <c r="Q249" s="364">
        <f t="shared" si="198"/>
        <v>10.168216509881844</v>
      </c>
      <c r="R249" s="364">
        <f t="shared" ref="R249:R257" si="199">IF($O$191="Tipo I",CD218,IF($O$191="Tipo IA",CD229,IF($O$191="Tipo II",CD240,IF($O$191="Tipo III",CD251,))))</f>
        <v>11.296295131302866</v>
      </c>
      <c r="S249" s="364">
        <f t="shared" ref="S249:S257" si="200">IF($O$191="Tipo I",CE218,IF($O$191="Tipo IA",CE229,IF($O$191="Tipo II",CE240,IF($O$191="Tipo III",CE251,))))</f>
        <v>12.635267511033403</v>
      </c>
      <c r="T249" s="364">
        <f t="shared" ref="T249:T257" si="201">IF($O$191="Tipo I",CF218,IF($O$191="Tipo IA",CF229,IF($O$191="Tipo II",CF240,IF($O$191="Tipo III",CF251,))))</f>
        <v>13.569715950094871</v>
      </c>
      <c r="U249" s="364">
        <f t="shared" ref="U249:U257" si="202">IF($O$191="Tipo I",CG218,IF($O$191="Tipo IA",CG229,IF($O$191="Tipo II",CG240,IF($O$191="Tipo III",CG251,))))</f>
        <v>14.092719333986043</v>
      </c>
      <c r="V249" s="364">
        <f t="shared" ref="V249:V257" si="203">IF($O$191="Tipo I",CH218,IF($O$191="Tipo IA",CH229,IF($O$191="Tipo II",CH240,IF($O$191="Tipo III",CH251,))))</f>
        <v>15.566599075747483</v>
      </c>
      <c r="X249" s="43">
        <v>15</v>
      </c>
      <c r="Y249" s="364">
        <f>O249/($N$249/60)</f>
        <v>26.534166738432386</v>
      </c>
      <c r="Z249" s="364">
        <f t="shared" ref="Z249:AF249" si="204">P249/($N$249/60)</f>
        <v>35.510842751483011</v>
      </c>
      <c r="AA249" s="364">
        <f t="shared" si="204"/>
        <v>40.672866039527378</v>
      </c>
      <c r="AB249" s="364">
        <f t="shared" si="204"/>
        <v>45.185180525211464</v>
      </c>
      <c r="AC249" s="364">
        <f t="shared" si="204"/>
        <v>50.541070044133612</v>
      </c>
      <c r="AD249" s="364">
        <f t="shared" si="204"/>
        <v>54.278863800379483</v>
      </c>
      <c r="AE249" s="364">
        <f t="shared" si="204"/>
        <v>56.370877335944172</v>
      </c>
      <c r="AF249" s="364">
        <f t="shared" si="204"/>
        <v>62.266396302989932</v>
      </c>
      <c r="BL249">
        <f t="shared" si="195"/>
        <v>0.8667142430959045</v>
      </c>
      <c r="BM249">
        <f t="shared" si="196"/>
        <v>2.1760912590556813</v>
      </c>
      <c r="BN249">
        <f t="shared" si="197"/>
        <v>2.3802112417116059</v>
      </c>
      <c r="BZ249" s="155"/>
      <c r="CA249" s="127"/>
      <c r="CB249" s="127"/>
      <c r="CC249" s="127"/>
      <c r="CD249" s="127"/>
      <c r="CE249" s="127"/>
      <c r="CF249" s="127"/>
      <c r="CG249" s="127"/>
      <c r="CH249" s="127"/>
    </row>
    <row r="250" spans="3:86" x14ac:dyDescent="0.3">
      <c r="C250" s="407">
        <v>17</v>
      </c>
      <c r="D250" s="125">
        <v>0.85399999999999998</v>
      </c>
      <c r="E250" s="125">
        <v>0.82650000000000001</v>
      </c>
      <c r="F250" s="125">
        <v>0.89800000000000002</v>
      </c>
      <c r="G250" s="125">
        <v>0.90375000000000005</v>
      </c>
      <c r="I250" s="345">
        <v>17</v>
      </c>
      <c r="J250" s="117">
        <f t="shared" si="184"/>
        <v>0.89800000000000002</v>
      </c>
      <c r="K250" s="117">
        <f t="shared" si="188"/>
        <v>1.8000000000000016E-2</v>
      </c>
      <c r="N250" s="43">
        <v>30</v>
      </c>
      <c r="O250" s="364">
        <f t="shared" si="198"/>
        <v>8.2377315037616885</v>
      </c>
      <c r="P250" s="364">
        <f t="shared" si="198"/>
        <v>11.024608043761067</v>
      </c>
      <c r="Q250" s="364">
        <f t="shared" si="198"/>
        <v>12.627196973055886</v>
      </c>
      <c r="R250" s="364">
        <f t="shared" si="199"/>
        <v>14.028078921225783</v>
      </c>
      <c r="S250" s="364">
        <f t="shared" si="200"/>
        <v>15.690855079061087</v>
      </c>
      <c r="T250" s="364">
        <f t="shared" si="201"/>
        <v>16.851281245215851</v>
      </c>
      <c r="U250" s="364">
        <f t="shared" si="202"/>
        <v>17.500762571616654</v>
      </c>
      <c r="V250" s="364">
        <f t="shared" si="203"/>
        <v>19.331070747660274</v>
      </c>
      <c r="X250" s="43">
        <v>30</v>
      </c>
      <c r="Y250" s="364">
        <f>O250/($N$250/60)</f>
        <v>16.475463007523377</v>
      </c>
      <c r="Z250" s="364">
        <f t="shared" ref="Z250:AF250" si="205">P250/($N$250/60)</f>
        <v>22.049216087522133</v>
      </c>
      <c r="AA250" s="364">
        <f t="shared" si="205"/>
        <v>25.254393946111772</v>
      </c>
      <c r="AB250" s="364">
        <f t="shared" si="205"/>
        <v>28.056157842451565</v>
      </c>
      <c r="AC250" s="364">
        <f t="shared" si="205"/>
        <v>31.381710158122175</v>
      </c>
      <c r="AD250" s="364">
        <f t="shared" si="205"/>
        <v>33.702562490431703</v>
      </c>
      <c r="AE250" s="364">
        <f t="shared" si="205"/>
        <v>35.001525143233309</v>
      </c>
      <c r="AF250" s="364">
        <f t="shared" si="205"/>
        <v>38.662141495320547</v>
      </c>
      <c r="BL250" s="106">
        <f t="shared" si="195"/>
        <v>0.79231843615342479</v>
      </c>
      <c r="BM250" s="106">
        <f t="shared" si="196"/>
        <v>2.1760912590556813</v>
      </c>
      <c r="BN250" s="106">
        <f t="shared" si="197"/>
        <v>2.4771212547196626</v>
      </c>
      <c r="BZ250" s="155"/>
      <c r="CA250" s="127" t="s">
        <v>201</v>
      </c>
      <c r="CB250" s="127" t="s">
        <v>201</v>
      </c>
      <c r="CC250" s="127" t="s">
        <v>201</v>
      </c>
      <c r="CD250" s="127" t="s">
        <v>201</v>
      </c>
      <c r="CE250" s="127" t="s">
        <v>201</v>
      </c>
      <c r="CF250" s="127" t="s">
        <v>201</v>
      </c>
      <c r="CG250" s="127" t="s">
        <v>201</v>
      </c>
      <c r="CH250" s="127" t="s">
        <v>201</v>
      </c>
    </row>
    <row r="251" spans="3:86" x14ac:dyDescent="0.3">
      <c r="C251" s="407">
        <v>18</v>
      </c>
      <c r="D251" s="125">
        <v>0.878</v>
      </c>
      <c r="E251" s="125">
        <v>0.85299999999999998</v>
      </c>
      <c r="F251" s="125">
        <v>0.91600000000000004</v>
      </c>
      <c r="G251" s="125">
        <v>0.92149999999999999</v>
      </c>
      <c r="I251" s="345">
        <v>18</v>
      </c>
      <c r="J251" s="117">
        <f t="shared" si="184"/>
        <v>0.91600000000000004</v>
      </c>
      <c r="K251" s="117">
        <f t="shared" si="188"/>
        <v>1.8000000000000016E-2</v>
      </c>
      <c r="N251" s="43">
        <v>45</v>
      </c>
      <c r="O251" s="364">
        <f t="shared" ref="O251:O257" si="206">IF($O$191="Tipo I",CA220,IF($O$191="Tipo IA",CA231,IF($O$191="Tipo II",CA242,IF($O$191="Tipo III",CA253,))))</f>
        <v>9.0181481725391119</v>
      </c>
      <c r="P251" s="364">
        <f>IF($O$191="Tipo I",CB220,IF($O$191="Tipo IA",CB231,IF($O$191="Tipo II",CB242,IF($O$191="Tipo III",CB253,))))</f>
        <v>12.069044595275276</v>
      </c>
      <c r="Q251" s="364">
        <f>IF($O$191="Tipo I",CC220,IF($O$191="Tipo IA",CC231,IF($O$191="Tipo II",CC242,IF($O$191="Tipo III",CC253,))))</f>
        <v>13.823457738924342</v>
      </c>
      <c r="R251" s="364">
        <f t="shared" si="199"/>
        <v>15.35705481902612</v>
      </c>
      <c r="S251" s="364">
        <f t="shared" si="200"/>
        <v>17.177357139182664</v>
      </c>
      <c r="T251" s="364">
        <f t="shared" si="201"/>
        <v>18.447718415815249</v>
      </c>
      <c r="U251" s="364">
        <f t="shared" si="202"/>
        <v>19.1587295520856</v>
      </c>
      <c r="V251" s="364">
        <f t="shared" si="203"/>
        <v>21.16243534480704</v>
      </c>
      <c r="X251" s="43">
        <v>45</v>
      </c>
      <c r="Y251" s="364">
        <f>O251/($N$251/60)</f>
        <v>12.024197563385483</v>
      </c>
      <c r="Z251" s="364">
        <f t="shared" ref="Z251:AF251" si="207">P251/($N$251/60)</f>
        <v>16.092059460367036</v>
      </c>
      <c r="AA251" s="364">
        <f t="shared" si="207"/>
        <v>18.431276985232454</v>
      </c>
      <c r="AB251" s="364">
        <f t="shared" si="207"/>
        <v>20.476073092034827</v>
      </c>
      <c r="AC251" s="364">
        <f t="shared" si="207"/>
        <v>22.903142852243551</v>
      </c>
      <c r="AD251" s="364">
        <f t="shared" si="207"/>
        <v>24.596957887753664</v>
      </c>
      <c r="AE251" s="364">
        <f t="shared" si="207"/>
        <v>25.544972736114133</v>
      </c>
      <c r="AF251" s="364">
        <f t="shared" si="207"/>
        <v>28.216580459742719</v>
      </c>
      <c r="BL251">
        <f>LOG(AF249)</f>
        <v>1.7942537314510529</v>
      </c>
      <c r="BM251">
        <f>LOG($AF$248)</f>
        <v>2.6989700043360187</v>
      </c>
      <c r="BN251">
        <f>LOG(X249)</f>
        <v>1.1760912590556813</v>
      </c>
      <c r="BZ251" s="155" t="s">
        <v>295</v>
      </c>
      <c r="CA251" s="126">
        <f>R223</f>
        <v>6.6335416846080966</v>
      </c>
      <c r="CB251" s="126">
        <f>T223</f>
        <v>8.8777106878707528</v>
      </c>
      <c r="CC251" s="126">
        <f>V223</f>
        <v>10.168216509881844</v>
      </c>
      <c r="CD251" s="126">
        <f>X223</f>
        <v>11.296295131302866</v>
      </c>
      <c r="CE251" s="126">
        <f>Z223</f>
        <v>12.635267511033403</v>
      </c>
      <c r="CF251" s="126">
        <f>AB223</f>
        <v>13.569715950094871</v>
      </c>
      <c r="CG251" s="126">
        <f>AD223</f>
        <v>14.092719333986043</v>
      </c>
      <c r="CH251" s="126">
        <f>AF223</f>
        <v>15.566599075747483</v>
      </c>
    </row>
    <row r="252" spans="3:86" x14ac:dyDescent="0.3">
      <c r="C252" s="407">
        <v>19</v>
      </c>
      <c r="D252" s="125">
        <v>0.90200000000000002</v>
      </c>
      <c r="E252" s="125">
        <v>0.87949999999999995</v>
      </c>
      <c r="F252" s="125">
        <v>0.93400000000000005</v>
      </c>
      <c r="G252" s="125">
        <v>0.93924999999999992</v>
      </c>
      <c r="I252" s="345">
        <v>19</v>
      </c>
      <c r="J252" s="117">
        <f t="shared" si="184"/>
        <v>0.93400000000000005</v>
      </c>
      <c r="K252" s="117">
        <f t="shared" si="188"/>
        <v>1.8000000000000016E-2</v>
      </c>
      <c r="N252" s="43">
        <v>60</v>
      </c>
      <c r="O252" s="364">
        <f t="shared" si="206"/>
        <v>9.7985648413165336</v>
      </c>
      <c r="P252" s="364">
        <f>IF($O$191="Tipo I",CB221,IF($O$191="Tipo IA",CB232,IF($O$191="Tipo II",CB243,IF($O$191="Tipo III",CB254,))))</f>
        <v>13.113481146789479</v>
      </c>
      <c r="Q252" s="364">
        <f t="shared" ref="Q252:Q257" si="208">IF($O$191="Tipo I",CC221,IF($O$191="Tipo IA",CC232,IF($O$191="Tipo II",CC243,IF($O$191="Tipo III",CC254,))))</f>
        <v>15.01971850479279</v>
      </c>
      <c r="R252" s="364">
        <f>IF($O$191="Tipo I",CD221,IF($O$191="Tipo IA",CD232,IF($O$191="Tipo II",CD243,IF($O$191="Tipo III",CD254,))))</f>
        <v>16.686030716826451</v>
      </c>
      <c r="S252" s="364">
        <f t="shared" si="200"/>
        <v>18.663859199304238</v>
      </c>
      <c r="T252" s="364">
        <f t="shared" si="201"/>
        <v>20.044155586414639</v>
      </c>
      <c r="U252" s="364">
        <f t="shared" si="202"/>
        <v>20.816696532554541</v>
      </c>
      <c r="V252" s="364">
        <f t="shared" si="203"/>
        <v>22.993799941953792</v>
      </c>
      <c r="X252" s="43">
        <v>60</v>
      </c>
      <c r="Y252" s="364">
        <f>O252/($N$252/60)</f>
        <v>9.7985648413165336</v>
      </c>
      <c r="Z252" s="364">
        <f t="shared" ref="Z252:AF252" si="209">P252/($N$252/60)</f>
        <v>13.113481146789479</v>
      </c>
      <c r="AA252" s="364">
        <f t="shared" si="209"/>
        <v>15.01971850479279</v>
      </c>
      <c r="AB252" s="364">
        <f t="shared" si="209"/>
        <v>16.686030716826451</v>
      </c>
      <c r="AC252" s="364">
        <f t="shared" si="209"/>
        <v>18.663859199304238</v>
      </c>
      <c r="AD252" s="364">
        <f t="shared" si="209"/>
        <v>20.044155586414639</v>
      </c>
      <c r="AE252" s="364">
        <f t="shared" si="209"/>
        <v>20.816696532554541</v>
      </c>
      <c r="AF252" s="364">
        <f t="shared" si="209"/>
        <v>22.993799941953792</v>
      </c>
      <c r="BL252">
        <f t="shared" ref="BL252:BL259" si="210">LOG(AF250)</f>
        <v>1.5872859059223019</v>
      </c>
      <c r="BM252">
        <f t="shared" ref="BM252:BM259" si="211">LOG($AF$248)</f>
        <v>2.6989700043360187</v>
      </c>
      <c r="BN252">
        <f t="shared" ref="BN252:BN259" si="212">LOG(X250)</f>
        <v>1.4771212547196624</v>
      </c>
      <c r="BZ252" s="155" t="s">
        <v>296</v>
      </c>
      <c r="CA252" s="126">
        <f>SUM(R223:R224)</f>
        <v>7.41395835338552</v>
      </c>
      <c r="CB252" s="126">
        <f>SUM(T223:T224)</f>
        <v>9.9221472393849623</v>
      </c>
      <c r="CC252" s="126">
        <f>SUM(V223:V224)</f>
        <v>11.3644772757503</v>
      </c>
      <c r="CD252" s="126">
        <f>SUM(X223:X224)</f>
        <v>12.625271029103203</v>
      </c>
      <c r="CE252" s="126">
        <f>SUM(Z223:Z224)</f>
        <v>14.12176957115498</v>
      </c>
      <c r="CF252" s="126">
        <f>SUM(AB223:AB224)</f>
        <v>15.166153120694268</v>
      </c>
      <c r="CG252" s="126">
        <f>SUM(AD223:AD224)</f>
        <v>15.750686314454988</v>
      </c>
      <c r="CH252" s="126">
        <f>SUM(AF223:AF224)</f>
        <v>17.397963672894249</v>
      </c>
    </row>
    <row r="253" spans="3:86" x14ac:dyDescent="0.3">
      <c r="C253" s="407">
        <v>20</v>
      </c>
      <c r="D253" s="124">
        <v>0.92600000000000005</v>
      </c>
      <c r="E253" s="124">
        <v>0.90600000000000003</v>
      </c>
      <c r="F253" s="124">
        <v>0.95199999999999996</v>
      </c>
      <c r="G253" s="124">
        <v>0.95699999999999996</v>
      </c>
      <c r="I253" s="345">
        <v>20</v>
      </c>
      <c r="J253" s="117">
        <f t="shared" si="184"/>
        <v>0.95199999999999996</v>
      </c>
      <c r="K253" s="117">
        <f t="shared" si="188"/>
        <v>1.7999999999999905E-2</v>
      </c>
      <c r="N253" s="43">
        <v>90</v>
      </c>
      <c r="O253" s="364">
        <f t="shared" si="206"/>
        <v>10.839120399686431</v>
      </c>
      <c r="P253" s="364">
        <f t="shared" ref="P253:P257" si="213">IF($O$191="Tipo I",CB222,IF($O$191="Tipo IA",CB233,IF($O$191="Tipo II",CB244,IF($O$191="Tipo III",CB255,))))</f>
        <v>14.506063215475088</v>
      </c>
      <c r="Q253" s="364">
        <f t="shared" si="208"/>
        <v>16.614732859284061</v>
      </c>
      <c r="R253" s="364">
        <f t="shared" si="199"/>
        <v>18.457998580560236</v>
      </c>
      <c r="S253" s="364">
        <f>IF($O$191="Tipo I",CE222,IF($O$191="Tipo IA",CE233,IF($O$191="Tipo II",CE244,IF($O$191="Tipo III",CE255,))))</f>
        <v>20.645861946133007</v>
      </c>
      <c r="T253" s="364">
        <f t="shared" si="201"/>
        <v>22.172738480547167</v>
      </c>
      <c r="U253" s="364">
        <f t="shared" si="202"/>
        <v>23.027319173179801</v>
      </c>
      <c r="V253" s="364">
        <f t="shared" si="203"/>
        <v>25.435619404816141</v>
      </c>
      <c r="X253" s="43">
        <v>90</v>
      </c>
      <c r="Y253" s="364">
        <f>O253/($N$253/60)</f>
        <v>7.2260802664576209</v>
      </c>
      <c r="Z253" s="364">
        <f t="shared" ref="Z253:AF253" si="214">P253/($N$253/60)</f>
        <v>9.6707088103167251</v>
      </c>
      <c r="AA253" s="364">
        <f t="shared" si="214"/>
        <v>11.076488572856041</v>
      </c>
      <c r="AB253" s="364">
        <f t="shared" si="214"/>
        <v>12.305332387040158</v>
      </c>
      <c r="AC253" s="364">
        <f t="shared" si="214"/>
        <v>13.763907964088672</v>
      </c>
      <c r="AD253" s="364">
        <f t="shared" si="214"/>
        <v>14.781825653698112</v>
      </c>
      <c r="AE253" s="364">
        <f t="shared" si="214"/>
        <v>15.351546115453202</v>
      </c>
      <c r="AF253" s="364">
        <f t="shared" si="214"/>
        <v>16.957079603210762</v>
      </c>
      <c r="BL253">
        <f t="shared" si="210"/>
        <v>1.4505043808765534</v>
      </c>
      <c r="BM253">
        <f t="shared" si="211"/>
        <v>2.6989700043360187</v>
      </c>
      <c r="BN253">
        <f t="shared" si="212"/>
        <v>1.6532125137753437</v>
      </c>
      <c r="BZ253" s="155" t="s">
        <v>297</v>
      </c>
      <c r="CA253" s="126">
        <f>SUM(R223:R225)</f>
        <v>8.1943750221629408</v>
      </c>
      <c r="CB253" s="126">
        <f>SUM(T223:T225)</f>
        <v>10.966583790899165</v>
      </c>
      <c r="CC253" s="126">
        <f>SUM(V223:V225)</f>
        <v>12.560738041618748</v>
      </c>
      <c r="CD253" s="126">
        <f>SUM(X223:X225)</f>
        <v>13.954246926903537</v>
      </c>
      <c r="CE253" s="126">
        <f>SUM(Z223:Z225)</f>
        <v>15.608271631276553</v>
      </c>
      <c r="CF253" s="126">
        <f>SUM(AB223:AB225)</f>
        <v>16.762590291293659</v>
      </c>
      <c r="CG253" s="126">
        <f>SUM(AD223:AD225)</f>
        <v>17.40865329492393</v>
      </c>
      <c r="CH253" s="126">
        <f>SUM(AF223:AF225)</f>
        <v>19.229328270041002</v>
      </c>
    </row>
    <row r="254" spans="3:86" x14ac:dyDescent="0.3">
      <c r="C254" s="407">
        <v>21</v>
      </c>
      <c r="D254" s="125">
        <v>0.94450000000000001</v>
      </c>
      <c r="E254" s="125">
        <v>0.92949999999999999</v>
      </c>
      <c r="F254" s="125">
        <v>0.96399999999999997</v>
      </c>
      <c r="G254" s="125">
        <v>0.96775</v>
      </c>
      <c r="I254" s="345">
        <v>21</v>
      </c>
      <c r="J254" s="117">
        <f t="shared" si="184"/>
        <v>0.96399999999999997</v>
      </c>
      <c r="K254" s="117">
        <f t="shared" si="188"/>
        <v>1.2000000000000011E-2</v>
      </c>
      <c r="N254" s="43">
        <v>120</v>
      </c>
      <c r="O254" s="364">
        <f t="shared" si="206"/>
        <v>11.641215309263227</v>
      </c>
      <c r="P254" s="364">
        <f t="shared" si="213"/>
        <v>15.579511893420246</v>
      </c>
      <c r="Q254" s="364">
        <f t="shared" si="208"/>
        <v>17.844223090871083</v>
      </c>
      <c r="R254" s="364">
        <f t="shared" si="199"/>
        <v>19.823890475521697</v>
      </c>
      <c r="S254" s="364">
        <f t="shared" si="200"/>
        <v>22.173655730146852</v>
      </c>
      <c r="T254" s="364">
        <f>IF($O$191="Tipo I",CF223,IF($O$191="Tipo IA",CF234,IF($O$191="Tipo II",CF245,IF($O$191="Tipo III",CF256,))))</f>
        <v>23.813521128107659</v>
      </c>
      <c r="U254" s="364">
        <f t="shared" si="202"/>
        <v>24.731340791995112</v>
      </c>
      <c r="V254" s="364">
        <f t="shared" si="203"/>
        <v>27.317855240772541</v>
      </c>
      <c r="X254" s="43">
        <v>120</v>
      </c>
      <c r="Y254" s="364">
        <f>O254/($N$254/60)</f>
        <v>5.8206076546316137</v>
      </c>
      <c r="Z254" s="364">
        <f t="shared" ref="Z254:AF254" si="215">P254/($N$254/60)</f>
        <v>7.7897559467101232</v>
      </c>
      <c r="AA254" s="364">
        <f t="shared" si="215"/>
        <v>8.9221115454355413</v>
      </c>
      <c r="AB254" s="364">
        <f t="shared" si="215"/>
        <v>9.9119452377608486</v>
      </c>
      <c r="AC254" s="364">
        <f t="shared" si="215"/>
        <v>11.086827865073426</v>
      </c>
      <c r="AD254" s="364">
        <f t="shared" si="215"/>
        <v>11.90676056405383</v>
      </c>
      <c r="AE254" s="364">
        <f t="shared" si="215"/>
        <v>12.365670395997556</v>
      </c>
      <c r="AF254" s="364">
        <f t="shared" si="215"/>
        <v>13.658927620386271</v>
      </c>
      <c r="BL254">
        <f t="shared" si="210"/>
        <v>1.3616107484528925</v>
      </c>
      <c r="BM254">
        <f t="shared" si="211"/>
        <v>2.6989700043360187</v>
      </c>
      <c r="BN254">
        <f t="shared" si="212"/>
        <v>1.7781512503836436</v>
      </c>
      <c r="BZ254" s="155" t="s">
        <v>298</v>
      </c>
      <c r="CA254" s="126">
        <f>SUM(R222:R225)</f>
        <v>9.7985648413165336</v>
      </c>
      <c r="CB254" s="126">
        <f>SUM(T222:T225)</f>
        <v>13.113481146789479</v>
      </c>
      <c r="CC254" s="126">
        <f>SUM(V222:V225)</f>
        <v>15.01971850479279</v>
      </c>
      <c r="CD254" s="126">
        <f>SUM(X222:X225)</f>
        <v>16.686030716826451</v>
      </c>
      <c r="CE254" s="126">
        <f>SUM(Z222:Z225)</f>
        <v>18.663859199304238</v>
      </c>
      <c r="CF254" s="126">
        <f>SUM(AB222:AB225)</f>
        <v>20.044155586414639</v>
      </c>
      <c r="CG254" s="126">
        <f>SUM(AD222:AD225)</f>
        <v>20.816696532554541</v>
      </c>
      <c r="CH254" s="126">
        <f>SUM(AF222:AF225)</f>
        <v>22.993799941953792</v>
      </c>
    </row>
    <row r="255" spans="3:86" x14ac:dyDescent="0.3">
      <c r="C255" s="407">
        <v>22</v>
      </c>
      <c r="D255" s="125">
        <v>0.96299999999999997</v>
      </c>
      <c r="E255" s="125">
        <v>0.95299999999999996</v>
      </c>
      <c r="F255" s="125">
        <v>0.97599999999999998</v>
      </c>
      <c r="G255" s="125">
        <v>0.97850000000000004</v>
      </c>
      <c r="I255" s="345">
        <v>22</v>
      </c>
      <c r="J255" s="117">
        <f t="shared" si="184"/>
        <v>0.97599999999999998</v>
      </c>
      <c r="K255" s="117">
        <f t="shared" si="188"/>
        <v>1.2000000000000011E-2</v>
      </c>
      <c r="N255" s="43">
        <v>180</v>
      </c>
      <c r="O255" s="364">
        <f t="shared" si="206"/>
        <v>12.898553275626854</v>
      </c>
      <c r="P255" s="364">
        <f t="shared" si="213"/>
        <v>17.262215226415353</v>
      </c>
      <c r="Q255" s="364">
        <f t="shared" si="208"/>
        <v>19.771532102548033</v>
      </c>
      <c r="R255" s="364">
        <f t="shared" si="199"/>
        <v>21.965018310866682</v>
      </c>
      <c r="S255" s="364">
        <f t="shared" si="200"/>
        <v>24.56857571589828</v>
      </c>
      <c r="T255" s="364">
        <f t="shared" si="201"/>
        <v>26.385558791851139</v>
      </c>
      <c r="U255" s="364">
        <f>IF($O$191="Tipo I",CG224,IF($O$191="Tipo IA",CG235,IF($O$191="Tipo II",CG246,IF($O$191="Tipo III",CG257,))))</f>
        <v>27.40250981608397</v>
      </c>
      <c r="V255" s="364">
        <f t="shared" si="203"/>
        <v>30.268387091731213</v>
      </c>
      <c r="X255" s="43">
        <v>180</v>
      </c>
      <c r="Y255" s="364">
        <f>O255/($N$255/60)</f>
        <v>4.2995177585422848</v>
      </c>
      <c r="Z255" s="364">
        <f t="shared" ref="Z255:AF255" si="216">P255/($N$255/60)</f>
        <v>5.7540717421384509</v>
      </c>
      <c r="AA255" s="364">
        <f t="shared" si="216"/>
        <v>6.590510700849344</v>
      </c>
      <c r="AB255" s="364">
        <f t="shared" si="216"/>
        <v>7.3216727702888944</v>
      </c>
      <c r="AC255" s="364">
        <f t="shared" si="216"/>
        <v>8.1895252386327595</v>
      </c>
      <c r="AD255" s="364">
        <f t="shared" si="216"/>
        <v>8.7951862639503791</v>
      </c>
      <c r="AE255" s="364">
        <f t="shared" si="216"/>
        <v>9.1341699386946562</v>
      </c>
      <c r="AF255" s="364">
        <f t="shared" si="216"/>
        <v>10.089462363910405</v>
      </c>
      <c r="BL255">
        <f t="shared" si="210"/>
        <v>1.2293510589218481</v>
      </c>
      <c r="BM255">
        <f t="shared" si="211"/>
        <v>2.6989700043360187</v>
      </c>
      <c r="BN255">
        <f t="shared" si="212"/>
        <v>1.954242509439325</v>
      </c>
      <c r="BZ255" s="155" t="s">
        <v>299</v>
      </c>
      <c r="CA255" s="126">
        <f>SUM(R222:R227)</f>
        <v>10.60065975089333</v>
      </c>
      <c r="CB255" s="126">
        <f>SUM(T222:T227)</f>
        <v>14.186929824734637</v>
      </c>
      <c r="CC255" s="126">
        <f>SUM(V222:V227)</f>
        <v>16.249208736379813</v>
      </c>
      <c r="CD255" s="126">
        <f>SUM(X222:X227)</f>
        <v>18.051922611787912</v>
      </c>
      <c r="CE255" s="126">
        <f>SUM(Z222:Z227)</f>
        <v>20.191652983318082</v>
      </c>
      <c r="CF255" s="126">
        <f>SUM(AB222:AB227)</f>
        <v>21.684938233975132</v>
      </c>
      <c r="CG255" s="126">
        <f>SUM(AD222:AD227)</f>
        <v>22.520718151369852</v>
      </c>
      <c r="CH255" s="126">
        <f>SUM(AF222:AF227)</f>
        <v>24.876035777910193</v>
      </c>
    </row>
    <row r="256" spans="3:86" x14ac:dyDescent="0.3">
      <c r="C256" s="407">
        <v>23</v>
      </c>
      <c r="D256" s="125">
        <v>0.98149999999999993</v>
      </c>
      <c r="E256" s="125">
        <v>0.97649999999999992</v>
      </c>
      <c r="F256" s="125">
        <v>0.98799999999999999</v>
      </c>
      <c r="G256" s="125">
        <v>0.98925000000000007</v>
      </c>
      <c r="I256" s="345">
        <v>23</v>
      </c>
      <c r="J256" s="117">
        <f t="shared" si="184"/>
        <v>0.98799999999999999</v>
      </c>
      <c r="K256" s="117">
        <f t="shared" si="188"/>
        <v>1.2000000000000011E-2</v>
      </c>
      <c r="N256" s="43">
        <v>240</v>
      </c>
      <c r="O256" s="364">
        <f t="shared" si="206"/>
        <v>13.852395870799256</v>
      </c>
      <c r="P256" s="364">
        <f t="shared" si="213"/>
        <v>18.538748789377159</v>
      </c>
      <c r="Q256" s="364">
        <f t="shared" si="208"/>
        <v>21.23362859416503</v>
      </c>
      <c r="R256" s="364">
        <f t="shared" si="199"/>
        <v>23.589322185955979</v>
      </c>
      <c r="S256" s="364">
        <f t="shared" si="200"/>
        <v>26.385411567157977</v>
      </c>
      <c r="T256" s="364">
        <f t="shared" si="201"/>
        <v>28.336759778139282</v>
      </c>
      <c r="U256" s="364">
        <f t="shared" si="202"/>
        <v>29.428913903323792</v>
      </c>
      <c r="V256" s="364">
        <f>IF($O$191="Tipo I",CH225,IF($O$191="Tipo IA",CH236,IF($O$191="Tipo II",CH247,IF($O$191="Tipo III",CH258,))))</f>
        <v>32.506721599355032</v>
      </c>
      <c r="X256" s="43">
        <v>240</v>
      </c>
      <c r="Y256" s="364">
        <f>O256/($N$256/60)</f>
        <v>3.4630989676998141</v>
      </c>
      <c r="Z256" s="364">
        <f t="shared" ref="Z256:AF256" si="217">P256/($N$256/60)</f>
        <v>4.6346871973442898</v>
      </c>
      <c r="AA256" s="364">
        <f t="shared" si="217"/>
        <v>5.3084071485412574</v>
      </c>
      <c r="AB256" s="364">
        <f t="shared" si="217"/>
        <v>5.8973305464889947</v>
      </c>
      <c r="AC256" s="364">
        <f t="shared" si="217"/>
        <v>6.5963528917894942</v>
      </c>
      <c r="AD256" s="364">
        <f t="shared" si="217"/>
        <v>7.0841899445348204</v>
      </c>
      <c r="AE256" s="364">
        <f t="shared" si="217"/>
        <v>7.3572284758309481</v>
      </c>
      <c r="AF256" s="364">
        <f t="shared" si="217"/>
        <v>8.126680399838758</v>
      </c>
      <c r="BL256">
        <f t="shared" si="210"/>
        <v>1.135416603677085</v>
      </c>
      <c r="BM256">
        <f t="shared" si="211"/>
        <v>2.6989700043360187</v>
      </c>
      <c r="BN256">
        <f t="shared" si="212"/>
        <v>2.0791812460476247</v>
      </c>
      <c r="BZ256" s="155" t="s">
        <v>300</v>
      </c>
      <c r="CA256" s="126">
        <f>SUM(R220:R227)</f>
        <v>11.641215309263227</v>
      </c>
      <c r="CB256" s="126">
        <f>SUM(T220:T227)</f>
        <v>15.579511893420246</v>
      </c>
      <c r="CC256" s="126">
        <f>SUM(V220:V227)</f>
        <v>17.844223090871083</v>
      </c>
      <c r="CD256" s="126">
        <f>SUM(X220:X227)</f>
        <v>19.823890475521697</v>
      </c>
      <c r="CE256" s="126">
        <f>SUM(Z220:Z227)</f>
        <v>22.173655730146852</v>
      </c>
      <c r="CF256" s="126">
        <f>SUM(AB220:AB227)</f>
        <v>23.813521128107659</v>
      </c>
      <c r="CG256" s="126">
        <f>SUM(AD220:AD227)</f>
        <v>24.731340791995112</v>
      </c>
      <c r="CH256" s="126">
        <f>SUM(AF220:AF227)</f>
        <v>27.317855240772541</v>
      </c>
    </row>
    <row r="257" spans="2:86" x14ac:dyDescent="0.3">
      <c r="C257" s="407">
        <v>24</v>
      </c>
      <c r="D257" s="124">
        <v>1</v>
      </c>
      <c r="E257" s="124">
        <v>1</v>
      </c>
      <c r="F257" s="124">
        <v>1</v>
      </c>
      <c r="G257" s="124">
        <v>1</v>
      </c>
      <c r="I257" s="345">
        <v>24</v>
      </c>
      <c r="J257" s="117">
        <f t="shared" si="184"/>
        <v>1</v>
      </c>
      <c r="K257" s="117">
        <f>J257-J256</f>
        <v>1.2000000000000011E-2</v>
      </c>
      <c r="N257" s="43">
        <v>300</v>
      </c>
      <c r="O257" s="364">
        <f t="shared" si="206"/>
        <v>14.589456057977934</v>
      </c>
      <c r="P257" s="364">
        <f t="shared" si="213"/>
        <v>19.525161088029467</v>
      </c>
      <c r="Q257" s="364">
        <f t="shared" si="208"/>
        <v>22.363430428596345</v>
      </c>
      <c r="R257" s="364">
        <f t="shared" si="199"/>
        <v>24.844466089434075</v>
      </c>
      <c r="S257" s="364">
        <f t="shared" si="200"/>
        <v>27.789330179495021</v>
      </c>
      <c r="T257" s="364">
        <f t="shared" si="201"/>
        <v>29.84450599481649</v>
      </c>
      <c r="U257" s="364">
        <f t="shared" si="202"/>
        <v>30.994771607100017</v>
      </c>
      <c r="V257" s="364">
        <f t="shared" si="203"/>
        <v>34.23634371888253</v>
      </c>
      <c r="X257" s="43">
        <v>300</v>
      </c>
      <c r="Y257" s="364">
        <f>O257/($N$257/60)</f>
        <v>2.9178912115955868</v>
      </c>
      <c r="Z257" s="364">
        <f t="shared" ref="Z257:AF257" si="218">P257/($N$257/60)</f>
        <v>3.9050322176058936</v>
      </c>
      <c r="AA257" s="364">
        <f t="shared" si="218"/>
        <v>4.4726860857192694</v>
      </c>
      <c r="AB257" s="364">
        <f t="shared" si="218"/>
        <v>4.9688932178868148</v>
      </c>
      <c r="AC257" s="364">
        <f t="shared" si="218"/>
        <v>5.5578660358990044</v>
      </c>
      <c r="AD257" s="364">
        <f t="shared" si="218"/>
        <v>5.9689011989632981</v>
      </c>
      <c r="AE257" s="364">
        <f t="shared" si="218"/>
        <v>6.1989543214200031</v>
      </c>
      <c r="AF257" s="364">
        <f t="shared" si="218"/>
        <v>6.8472687437765059</v>
      </c>
      <c r="BL257">
        <f t="shared" si="210"/>
        <v>1.0038680246503977</v>
      </c>
      <c r="BM257">
        <f t="shared" si="211"/>
        <v>2.6989700043360187</v>
      </c>
      <c r="BN257">
        <f t="shared" si="212"/>
        <v>2.255272505103306</v>
      </c>
      <c r="BZ257" s="155" t="s">
        <v>301</v>
      </c>
      <c r="CA257" s="126">
        <f>SUM(R218:R229)</f>
        <v>12.898553275626854</v>
      </c>
      <c r="CB257" s="126">
        <f>SUM(T218:T229)</f>
        <v>17.262215226415353</v>
      </c>
      <c r="CC257" s="126">
        <f>SUM(V218:V229)</f>
        <v>19.771532102548033</v>
      </c>
      <c r="CD257" s="126">
        <f>SUM(X218:X229)</f>
        <v>21.965018310866682</v>
      </c>
      <c r="CE257" s="126">
        <f>SUM(Z218:Z229)</f>
        <v>24.56857571589828</v>
      </c>
      <c r="CF257" s="126">
        <f>SUM(AB218:AB229)</f>
        <v>26.385558791851139</v>
      </c>
      <c r="CG257" s="126">
        <f>SUM(AD218:AD229)</f>
        <v>27.40250981608397</v>
      </c>
      <c r="CH257" s="126">
        <f>SUM(AF218:AF229)</f>
        <v>30.268387091731213</v>
      </c>
    </row>
    <row r="258" spans="2:86" x14ac:dyDescent="0.3">
      <c r="BL258">
        <f t="shared" si="210"/>
        <v>0.90991318047194825</v>
      </c>
      <c r="BM258">
        <f t="shared" si="211"/>
        <v>2.6989700043360187</v>
      </c>
      <c r="BN258">
        <f t="shared" si="212"/>
        <v>2.3802112417116059</v>
      </c>
      <c r="BZ258" s="155" t="s">
        <v>302</v>
      </c>
      <c r="CA258" s="126">
        <f>SUM(R216:R231)</f>
        <v>13.852395870799256</v>
      </c>
      <c r="CB258" s="126">
        <f>SUM(T216:T231)</f>
        <v>18.538748789377159</v>
      </c>
      <c r="CC258" s="126">
        <f>SUM(V216:V231)</f>
        <v>21.23362859416503</v>
      </c>
      <c r="CD258" s="126">
        <f>SUM(X216:X231)</f>
        <v>23.589322185955979</v>
      </c>
      <c r="CE258" s="126">
        <f>SUM(Z216:Z231)</f>
        <v>26.385411567157977</v>
      </c>
      <c r="CF258" s="126">
        <f>SUM(AB216:AB231)</f>
        <v>28.336759778139282</v>
      </c>
      <c r="CG258" s="126">
        <f>SUM(AD216:AD231)</f>
        <v>29.428913903323792</v>
      </c>
      <c r="CH258" s="126">
        <f>SUM(AF216:AF231)</f>
        <v>32.506721599355032</v>
      </c>
    </row>
    <row r="259" spans="2:86" x14ac:dyDescent="0.3">
      <c r="B259" s="24" t="s">
        <v>293</v>
      </c>
      <c r="M259" s="24" t="s">
        <v>313</v>
      </c>
      <c r="W259" s="24" t="s">
        <v>314</v>
      </c>
      <c r="BL259" s="106">
        <f t="shared" si="210"/>
        <v>0.83551737352946853</v>
      </c>
      <c r="BM259" s="106">
        <f t="shared" si="211"/>
        <v>2.6989700043360187</v>
      </c>
      <c r="BN259" s="106">
        <f t="shared" si="212"/>
        <v>2.4771212547196626</v>
      </c>
      <c r="BZ259" s="156" t="s">
        <v>303</v>
      </c>
      <c r="CA259" s="157">
        <f>SUM(R212:R231)</f>
        <v>14.589456057977934</v>
      </c>
      <c r="CB259" s="157">
        <f>SUM(T212:T231)</f>
        <v>19.525161088029467</v>
      </c>
      <c r="CC259" s="157">
        <f>SUM(V212:V231)</f>
        <v>22.363430428596345</v>
      </c>
      <c r="CD259" s="157">
        <f>SUM(X212:X231)</f>
        <v>24.844466089434075</v>
      </c>
      <c r="CE259" s="157">
        <f>SUM(Z212:Z231)</f>
        <v>27.789330179495021</v>
      </c>
      <c r="CF259" s="157">
        <f>SUM(AB212:AB231)</f>
        <v>29.84450599481649</v>
      </c>
      <c r="CG259" s="157">
        <f>SUM(AD212:AD231)</f>
        <v>30.994771607100017</v>
      </c>
      <c r="CH259" s="157">
        <f>SUM(AF212:AF231)</f>
        <v>34.23634371888253</v>
      </c>
    </row>
    <row r="260" spans="2:86" x14ac:dyDescent="0.3">
      <c r="B260" s="24" t="s">
        <v>294</v>
      </c>
      <c r="K260" s="40"/>
      <c r="BK260" s="167" t="s">
        <v>330</v>
      </c>
    </row>
    <row r="261" spans="2:86" ht="15.6" x14ac:dyDescent="0.3">
      <c r="B261" s="533" t="s">
        <v>78</v>
      </c>
      <c r="C261" s="533"/>
      <c r="D261" s="533"/>
      <c r="E261" s="533"/>
      <c r="F261" s="533"/>
      <c r="G261" s="533"/>
      <c r="H261" s="533"/>
      <c r="I261" s="533"/>
      <c r="J261" s="533"/>
      <c r="K261" s="533"/>
      <c r="L261" s="533"/>
      <c r="M261" s="533" t="s">
        <v>78</v>
      </c>
      <c r="N261" s="533"/>
      <c r="O261" s="533"/>
      <c r="P261" s="533"/>
      <c r="Q261" s="533"/>
      <c r="R261" s="533"/>
      <c r="S261" s="533"/>
      <c r="T261" s="533"/>
      <c r="U261" s="533"/>
      <c r="V261" s="533"/>
      <c r="W261" s="533" t="s">
        <v>78</v>
      </c>
      <c r="X261" s="533"/>
      <c r="Y261" s="533"/>
      <c r="Z261" s="533"/>
      <c r="AA261" s="533"/>
      <c r="AB261" s="533"/>
      <c r="AC261" s="533"/>
      <c r="AD261" s="533"/>
      <c r="AE261" s="533"/>
      <c r="AF261" s="533"/>
      <c r="AG261" s="533" t="s">
        <v>78</v>
      </c>
      <c r="AH261" s="533"/>
      <c r="AI261" s="533"/>
      <c r="AJ261" s="533"/>
      <c r="AK261" s="533"/>
      <c r="AL261" s="533"/>
      <c r="AM261" s="533"/>
      <c r="AN261" s="533"/>
      <c r="AO261" s="533"/>
      <c r="AP261" s="533"/>
      <c r="AQ261" s="533" t="s">
        <v>78</v>
      </c>
      <c r="AR261" s="533"/>
      <c r="AS261" s="533"/>
      <c r="AT261" s="533"/>
      <c r="AU261" s="533"/>
      <c r="AV261" s="533"/>
      <c r="AW261" s="533"/>
      <c r="AX261" s="533"/>
      <c r="AY261" s="533"/>
      <c r="AZ261" s="533"/>
      <c r="BL261" s="105" t="s">
        <v>116</v>
      </c>
      <c r="BM261" s="105" t="s">
        <v>117</v>
      </c>
      <c r="BN261" s="105" t="s">
        <v>118</v>
      </c>
      <c r="BP261" t="s">
        <v>123</v>
      </c>
    </row>
    <row r="262" spans="2:86" ht="16.2" thickBot="1" x14ac:dyDescent="0.35">
      <c r="BL262" s="107" t="s">
        <v>119</v>
      </c>
      <c r="BM262" s="107" t="s">
        <v>120</v>
      </c>
      <c r="BN262" s="107" t="s">
        <v>121</v>
      </c>
    </row>
    <row r="263" spans="2:86" ht="15.6" x14ac:dyDescent="0.3">
      <c r="B263" s="70" t="s">
        <v>82</v>
      </c>
      <c r="C263" s="29" t="s">
        <v>285</v>
      </c>
      <c r="D263" s="29"/>
      <c r="J263" s="104" t="s">
        <v>59</v>
      </c>
      <c r="K263" s="569" t="str">
        <f>SK_1!G3</f>
        <v>YANTAC</v>
      </c>
      <c r="L263" s="569"/>
      <c r="M263" s="70" t="s">
        <v>82</v>
      </c>
      <c r="N263" s="29" t="s">
        <v>285</v>
      </c>
      <c r="O263" s="29"/>
      <c r="T263" s="104" t="s">
        <v>59</v>
      </c>
      <c r="U263" s="569" t="str">
        <f>K263</f>
        <v>YANTAC</v>
      </c>
      <c r="V263" s="569"/>
      <c r="W263" s="22" t="s">
        <v>326</v>
      </c>
      <c r="AG263" s="22" t="s">
        <v>326</v>
      </c>
      <c r="AQ263" s="22" t="s">
        <v>326</v>
      </c>
      <c r="BL263">
        <f>LOG(D311)</f>
        <v>1.8003571601787771</v>
      </c>
      <c r="BM263">
        <f>LOG($D$308)</f>
        <v>0.3010299956639812</v>
      </c>
      <c r="BN263">
        <f>LOG(C311)</f>
        <v>0.69897000433601886</v>
      </c>
      <c r="BP263" s="518" t="s">
        <v>124</v>
      </c>
      <c r="BQ263" s="518"/>
    </row>
    <row r="264" spans="2:86" x14ac:dyDescent="0.3">
      <c r="BL264">
        <f t="shared" ref="BL264:BL270" si="219">LOG(D312)</f>
        <v>1.5745846634307912</v>
      </c>
      <c r="BM264">
        <f t="shared" ref="BM264:BM270" si="220">LOG($D$308)</f>
        <v>0.3010299956639812</v>
      </c>
      <c r="BN264">
        <f t="shared" ref="BN264:BN270" si="221">LOG(C312)</f>
        <v>1</v>
      </c>
      <c r="BP264" t="s">
        <v>125</v>
      </c>
      <c r="BQ264">
        <v>0.99110863997658216</v>
      </c>
    </row>
    <row r="265" spans="2:86" x14ac:dyDescent="0.3">
      <c r="B265" s="24" t="s">
        <v>315</v>
      </c>
      <c r="M265" s="24" t="s">
        <v>178</v>
      </c>
      <c r="BL265">
        <f t="shared" si="219"/>
        <v>1.4425162191390304</v>
      </c>
      <c r="BM265">
        <f t="shared" si="220"/>
        <v>0.3010299956639812</v>
      </c>
      <c r="BN265">
        <f t="shared" si="221"/>
        <v>1.1760912590556813</v>
      </c>
      <c r="BP265" t="s">
        <v>126</v>
      </c>
      <c r="BQ265">
        <v>0.98229633623623025</v>
      </c>
    </row>
    <row r="266" spans="2:86" x14ac:dyDescent="0.3">
      <c r="B266" s="24" t="s">
        <v>316</v>
      </c>
      <c r="M266" s="24" t="s">
        <v>179</v>
      </c>
      <c r="BL266">
        <f t="shared" si="219"/>
        <v>1.2167437223910444</v>
      </c>
      <c r="BM266">
        <f t="shared" si="220"/>
        <v>0.3010299956639812</v>
      </c>
      <c r="BN266">
        <f t="shared" si="221"/>
        <v>1.4771212547196624</v>
      </c>
      <c r="BP266" t="s">
        <v>127</v>
      </c>
      <c r="BQ266">
        <v>0.98171588824397549</v>
      </c>
    </row>
    <row r="267" spans="2:86" x14ac:dyDescent="0.3">
      <c r="B267" s="24" t="s">
        <v>317</v>
      </c>
      <c r="M267" s="24"/>
      <c r="BL267">
        <f t="shared" si="219"/>
        <v>0.73396404474299759</v>
      </c>
      <c r="BM267">
        <f t="shared" si="220"/>
        <v>0.3010299956639812</v>
      </c>
      <c r="BN267">
        <f t="shared" si="221"/>
        <v>1.7781512503836436</v>
      </c>
      <c r="BP267" t="s">
        <v>128</v>
      </c>
      <c r="BQ267">
        <v>7.3127878896306078E-2</v>
      </c>
    </row>
    <row r="268" spans="2:86" ht="15" thickBot="1" x14ac:dyDescent="0.35">
      <c r="R268" s="21" t="s">
        <v>108</v>
      </c>
      <c r="BL268">
        <f t="shared" si="219"/>
        <v>0.52635573424125148</v>
      </c>
      <c r="BM268">
        <f t="shared" si="220"/>
        <v>0.3010299956639812</v>
      </c>
      <c r="BN268">
        <f t="shared" si="221"/>
        <v>2.0791812460476247</v>
      </c>
      <c r="BP268" s="108" t="s">
        <v>129</v>
      </c>
      <c r="BQ268" s="108">
        <v>64</v>
      </c>
    </row>
    <row r="269" spans="2:86" x14ac:dyDescent="0.3">
      <c r="R269" s="21" t="s">
        <v>109</v>
      </c>
      <c r="BL269">
        <f t="shared" si="219"/>
        <v>0.43868637796810767</v>
      </c>
      <c r="BM269">
        <f t="shared" si="220"/>
        <v>0.3010299956639812</v>
      </c>
      <c r="BN269">
        <f t="shared" si="221"/>
        <v>2.255272505103306</v>
      </c>
    </row>
    <row r="270" spans="2:86" ht="15.75" customHeight="1" thickBot="1" x14ac:dyDescent="0.35">
      <c r="M270" s="24" t="s">
        <v>107</v>
      </c>
      <c r="BL270" s="106">
        <f t="shared" si="219"/>
        <v>0.37741672122918507</v>
      </c>
      <c r="BM270" s="106">
        <f t="shared" si="220"/>
        <v>0.3010299956639812</v>
      </c>
      <c r="BN270" s="106">
        <f t="shared" si="221"/>
        <v>2.3802112417116059</v>
      </c>
      <c r="BP270" t="s">
        <v>130</v>
      </c>
    </row>
    <row r="271" spans="2:86" x14ac:dyDescent="0.3">
      <c r="BL271">
        <f>LOG(E311)</f>
        <v>1.9269126854986689</v>
      </c>
      <c r="BM271">
        <f>LOG($E$308)</f>
        <v>0.69897000433601886</v>
      </c>
      <c r="BN271">
        <f>LOG(C311)</f>
        <v>0.69897000433601886</v>
      </c>
      <c r="BP271" s="109"/>
      <c r="BQ271" s="109" t="s">
        <v>135</v>
      </c>
      <c r="BR271" s="109" t="s">
        <v>136</v>
      </c>
      <c r="BS271" s="109" t="s">
        <v>137</v>
      </c>
      <c r="BT271" s="109" t="s">
        <v>138</v>
      </c>
      <c r="BU271" s="109" t="s">
        <v>139</v>
      </c>
    </row>
    <row r="272" spans="2:86" x14ac:dyDescent="0.3">
      <c r="H272" s="589" t="s">
        <v>319</v>
      </c>
      <c r="I272" s="589"/>
      <c r="J272" s="589"/>
      <c r="K272" s="589"/>
      <c r="M272" s="573" t="s">
        <v>100</v>
      </c>
      <c r="N272" s="573"/>
      <c r="O272" s="110">
        <f>BQ277</f>
        <v>2.4795477862780002</v>
      </c>
      <c r="P272" s="103"/>
      <c r="R272" s="99" t="s">
        <v>110</v>
      </c>
      <c r="S272" s="68">
        <f>O272</f>
        <v>2.4795477862780002</v>
      </c>
      <c r="T272" s="99" t="s">
        <v>111</v>
      </c>
      <c r="U272" s="73">
        <f>ROUND(10^S272,2)</f>
        <v>301.68</v>
      </c>
      <c r="BL272">
        <f t="shared" ref="BL272:BL278" si="222">LOG(E312)</f>
        <v>1.701140188750683</v>
      </c>
      <c r="BM272">
        <f t="shared" ref="BM272:BM278" si="223">LOG($E$308)</f>
        <v>0.69897000433601886</v>
      </c>
      <c r="BN272">
        <f t="shared" ref="BN272:BN278" si="224">LOG(C312)</f>
        <v>1</v>
      </c>
      <c r="BP272" t="s">
        <v>131</v>
      </c>
      <c r="BQ272">
        <v>2</v>
      </c>
      <c r="BR272">
        <v>18.099857679633509</v>
      </c>
      <c r="BS272">
        <v>9.0499288398167543</v>
      </c>
      <c r="BT272">
        <v>1692.3072339702705</v>
      </c>
      <c r="BU272">
        <v>3.6806638570585058E-54</v>
      </c>
    </row>
    <row r="273" spans="3:76" x14ac:dyDescent="0.3">
      <c r="M273" s="573" t="s">
        <v>101</v>
      </c>
      <c r="N273" s="573"/>
      <c r="O273" s="110">
        <f>BQ267</f>
        <v>7.3127878896306078E-2</v>
      </c>
      <c r="P273" s="103"/>
      <c r="T273" s="99" t="s">
        <v>112</v>
      </c>
      <c r="U273" s="102">
        <f>O277</f>
        <v>0.14673714023526485</v>
      </c>
      <c r="BL273">
        <f t="shared" si="222"/>
        <v>1.5690717444589222</v>
      </c>
      <c r="BM273">
        <f t="shared" si="223"/>
        <v>0.69897000433601886</v>
      </c>
      <c r="BN273">
        <f t="shared" si="224"/>
        <v>1.1760912590556813</v>
      </c>
      <c r="BP273" t="s">
        <v>132</v>
      </c>
      <c r="BQ273">
        <v>61</v>
      </c>
      <c r="BR273">
        <v>0.32620888698424128</v>
      </c>
      <c r="BS273">
        <v>5.3476866718728082E-3</v>
      </c>
    </row>
    <row r="274" spans="3:76" ht="15" thickBot="1" x14ac:dyDescent="0.35">
      <c r="M274" s="573" t="s">
        <v>102</v>
      </c>
      <c r="N274" s="573"/>
      <c r="O274" s="110">
        <f>BQ266</f>
        <v>0.98171588824397549</v>
      </c>
      <c r="P274" s="103"/>
      <c r="T274" s="99" t="s">
        <v>113</v>
      </c>
      <c r="U274" s="102">
        <f>P277*-1</f>
        <v>0.90351741810482311</v>
      </c>
      <c r="BL274">
        <f t="shared" si="222"/>
        <v>1.343299247710936</v>
      </c>
      <c r="BM274">
        <f t="shared" si="223"/>
        <v>0.69897000433601886</v>
      </c>
      <c r="BN274">
        <f t="shared" si="224"/>
        <v>1.4771212547196624</v>
      </c>
      <c r="BP274" s="108" t="s">
        <v>133</v>
      </c>
      <c r="BQ274" s="108">
        <v>63</v>
      </c>
      <c r="BR274" s="108">
        <v>18.426066566617749</v>
      </c>
      <c r="BS274" s="108"/>
      <c r="BT274" s="108"/>
      <c r="BU274" s="108"/>
    </row>
    <row r="275" spans="3:76" ht="16.2" thickBot="1" x14ac:dyDescent="0.35">
      <c r="C275" s="24" t="s">
        <v>84</v>
      </c>
      <c r="D275" s="29"/>
      <c r="M275" s="573" t="s">
        <v>103</v>
      </c>
      <c r="N275" s="573"/>
      <c r="O275" s="103">
        <f>BQ268</f>
        <v>64</v>
      </c>
      <c r="P275" s="103"/>
      <c r="BL275">
        <f t="shared" si="222"/>
        <v>0.86051957006288937</v>
      </c>
      <c r="BM275">
        <f t="shared" si="223"/>
        <v>0.69897000433601886</v>
      </c>
      <c r="BN275">
        <f t="shared" si="224"/>
        <v>1.7781512503836436</v>
      </c>
    </row>
    <row r="276" spans="3:76" ht="16.2" x14ac:dyDescent="0.3">
      <c r="C276" s="99" t="s">
        <v>152</v>
      </c>
      <c r="D276" s="24" t="s">
        <v>318</v>
      </c>
      <c r="M276" s="573" t="s">
        <v>104</v>
      </c>
      <c r="N276" s="573"/>
      <c r="O276" s="103">
        <f>BQ274</f>
        <v>63</v>
      </c>
      <c r="P276" s="103"/>
      <c r="R276" s="24" t="s">
        <v>84</v>
      </c>
      <c r="S276" s="99" t="s">
        <v>114</v>
      </c>
      <c r="T276" s="24" t="s">
        <v>115</v>
      </c>
      <c r="BL276">
        <f t="shared" si="222"/>
        <v>0.65291125956114315</v>
      </c>
      <c r="BM276">
        <f t="shared" si="223"/>
        <v>0.69897000433601886</v>
      </c>
      <c r="BN276">
        <f t="shared" si="224"/>
        <v>2.0791812460476247</v>
      </c>
      <c r="BP276" s="109"/>
      <c r="BQ276" s="109" t="s">
        <v>140</v>
      </c>
      <c r="BR276" s="109" t="s">
        <v>128</v>
      </c>
      <c r="BS276" s="109" t="s">
        <v>141</v>
      </c>
      <c r="BT276" s="109" t="s">
        <v>142</v>
      </c>
      <c r="BU276" s="109" t="s">
        <v>143</v>
      </c>
      <c r="BV276" s="109" t="s">
        <v>144</v>
      </c>
      <c r="BW276" s="109" t="s">
        <v>145</v>
      </c>
      <c r="BX276" s="109" t="s">
        <v>146</v>
      </c>
    </row>
    <row r="277" spans="3:76" x14ac:dyDescent="0.3">
      <c r="C277" s="99" t="s">
        <v>86</v>
      </c>
      <c r="D277" s="24" t="s">
        <v>87</v>
      </c>
      <c r="M277" s="573" t="s">
        <v>105</v>
      </c>
      <c r="N277" s="573"/>
      <c r="O277" s="110">
        <f>BQ278</f>
        <v>0.14673714023526485</v>
      </c>
      <c r="P277" s="110">
        <f>BQ279</f>
        <v>-0.90351741810482311</v>
      </c>
      <c r="S277" s="99" t="s">
        <v>79</v>
      </c>
      <c r="T277" s="24" t="s">
        <v>85</v>
      </c>
      <c r="BL277">
        <f t="shared" si="222"/>
        <v>0.56524190328799939</v>
      </c>
      <c r="BM277">
        <f t="shared" si="223"/>
        <v>0.69897000433601886</v>
      </c>
      <c r="BN277">
        <f t="shared" si="224"/>
        <v>2.255272505103306</v>
      </c>
      <c r="BP277" t="s">
        <v>134</v>
      </c>
      <c r="BQ277">
        <v>2.4795477862780002</v>
      </c>
      <c r="BR277">
        <v>3.2422038823215309E-2</v>
      </c>
      <c r="BS277">
        <v>76.477232039539643</v>
      </c>
      <c r="BT277">
        <v>2.6874504368134648E-62</v>
      </c>
      <c r="BU277">
        <v>2.4147159127734774</v>
      </c>
      <c r="BV277">
        <v>2.544379659782523</v>
      </c>
      <c r="BW277">
        <v>2.5310858197538009</v>
      </c>
      <c r="BX277">
        <v>2.6536650026707713</v>
      </c>
    </row>
    <row r="278" spans="3:76" x14ac:dyDescent="0.3">
      <c r="C278" s="99" t="s">
        <v>153</v>
      </c>
      <c r="D278" s="24" t="s">
        <v>154</v>
      </c>
      <c r="M278" s="573" t="s">
        <v>106</v>
      </c>
      <c r="N278" s="573"/>
      <c r="O278" s="110">
        <f>BR278</f>
        <v>1.2920273006478175E-2</v>
      </c>
      <c r="P278" s="110">
        <f>BR279</f>
        <v>1.5835033799027304E-2</v>
      </c>
      <c r="S278" s="99" t="s">
        <v>86</v>
      </c>
      <c r="T278" s="24" t="s">
        <v>87</v>
      </c>
      <c r="BL278" s="106">
        <f t="shared" si="222"/>
        <v>0.5039722465490768</v>
      </c>
      <c r="BM278" s="106">
        <f t="shared" si="223"/>
        <v>0.69897000433601886</v>
      </c>
      <c r="BN278" s="106">
        <f t="shared" si="224"/>
        <v>2.3802112417116059</v>
      </c>
      <c r="BP278" t="s">
        <v>147</v>
      </c>
      <c r="BQ278">
        <v>0.14673714023526485</v>
      </c>
      <c r="BR278">
        <v>1.2920273006478175E-2</v>
      </c>
      <c r="BS278">
        <v>11.357123813226812</v>
      </c>
      <c r="BT278">
        <v>1.0966171472381141E-16</v>
      </c>
      <c r="BU278">
        <v>0.1209014576069376</v>
      </c>
      <c r="BV278">
        <v>0.1725728228635921</v>
      </c>
      <c r="BW278">
        <v>0.1028499021870219</v>
      </c>
      <c r="BX278">
        <v>0.15169804887002006</v>
      </c>
    </row>
    <row r="279" spans="3:76" ht="15" thickBot="1" x14ac:dyDescent="0.35">
      <c r="BL279">
        <f>LOG(F311)</f>
        <v>1.9858564826196599</v>
      </c>
      <c r="BM279">
        <f>LOG($F$308)</f>
        <v>1</v>
      </c>
      <c r="BN279">
        <f>LOG(C311)</f>
        <v>0.69897000433601886</v>
      </c>
      <c r="BP279" s="108" t="s">
        <v>148</v>
      </c>
      <c r="BQ279" s="108">
        <v>-0.90351741810482311</v>
      </c>
      <c r="BR279" s="108">
        <v>1.5835033799027304E-2</v>
      </c>
      <c r="BS279" s="108">
        <v>-57.058130066026337</v>
      </c>
      <c r="BT279" s="108">
        <v>1.2097541937855515E-54</v>
      </c>
      <c r="BU279" s="108">
        <v>-0.93518152515855013</v>
      </c>
      <c r="BV279" s="108">
        <v>-0.87185331105109609</v>
      </c>
      <c r="BW279" s="108">
        <v>-0.93345146258504785</v>
      </c>
      <c r="BX279" s="108">
        <v>-0.87358337362459926</v>
      </c>
    </row>
    <row r="280" spans="3:76" x14ac:dyDescent="0.3">
      <c r="M280" s="24" t="s">
        <v>307</v>
      </c>
      <c r="BL280">
        <f t="shared" ref="BL280:BL286" si="225">LOG(F312)</f>
        <v>1.7600839858716739</v>
      </c>
      <c r="BM280">
        <f t="shared" ref="BM280:BM286" si="226">LOG($F$308)</f>
        <v>1</v>
      </c>
      <c r="BN280">
        <f t="shared" ref="BN280:BN286" si="227">LOG(C312)</f>
        <v>1</v>
      </c>
    </row>
    <row r="281" spans="3:76" x14ac:dyDescent="0.3">
      <c r="M281" s="24" t="s">
        <v>308</v>
      </c>
      <c r="BL281">
        <f t="shared" si="225"/>
        <v>1.6280155415799129</v>
      </c>
      <c r="BM281">
        <f t="shared" si="226"/>
        <v>1</v>
      </c>
      <c r="BN281">
        <f t="shared" si="227"/>
        <v>1.1760912590556813</v>
      </c>
    </row>
    <row r="282" spans="3:76" x14ac:dyDescent="0.3">
      <c r="BL282">
        <f t="shared" si="225"/>
        <v>1.4022430448319272</v>
      </c>
      <c r="BM282">
        <f t="shared" si="226"/>
        <v>1</v>
      </c>
      <c r="BN282">
        <f t="shared" si="227"/>
        <v>1.4771212547196624</v>
      </c>
    </row>
    <row r="283" spans="3:76" x14ac:dyDescent="0.3">
      <c r="M283" s="570" t="s">
        <v>149</v>
      </c>
      <c r="N283" s="570"/>
      <c r="O283" s="570"/>
      <c r="P283" s="570"/>
      <c r="Q283" s="570"/>
      <c r="R283" s="570"/>
      <c r="S283" s="570"/>
      <c r="T283" s="570"/>
      <c r="U283" s="570"/>
      <c r="V283" s="570"/>
      <c r="BL283">
        <f t="shared" si="225"/>
        <v>0.91946336718388033</v>
      </c>
      <c r="BM283">
        <f t="shared" si="226"/>
        <v>1</v>
      </c>
      <c r="BN283">
        <f t="shared" si="227"/>
        <v>1.7781512503836436</v>
      </c>
    </row>
    <row r="284" spans="3:76" x14ac:dyDescent="0.3">
      <c r="M284" s="571" t="s">
        <v>458</v>
      </c>
      <c r="N284" s="571" t="s">
        <v>208</v>
      </c>
      <c r="O284" s="570" t="s">
        <v>151</v>
      </c>
      <c r="P284" s="570"/>
      <c r="Q284" s="570"/>
      <c r="R284" s="570"/>
      <c r="S284" s="570"/>
      <c r="T284" s="570"/>
      <c r="U284" s="570"/>
      <c r="V284" s="570"/>
      <c r="BL284">
        <f t="shared" si="225"/>
        <v>0.71185505668213411</v>
      </c>
      <c r="BM284">
        <f t="shared" si="226"/>
        <v>1</v>
      </c>
      <c r="BN284">
        <f t="shared" si="227"/>
        <v>2.0791812460476247</v>
      </c>
    </row>
    <row r="285" spans="3:76" x14ac:dyDescent="0.3">
      <c r="M285" s="571"/>
      <c r="N285" s="571"/>
      <c r="O285" s="399">
        <v>2</v>
      </c>
      <c r="P285" s="399">
        <v>5</v>
      </c>
      <c r="Q285" s="399">
        <v>10</v>
      </c>
      <c r="R285" s="399">
        <v>20</v>
      </c>
      <c r="S285" s="399">
        <v>25</v>
      </c>
      <c r="T285" s="399">
        <v>50</v>
      </c>
      <c r="U285" s="399">
        <v>100</v>
      </c>
      <c r="V285" s="399">
        <v>500</v>
      </c>
      <c r="BL285">
        <f t="shared" si="225"/>
        <v>0.62418570040899046</v>
      </c>
      <c r="BM285">
        <f t="shared" si="226"/>
        <v>1</v>
      </c>
      <c r="BN285">
        <f t="shared" si="227"/>
        <v>2.255272505103306</v>
      </c>
    </row>
    <row r="286" spans="3:76" x14ac:dyDescent="0.3">
      <c r="M286" s="410">
        <v>5</v>
      </c>
      <c r="N286" s="345">
        <f t="shared" ref="N286:N295" si="228">M286/60</f>
        <v>8.3333333333333329E-2</v>
      </c>
      <c r="O286" s="364">
        <f t="shared" ref="O286:V286" si="229">$U$272*(O$285^$U$273)/($M286^$U$274)</f>
        <v>78.016637150405188</v>
      </c>
      <c r="P286" s="364">
        <f t="shared" si="229"/>
        <v>89.244159823229751</v>
      </c>
      <c r="Q286" s="364">
        <f t="shared" si="229"/>
        <v>98.79889469581525</v>
      </c>
      <c r="R286" s="364">
        <f t="shared" si="229"/>
        <v>109.3765867979408</v>
      </c>
      <c r="S286" s="364">
        <f t="shared" si="229"/>
        <v>113.0172315886085</v>
      </c>
      <c r="T286" s="364">
        <f t="shared" si="229"/>
        <v>125.11717948437737</v>
      </c>
      <c r="U286" s="364">
        <f t="shared" si="229"/>
        <v>138.51258239193822</v>
      </c>
      <c r="V286" s="364">
        <f t="shared" si="229"/>
        <v>175.40989385897237</v>
      </c>
      <c r="BL286" s="106">
        <f t="shared" si="225"/>
        <v>0.56291604367006776</v>
      </c>
      <c r="BM286" s="106">
        <f t="shared" si="226"/>
        <v>1</v>
      </c>
      <c r="BN286" s="106">
        <f t="shared" si="227"/>
        <v>2.3802112417116059</v>
      </c>
    </row>
    <row r="287" spans="3:76" x14ac:dyDescent="0.3">
      <c r="M287" s="103">
        <v>10</v>
      </c>
      <c r="N287" s="345">
        <f t="shared" si="228"/>
        <v>0.16666666666666666</v>
      </c>
      <c r="O287" s="364">
        <f t="shared" ref="O287:V295" si="230">$U$272*(O$285^$U$273)/($M287^$U$274)</f>
        <v>41.706273027244428</v>
      </c>
      <c r="P287" s="364">
        <f t="shared" si="230"/>
        <v>47.708302121495969</v>
      </c>
      <c r="Q287" s="364">
        <f t="shared" si="230"/>
        <v>52.816089330149254</v>
      </c>
      <c r="R287" s="364">
        <f t="shared" si="230"/>
        <v>58.470730838971129</v>
      </c>
      <c r="S287" s="364">
        <f t="shared" si="230"/>
        <v>60.416953224102642</v>
      </c>
      <c r="T287" s="364">
        <f t="shared" si="230"/>
        <v>66.885364949969343</v>
      </c>
      <c r="U287" s="364">
        <f t="shared" si="230"/>
        <v>74.046303326429154</v>
      </c>
      <c r="V287" s="364">
        <f t="shared" si="230"/>
        <v>93.770933895274567</v>
      </c>
      <c r="BL287">
        <f>LOG(G311)</f>
        <v>2.0315477280249974</v>
      </c>
      <c r="BM287">
        <f>LOG($G$308)</f>
        <v>1.3010299956639813</v>
      </c>
      <c r="BN287">
        <f>LOG(C311)</f>
        <v>0.69897000433601886</v>
      </c>
    </row>
    <row r="288" spans="3:76" x14ac:dyDescent="0.3">
      <c r="M288" s="103">
        <v>15</v>
      </c>
      <c r="N288" s="345">
        <f t="shared" si="228"/>
        <v>0.25</v>
      </c>
      <c r="O288" s="364">
        <f t="shared" si="230"/>
        <v>28.913446455536565</v>
      </c>
      <c r="P288" s="364">
        <f t="shared" si="230"/>
        <v>33.07443554050829</v>
      </c>
      <c r="Q288" s="364">
        <f t="shared" si="230"/>
        <v>36.615479159227171</v>
      </c>
      <c r="R288" s="364">
        <f t="shared" si="230"/>
        <v>40.53563703053284</v>
      </c>
      <c r="S288" s="364">
        <f t="shared" si="230"/>
        <v>41.884882423097828</v>
      </c>
      <c r="T288" s="364">
        <f t="shared" si="230"/>
        <v>46.369197671454806</v>
      </c>
      <c r="U288" s="364">
        <f t="shared" si="230"/>
        <v>51.333616529594323</v>
      </c>
      <c r="V288" s="364">
        <f t="shared" si="230"/>
        <v>65.007987515345107</v>
      </c>
      <c r="BL288">
        <f t="shared" ref="BL288:BL294" si="231">LOG(G312)</f>
        <v>1.8057752312770117</v>
      </c>
      <c r="BM288">
        <f t="shared" ref="BM288:BM294" si="232">LOG($G$308)</f>
        <v>1.3010299956639813</v>
      </c>
      <c r="BN288">
        <f t="shared" ref="BN288:BN294" si="233">LOG(C312)</f>
        <v>1</v>
      </c>
    </row>
    <row r="289" spans="2:66" x14ac:dyDescent="0.3">
      <c r="M289" s="103">
        <v>20</v>
      </c>
      <c r="N289" s="345">
        <f t="shared" si="228"/>
        <v>0.33333333333333331</v>
      </c>
      <c r="O289" s="364">
        <f t="shared" si="230"/>
        <v>22.295413816282675</v>
      </c>
      <c r="P289" s="364">
        <f t="shared" si="230"/>
        <v>25.503989233853332</v>
      </c>
      <c r="Q289" s="364">
        <f t="shared" si="230"/>
        <v>28.234519229378193</v>
      </c>
      <c r="R289" s="364">
        <f t="shared" si="230"/>
        <v>31.25738757197875</v>
      </c>
      <c r="S289" s="364">
        <f t="shared" si="230"/>
        <v>32.297802605627872</v>
      </c>
      <c r="T289" s="364">
        <f t="shared" si="230"/>
        <v>35.755697682181101</v>
      </c>
      <c r="U289" s="364">
        <f t="shared" si="230"/>
        <v>39.583804890700456</v>
      </c>
      <c r="V289" s="364">
        <f t="shared" si="230"/>
        <v>50.128233078240271</v>
      </c>
      <c r="BL289">
        <f t="shared" si="231"/>
        <v>1.6737067869852507</v>
      </c>
      <c r="BM289">
        <f t="shared" si="232"/>
        <v>1.3010299956639813</v>
      </c>
      <c r="BN289">
        <f t="shared" si="233"/>
        <v>1.1760912590556813</v>
      </c>
    </row>
    <row r="290" spans="2:66" x14ac:dyDescent="0.3">
      <c r="I290" s="129" t="s">
        <v>284</v>
      </c>
      <c r="M290" s="103">
        <v>30</v>
      </c>
      <c r="N290" s="115">
        <f t="shared" si="228"/>
        <v>0.5</v>
      </c>
      <c r="O290" s="364">
        <f t="shared" si="230"/>
        <v>15.456601772112627</v>
      </c>
      <c r="P290" s="364">
        <f t="shared" si="230"/>
        <v>17.68099073810529</v>
      </c>
      <c r="Q290" s="364">
        <f t="shared" si="230"/>
        <v>19.57396815110193</v>
      </c>
      <c r="R290" s="364">
        <f t="shared" si="230"/>
        <v>21.669613137380686</v>
      </c>
      <c r="S290" s="364">
        <f t="shared" si="230"/>
        <v>22.390895145660309</v>
      </c>
      <c r="T290" s="364">
        <f t="shared" si="230"/>
        <v>24.788128388714032</v>
      </c>
      <c r="U290" s="364">
        <f t="shared" si="230"/>
        <v>27.442016275729841</v>
      </c>
      <c r="V290" s="364">
        <f t="shared" si="230"/>
        <v>34.752085904956225</v>
      </c>
      <c r="BL290">
        <f t="shared" si="231"/>
        <v>1.4479342902372647</v>
      </c>
      <c r="BM290">
        <f t="shared" si="232"/>
        <v>1.3010299956639813</v>
      </c>
      <c r="BN290">
        <f t="shared" si="233"/>
        <v>1.4771212547196624</v>
      </c>
    </row>
    <row r="291" spans="2:66" x14ac:dyDescent="0.3">
      <c r="M291" s="103">
        <v>60</v>
      </c>
      <c r="N291" s="364">
        <f t="shared" si="228"/>
        <v>1</v>
      </c>
      <c r="O291" s="364">
        <f t="shared" si="230"/>
        <v>8.2628177415331141</v>
      </c>
      <c r="P291" s="364">
        <f t="shared" si="230"/>
        <v>9.4519355620773453</v>
      </c>
      <c r="Q291" s="364">
        <f t="shared" si="230"/>
        <v>10.46388680356244</v>
      </c>
      <c r="R291" s="364">
        <f t="shared" si="230"/>
        <v>11.584180437821754</v>
      </c>
      <c r="S291" s="364">
        <f t="shared" si="230"/>
        <v>11.969764660183905</v>
      </c>
      <c r="T291" s="364">
        <f t="shared" si="230"/>
        <v>13.251281882619915</v>
      </c>
      <c r="U291" s="364">
        <f t="shared" si="230"/>
        <v>14.670002002357904</v>
      </c>
      <c r="V291" s="364">
        <f t="shared" si="230"/>
        <v>18.577832061950517</v>
      </c>
      <c r="BL291">
        <f t="shared" si="231"/>
        <v>0.96515461258921809</v>
      </c>
      <c r="BM291">
        <f t="shared" si="232"/>
        <v>1.3010299956639813</v>
      </c>
      <c r="BN291">
        <f t="shared" si="233"/>
        <v>1.7781512503836436</v>
      </c>
    </row>
    <row r="292" spans="2:66" x14ac:dyDescent="0.3">
      <c r="B292" s="24" t="s">
        <v>325</v>
      </c>
      <c r="M292" s="103">
        <v>120</v>
      </c>
      <c r="N292" s="364">
        <f t="shared" si="228"/>
        <v>2</v>
      </c>
      <c r="O292" s="364">
        <f t="shared" si="230"/>
        <v>4.4171518446556028</v>
      </c>
      <c r="P292" s="364">
        <f t="shared" si="230"/>
        <v>5.0528325699036021</v>
      </c>
      <c r="Q292" s="364">
        <f t="shared" si="230"/>
        <v>5.5938032693490483</v>
      </c>
      <c r="R292" s="364">
        <f t="shared" si="230"/>
        <v>6.192691838347824</v>
      </c>
      <c r="S292" s="364">
        <f t="shared" si="230"/>
        <v>6.3988181396113752</v>
      </c>
      <c r="T292" s="364">
        <f t="shared" si="230"/>
        <v>7.0838939019131164</v>
      </c>
      <c r="U292" s="364">
        <f t="shared" si="230"/>
        <v>7.8423158337501278</v>
      </c>
      <c r="V292" s="364">
        <f t="shared" si="230"/>
        <v>9.9313705964571835</v>
      </c>
      <c r="BL292">
        <f t="shared" si="231"/>
        <v>0.75754630208747187</v>
      </c>
      <c r="BM292">
        <f t="shared" si="232"/>
        <v>1.3010299956639813</v>
      </c>
      <c r="BN292">
        <f t="shared" si="233"/>
        <v>2.0791812460476247</v>
      </c>
    </row>
    <row r="293" spans="2:66" x14ac:dyDescent="0.3">
      <c r="M293" s="103">
        <v>180</v>
      </c>
      <c r="N293" s="364">
        <f t="shared" si="228"/>
        <v>3</v>
      </c>
      <c r="O293" s="364">
        <f t="shared" si="230"/>
        <v>3.0622511693383654</v>
      </c>
      <c r="P293" s="364">
        <f t="shared" si="230"/>
        <v>3.502945560809601</v>
      </c>
      <c r="Q293" s="364">
        <f t="shared" si="230"/>
        <v>3.8779809264058613</v>
      </c>
      <c r="R293" s="364">
        <f t="shared" si="230"/>
        <v>4.2931686503549056</v>
      </c>
      <c r="S293" s="364">
        <f t="shared" si="230"/>
        <v>4.4360685390783186</v>
      </c>
      <c r="T293" s="364">
        <f t="shared" si="230"/>
        <v>4.9110067182428256</v>
      </c>
      <c r="U293" s="364">
        <f t="shared" si="230"/>
        <v>5.4367931365724926</v>
      </c>
      <c r="V293" s="364">
        <f t="shared" si="230"/>
        <v>6.8850590361592756</v>
      </c>
      <c r="BL293">
        <f t="shared" si="231"/>
        <v>0.66987694581432811</v>
      </c>
      <c r="BM293">
        <f t="shared" si="232"/>
        <v>1.3010299956639813</v>
      </c>
      <c r="BN293">
        <f t="shared" si="233"/>
        <v>2.255272505103306</v>
      </c>
    </row>
    <row r="294" spans="2:66" ht="15" customHeight="1" x14ac:dyDescent="0.3">
      <c r="C294" s="400" t="s">
        <v>151</v>
      </c>
      <c r="D294" s="399">
        <v>2</v>
      </c>
      <c r="E294" s="399">
        <v>5</v>
      </c>
      <c r="F294" s="399">
        <v>10</v>
      </c>
      <c r="G294" s="399">
        <v>20</v>
      </c>
      <c r="H294" s="399">
        <v>25</v>
      </c>
      <c r="I294" s="399">
        <v>50</v>
      </c>
      <c r="J294" s="399">
        <v>100</v>
      </c>
      <c r="K294" s="399">
        <v>500</v>
      </c>
      <c r="M294" s="103">
        <v>600</v>
      </c>
      <c r="N294" s="103">
        <f t="shared" si="228"/>
        <v>10</v>
      </c>
      <c r="O294" s="364">
        <f t="shared" si="230"/>
        <v>1.031836188213229</v>
      </c>
      <c r="P294" s="364">
        <f t="shared" si="230"/>
        <v>1.1803296970461039</v>
      </c>
      <c r="Q294" s="364">
        <f t="shared" si="230"/>
        <v>1.3066991686154823</v>
      </c>
      <c r="R294" s="364">
        <f t="shared" si="230"/>
        <v>1.4465981170629638</v>
      </c>
      <c r="S294" s="364">
        <f t="shared" si="230"/>
        <v>1.4947487318632249</v>
      </c>
      <c r="T294" s="364">
        <f t="shared" si="230"/>
        <v>1.6547808041285186</v>
      </c>
      <c r="U294" s="364">
        <f t="shared" si="230"/>
        <v>1.831946367533557</v>
      </c>
      <c r="V294" s="364">
        <f t="shared" si="230"/>
        <v>2.3199446023980426</v>
      </c>
      <c r="BL294" s="106">
        <f t="shared" si="231"/>
        <v>0.60860728907540551</v>
      </c>
      <c r="BM294" s="106">
        <f t="shared" si="232"/>
        <v>1.3010299956639813</v>
      </c>
      <c r="BN294" s="106">
        <f t="shared" si="233"/>
        <v>2.3802112417116059</v>
      </c>
    </row>
    <row r="295" spans="2:66" ht="15.6" x14ac:dyDescent="0.3">
      <c r="C295" s="400" t="s">
        <v>321</v>
      </c>
      <c r="D295" s="409">
        <f t="shared" ref="D295:K295" si="234">VLOOKUP(D294,Pmax24h_1,2,FALSE)</f>
        <v>21.678240799372862</v>
      </c>
      <c r="E295" s="409">
        <f t="shared" si="234"/>
        <v>29.012126430950175</v>
      </c>
      <c r="F295" s="409">
        <f t="shared" si="234"/>
        <v>33.229465718568122</v>
      </c>
      <c r="G295" s="409">
        <f t="shared" si="234"/>
        <v>36.915997161120472</v>
      </c>
      <c r="H295" s="409">
        <f t="shared" si="234"/>
        <v>38.025281803448721</v>
      </c>
      <c r="I295" s="409">
        <f t="shared" si="234"/>
        <v>41.291723892266013</v>
      </c>
      <c r="J295" s="409">
        <f t="shared" si="234"/>
        <v>44.345476961094342</v>
      </c>
      <c r="K295" s="409">
        <f t="shared" si="234"/>
        <v>50.871238809632288</v>
      </c>
      <c r="M295" s="103">
        <v>1440</v>
      </c>
      <c r="N295" s="364">
        <f t="shared" si="228"/>
        <v>24</v>
      </c>
      <c r="O295" s="364">
        <f t="shared" si="230"/>
        <v>0.4678248379086466</v>
      </c>
      <c r="P295" s="364">
        <f t="shared" si="230"/>
        <v>0.53515040033200112</v>
      </c>
      <c r="Q295" s="364">
        <f t="shared" si="230"/>
        <v>0.59244513202378091</v>
      </c>
      <c r="R295" s="364">
        <f t="shared" si="230"/>
        <v>0.65587400147869512</v>
      </c>
      <c r="S295" s="364">
        <f t="shared" si="230"/>
        <v>0.67770503805354221</v>
      </c>
      <c r="T295" s="364">
        <f t="shared" si="230"/>
        <v>0.75026207678014334</v>
      </c>
      <c r="U295" s="364">
        <f t="shared" si="230"/>
        <v>0.83058727949132083</v>
      </c>
      <c r="V295" s="364">
        <f t="shared" si="230"/>
        <v>1.0518410964566993</v>
      </c>
      <c r="BL295">
        <f>LOG(H311)</f>
        <v>2.0444055653793165</v>
      </c>
      <c r="BM295">
        <f>LOG($H$308)</f>
        <v>1.3979400086720377</v>
      </c>
      <c r="BN295">
        <f>LOG(C311)</f>
        <v>0.69897000433601886</v>
      </c>
    </row>
    <row r="296" spans="2:66" ht="15.75" customHeight="1" x14ac:dyDescent="0.3">
      <c r="C296" s="406" t="s">
        <v>320</v>
      </c>
      <c r="D296" s="570" t="s">
        <v>81</v>
      </c>
      <c r="E296" s="570"/>
      <c r="F296" s="570"/>
      <c r="G296" s="570"/>
      <c r="H296" s="570"/>
      <c r="I296" s="570"/>
      <c r="J296" s="570"/>
      <c r="K296" s="570"/>
      <c r="BL296">
        <f t="shared" ref="BL296:BL302" si="235">LOG(H312)</f>
        <v>1.8186330686313303</v>
      </c>
      <c r="BM296">
        <f t="shared" ref="BM296:BM302" si="236">LOG($H$308)</f>
        <v>1.3979400086720377</v>
      </c>
      <c r="BN296">
        <f t="shared" ref="BN296:BN302" si="237">LOG(C312)</f>
        <v>1</v>
      </c>
    </row>
    <row r="297" spans="2:66" x14ac:dyDescent="0.3">
      <c r="B297" s="588" t="s">
        <v>322</v>
      </c>
      <c r="C297" s="103">
        <v>5</v>
      </c>
      <c r="D297" s="364">
        <f t="shared" ref="D297:K297" si="238">D$295*($C297/1440)^0.25</f>
        <v>5.2623037665927566</v>
      </c>
      <c r="E297" s="364">
        <f t="shared" si="238"/>
        <v>7.0425743309794324</v>
      </c>
      <c r="F297" s="364">
        <f t="shared" si="238"/>
        <v>8.0663160922977024</v>
      </c>
      <c r="G297" s="364">
        <f t="shared" si="238"/>
        <v>8.9612064330474492</v>
      </c>
      <c r="H297" s="364">
        <f t="shared" si="238"/>
        <v>9.2304807162132825</v>
      </c>
      <c r="I297" s="364">
        <f t="shared" si="238"/>
        <v>10.02339609465292</v>
      </c>
      <c r="J297" s="364">
        <f t="shared" si="238"/>
        <v>10.764682088523992</v>
      </c>
      <c r="K297" s="364">
        <f t="shared" si="238"/>
        <v>12.348783929317364</v>
      </c>
      <c r="BL297">
        <f t="shared" si="235"/>
        <v>1.6865646243395696</v>
      </c>
      <c r="BM297">
        <f t="shared" si="236"/>
        <v>1.3979400086720377</v>
      </c>
      <c r="BN297">
        <f t="shared" si="237"/>
        <v>1.1760912590556813</v>
      </c>
    </row>
    <row r="298" spans="2:66" x14ac:dyDescent="0.3">
      <c r="B298" s="588"/>
      <c r="C298" s="103">
        <v>10</v>
      </c>
      <c r="D298" s="364">
        <f t="shared" ref="D298:K300" si="239">D$295*($C298/1440)^0.25</f>
        <v>6.2579690805377242</v>
      </c>
      <c r="E298" s="364">
        <f t="shared" si="239"/>
        <v>8.3750795023362699</v>
      </c>
      <c r="F298" s="364">
        <f t="shared" si="239"/>
        <v>9.5925204888213731</v>
      </c>
      <c r="G298" s="364">
        <f t="shared" si="239"/>
        <v>10.656730449188181</v>
      </c>
      <c r="H298" s="364">
        <f t="shared" si="239"/>
        <v>10.976953342616248</v>
      </c>
      <c r="I298" s="364">
        <f t="shared" si="239"/>
        <v>11.919893952251742</v>
      </c>
      <c r="J298" s="364">
        <f t="shared" si="239"/>
        <v>12.801436530415081</v>
      </c>
      <c r="K298" s="364">
        <f t="shared" si="239"/>
        <v>14.685261710375469</v>
      </c>
      <c r="BL298">
        <f t="shared" si="235"/>
        <v>1.4607921275915836</v>
      </c>
      <c r="BM298">
        <f t="shared" si="236"/>
        <v>1.3979400086720377</v>
      </c>
      <c r="BN298">
        <f t="shared" si="237"/>
        <v>1.4771212547196624</v>
      </c>
    </row>
    <row r="299" spans="2:66" x14ac:dyDescent="0.3">
      <c r="B299" s="588"/>
      <c r="C299" s="103">
        <v>15</v>
      </c>
      <c r="D299" s="364">
        <f t="shared" si="239"/>
        <v>6.9255812354747466</v>
      </c>
      <c r="E299" s="364">
        <f t="shared" si="239"/>
        <v>9.2685490612883186</v>
      </c>
      <c r="F299" s="364">
        <f t="shared" si="239"/>
        <v>10.615868989333505</v>
      </c>
      <c r="G299" s="364">
        <f t="shared" si="239"/>
        <v>11.793610911236449</v>
      </c>
      <c r="H299" s="364">
        <f t="shared" si="239"/>
        <v>12.147995797667413</v>
      </c>
      <c r="I299" s="364">
        <f t="shared" si="239"/>
        <v>13.191531121702212</v>
      </c>
      <c r="J299" s="364">
        <f t="shared" si="239"/>
        <v>14.167118354401589</v>
      </c>
      <c r="K299" s="364">
        <f t="shared" si="239"/>
        <v>16.251913620939956</v>
      </c>
      <c r="BL299">
        <f t="shared" si="235"/>
        <v>0.97801244994353687</v>
      </c>
      <c r="BM299">
        <f t="shared" si="236"/>
        <v>1.3979400086720377</v>
      </c>
      <c r="BN299">
        <f t="shared" si="237"/>
        <v>1.7781512503836436</v>
      </c>
    </row>
    <row r="300" spans="2:66" x14ac:dyDescent="0.3">
      <c r="B300" s="588"/>
      <c r="C300" s="103">
        <v>30</v>
      </c>
      <c r="D300" s="364">
        <f t="shared" si="239"/>
        <v>8.2359504807559034</v>
      </c>
      <c r="E300" s="364">
        <f t="shared" si="239"/>
        <v>11.022224489435859</v>
      </c>
      <c r="F300" s="364">
        <f t="shared" si="239"/>
        <v>12.624466934052149</v>
      </c>
      <c r="G300" s="364">
        <f t="shared" si="239"/>
        <v>14.025046007216108</v>
      </c>
      <c r="H300" s="364">
        <f t="shared" si="239"/>
        <v>14.446483035609242</v>
      </c>
      <c r="I300" s="364">
        <f t="shared" si="239"/>
        <v>15.687462667708095</v>
      </c>
      <c r="J300" s="364">
        <f t="shared" si="239"/>
        <v>16.847637946140011</v>
      </c>
      <c r="K300" s="364">
        <f t="shared" si="239"/>
        <v>19.326891310431428</v>
      </c>
      <c r="BL300">
        <f t="shared" si="235"/>
        <v>0.77040413944179065</v>
      </c>
      <c r="BM300">
        <f t="shared" si="236"/>
        <v>1.3979400086720377</v>
      </c>
      <c r="BN300">
        <f t="shared" si="237"/>
        <v>2.0791812460476247</v>
      </c>
    </row>
    <row r="301" spans="2:66" x14ac:dyDescent="0.3">
      <c r="B301" s="588" t="s">
        <v>323</v>
      </c>
      <c r="C301" s="103">
        <v>60</v>
      </c>
      <c r="D301" s="364">
        <f t="shared" ref="D301:K301" si="240">0.25*D295</f>
        <v>5.4195601998432155</v>
      </c>
      <c r="E301" s="364">
        <f t="shared" si="240"/>
        <v>7.2530316077375439</v>
      </c>
      <c r="F301" s="364">
        <f t="shared" si="240"/>
        <v>8.3073664296420304</v>
      </c>
      <c r="G301" s="364">
        <f t="shared" si="240"/>
        <v>9.2289992902801181</v>
      </c>
      <c r="H301" s="364">
        <f t="shared" si="240"/>
        <v>9.5063204508621801</v>
      </c>
      <c r="I301" s="364">
        <f t="shared" si="240"/>
        <v>10.322930973066503</v>
      </c>
      <c r="J301" s="364">
        <f t="shared" si="240"/>
        <v>11.086369240273585</v>
      </c>
      <c r="K301" s="364">
        <f t="shared" si="240"/>
        <v>12.717809702408072</v>
      </c>
      <c r="BL301">
        <f t="shared" si="235"/>
        <v>0.68273478316864689</v>
      </c>
      <c r="BM301">
        <f t="shared" si="236"/>
        <v>1.3979400086720377</v>
      </c>
      <c r="BN301">
        <f t="shared" si="237"/>
        <v>2.255272505103306</v>
      </c>
    </row>
    <row r="302" spans="2:66" x14ac:dyDescent="0.3">
      <c r="B302" s="588"/>
      <c r="C302" s="103">
        <v>120</v>
      </c>
      <c r="D302" s="364">
        <f t="shared" ref="D302:K302" si="241">0.31*D295</f>
        <v>6.7202546478055876</v>
      </c>
      <c r="E302" s="364">
        <f t="shared" si="241"/>
        <v>8.9937591935945544</v>
      </c>
      <c r="F302" s="364">
        <f t="shared" si="241"/>
        <v>10.301134372756117</v>
      </c>
      <c r="G302" s="364">
        <f t="shared" si="241"/>
        <v>11.443959119947346</v>
      </c>
      <c r="H302" s="364">
        <f t="shared" si="241"/>
        <v>11.787837359069103</v>
      </c>
      <c r="I302" s="364">
        <f t="shared" si="241"/>
        <v>12.800434406602465</v>
      </c>
      <c r="J302" s="364">
        <f t="shared" si="241"/>
        <v>13.747097857939245</v>
      </c>
      <c r="K302" s="364">
        <f t="shared" si="241"/>
        <v>15.770084030986009</v>
      </c>
      <c r="BL302" s="106">
        <f t="shared" si="235"/>
        <v>0.62146512642972418</v>
      </c>
      <c r="BM302" s="106">
        <f t="shared" si="236"/>
        <v>1.3979400086720377</v>
      </c>
      <c r="BN302" s="106">
        <f t="shared" si="237"/>
        <v>2.3802112417116059</v>
      </c>
    </row>
    <row r="303" spans="2:66" x14ac:dyDescent="0.3">
      <c r="B303" s="588"/>
      <c r="C303" s="103">
        <v>180</v>
      </c>
      <c r="D303" s="364">
        <f t="shared" ref="D303:K303" si="242">0.38*D295</f>
        <v>8.2377315037616867</v>
      </c>
      <c r="E303" s="364">
        <f t="shared" si="242"/>
        <v>11.024608043761067</v>
      </c>
      <c r="F303" s="364">
        <f t="shared" si="242"/>
        <v>12.627196973055886</v>
      </c>
      <c r="G303" s="364">
        <f t="shared" si="242"/>
        <v>14.028078921225779</v>
      </c>
      <c r="H303" s="364">
        <f t="shared" si="242"/>
        <v>14.449607085310515</v>
      </c>
      <c r="I303" s="364">
        <f t="shared" si="242"/>
        <v>15.690855079061086</v>
      </c>
      <c r="J303" s="364">
        <f t="shared" si="242"/>
        <v>16.851281245215851</v>
      </c>
      <c r="K303" s="364">
        <f t="shared" si="242"/>
        <v>19.33107074766027</v>
      </c>
      <c r="BL303">
        <f>LOG(I311)</f>
        <v>2.0801961387643071</v>
      </c>
      <c r="BM303">
        <f>LOG($I$308)</f>
        <v>1.6989700043360187</v>
      </c>
      <c r="BN303">
        <f>LOG(C311)</f>
        <v>0.69897000433601886</v>
      </c>
    </row>
    <row r="304" spans="2:66" x14ac:dyDescent="0.3">
      <c r="B304" s="588"/>
      <c r="C304" s="103">
        <v>240</v>
      </c>
      <c r="D304" s="364">
        <f t="shared" ref="D304:K304" si="243">0.44*D295</f>
        <v>9.5384259517240597</v>
      </c>
      <c r="E304" s="364">
        <f t="shared" si="243"/>
        <v>12.765335629618077</v>
      </c>
      <c r="F304" s="364">
        <f t="shared" si="243"/>
        <v>14.620964916169974</v>
      </c>
      <c r="G304" s="364">
        <f t="shared" si="243"/>
        <v>16.243038750893007</v>
      </c>
      <c r="H304" s="364">
        <f t="shared" si="243"/>
        <v>16.731123993517436</v>
      </c>
      <c r="I304" s="364">
        <f t="shared" si="243"/>
        <v>18.168358512597045</v>
      </c>
      <c r="J304" s="364">
        <f t="shared" si="243"/>
        <v>19.512009862881509</v>
      </c>
      <c r="K304" s="364">
        <f t="shared" si="243"/>
        <v>22.383345076238207</v>
      </c>
      <c r="BL304">
        <f t="shared" ref="BL304:BL310" si="244">LOG(I312)</f>
        <v>1.8544236420163211</v>
      </c>
      <c r="BM304">
        <f t="shared" ref="BM304:BM310" si="245">LOG($I$308)</f>
        <v>1.6989700043360187</v>
      </c>
      <c r="BN304">
        <f t="shared" ref="BN304:BN310" si="246">LOG(C312)</f>
        <v>1</v>
      </c>
    </row>
    <row r="305" spans="2:66" x14ac:dyDescent="0.3">
      <c r="BL305">
        <f t="shared" si="244"/>
        <v>1.7223551977245601</v>
      </c>
      <c r="BM305">
        <f t="shared" si="245"/>
        <v>1.6989700043360187</v>
      </c>
      <c r="BN305">
        <f t="shared" si="246"/>
        <v>1.1760912590556813</v>
      </c>
    </row>
    <row r="306" spans="2:66" x14ac:dyDescent="0.3">
      <c r="B306" s="24" t="s">
        <v>324</v>
      </c>
      <c r="BL306">
        <f t="shared" si="244"/>
        <v>1.4965827009765742</v>
      </c>
      <c r="BM306">
        <f t="shared" si="245"/>
        <v>1.6989700043360187</v>
      </c>
      <c r="BN306">
        <f t="shared" si="246"/>
        <v>1.4771212547196624</v>
      </c>
    </row>
    <row r="307" spans="2:66" x14ac:dyDescent="0.3">
      <c r="BL307">
        <f t="shared" si="244"/>
        <v>1.0138030233285276</v>
      </c>
      <c r="BM307">
        <f t="shared" si="245"/>
        <v>1.6989700043360187</v>
      </c>
      <c r="BN307">
        <f t="shared" si="246"/>
        <v>1.7781512503836436</v>
      </c>
    </row>
    <row r="308" spans="2:66" x14ac:dyDescent="0.3">
      <c r="C308" s="400" t="s">
        <v>151</v>
      </c>
      <c r="D308" s="399">
        <f>D294</f>
        <v>2</v>
      </c>
      <c r="E308" s="399">
        <f t="shared" ref="E308:K308" si="247">E294</f>
        <v>5</v>
      </c>
      <c r="F308" s="399">
        <f t="shared" si="247"/>
        <v>10</v>
      </c>
      <c r="G308" s="399">
        <f t="shared" si="247"/>
        <v>20</v>
      </c>
      <c r="H308" s="399">
        <f t="shared" si="247"/>
        <v>25</v>
      </c>
      <c r="I308" s="399">
        <f t="shared" si="247"/>
        <v>50</v>
      </c>
      <c r="J308" s="399">
        <f t="shared" si="247"/>
        <v>100</v>
      </c>
      <c r="K308" s="399">
        <f t="shared" si="247"/>
        <v>500</v>
      </c>
      <c r="BL308">
        <f t="shared" si="244"/>
        <v>0.80619471282678135</v>
      </c>
      <c r="BM308">
        <f t="shared" si="245"/>
        <v>1.6989700043360187</v>
      </c>
      <c r="BN308">
        <f t="shared" si="246"/>
        <v>2.0791812460476247</v>
      </c>
    </row>
    <row r="309" spans="2:66" ht="15" customHeight="1" x14ac:dyDescent="0.3">
      <c r="C309" s="400" t="s">
        <v>321</v>
      </c>
      <c r="D309" s="409">
        <f>D295</f>
        <v>21.678240799372862</v>
      </c>
      <c r="E309" s="409">
        <f t="shared" ref="E309:K309" si="248">E295</f>
        <v>29.012126430950175</v>
      </c>
      <c r="F309" s="409">
        <f t="shared" si="248"/>
        <v>33.229465718568122</v>
      </c>
      <c r="G309" s="409">
        <f t="shared" si="248"/>
        <v>36.915997161120472</v>
      </c>
      <c r="H309" s="409">
        <f t="shared" si="248"/>
        <v>38.025281803448721</v>
      </c>
      <c r="I309" s="409">
        <f t="shared" si="248"/>
        <v>41.291723892266013</v>
      </c>
      <c r="J309" s="409">
        <f t="shared" si="248"/>
        <v>44.345476961094342</v>
      </c>
      <c r="K309" s="409">
        <f t="shared" si="248"/>
        <v>50.871238809632288</v>
      </c>
      <c r="BL309">
        <f t="shared" si="244"/>
        <v>0.71852535655363758</v>
      </c>
      <c r="BM309">
        <f t="shared" si="245"/>
        <v>1.6989700043360187</v>
      </c>
      <c r="BN309">
        <f t="shared" si="246"/>
        <v>2.255272505103306</v>
      </c>
    </row>
    <row r="310" spans="2:66" x14ac:dyDescent="0.3">
      <c r="C310" s="406" t="s">
        <v>320</v>
      </c>
      <c r="D310" s="570" t="s">
        <v>149</v>
      </c>
      <c r="E310" s="570"/>
      <c r="F310" s="570"/>
      <c r="G310" s="570"/>
      <c r="H310" s="570"/>
      <c r="I310" s="570"/>
      <c r="J310" s="570"/>
      <c r="K310" s="570"/>
      <c r="BL310" s="106">
        <f t="shared" si="244"/>
        <v>0.65725569981471488</v>
      </c>
      <c r="BM310" s="106">
        <f t="shared" si="245"/>
        <v>1.6989700043360187</v>
      </c>
      <c r="BN310" s="106">
        <f t="shared" si="246"/>
        <v>2.3802112417116059</v>
      </c>
    </row>
    <row r="311" spans="2:66" x14ac:dyDescent="0.3">
      <c r="C311" s="103">
        <f>C297</f>
        <v>5</v>
      </c>
      <c r="D311" s="364">
        <f t="shared" ref="D311:K311" si="249">D297/($C311/60)</f>
        <v>63.147645199113079</v>
      </c>
      <c r="E311" s="364">
        <f t="shared" si="249"/>
        <v>84.510891971753196</v>
      </c>
      <c r="F311" s="364">
        <f t="shared" si="249"/>
        <v>96.795793107572436</v>
      </c>
      <c r="G311" s="364">
        <f t="shared" si="249"/>
        <v>107.5344771965694</v>
      </c>
      <c r="H311" s="364">
        <f t="shared" si="249"/>
        <v>110.76576859455939</v>
      </c>
      <c r="I311" s="364">
        <f t="shared" si="249"/>
        <v>120.28075313583504</v>
      </c>
      <c r="J311" s="364">
        <f t="shared" si="249"/>
        <v>129.17618506228791</v>
      </c>
      <c r="K311" s="364">
        <f t="shared" si="249"/>
        <v>148.18540715180836</v>
      </c>
      <c r="BL311">
        <f>LOG(J311)</f>
        <v>2.1111824544534383</v>
      </c>
      <c r="BM311">
        <f>LOG($J$308)</f>
        <v>2</v>
      </c>
      <c r="BN311">
        <f>LOG(C311)</f>
        <v>0.69897000433601886</v>
      </c>
    </row>
    <row r="312" spans="2:66" x14ac:dyDescent="0.3">
      <c r="C312" s="103">
        <f t="shared" ref="C312:C318" si="250">C298</f>
        <v>10</v>
      </c>
      <c r="D312" s="364">
        <f t="shared" ref="D312:E318" si="251">D298/($C312/60)</f>
        <v>37.547814483226347</v>
      </c>
      <c r="E312" s="364">
        <f t="shared" si="251"/>
        <v>50.250477014017619</v>
      </c>
      <c r="F312" s="364">
        <f t="shared" ref="F312:K312" si="252">F298/($C312/60)</f>
        <v>57.555122932928242</v>
      </c>
      <c r="G312" s="364">
        <f t="shared" si="252"/>
        <v>63.940382695129088</v>
      </c>
      <c r="H312" s="364">
        <f t="shared" si="252"/>
        <v>65.861720055697489</v>
      </c>
      <c r="I312" s="364">
        <f t="shared" si="252"/>
        <v>71.519363713510458</v>
      </c>
      <c r="J312" s="364">
        <f t="shared" si="252"/>
        <v>76.808619182490489</v>
      </c>
      <c r="K312" s="364">
        <f t="shared" si="252"/>
        <v>88.111570262252826</v>
      </c>
      <c r="BL312">
        <f t="shared" ref="BL312:BL318" si="253">LOG(J312)</f>
        <v>1.8854099577054522</v>
      </c>
      <c r="BM312">
        <f t="shared" ref="BM312:BM318" si="254">LOG($J$308)</f>
        <v>2</v>
      </c>
      <c r="BN312">
        <f t="shared" ref="BN312:BN318" si="255">LOG(C312)</f>
        <v>1</v>
      </c>
    </row>
    <row r="313" spans="2:66" ht="15" customHeight="1" x14ac:dyDescent="0.3">
      <c r="C313" s="103">
        <f t="shared" si="250"/>
        <v>15</v>
      </c>
      <c r="D313" s="364">
        <f t="shared" si="251"/>
        <v>27.702324941898986</v>
      </c>
      <c r="E313" s="364">
        <f t="shared" si="251"/>
        <v>37.074196245153274</v>
      </c>
      <c r="F313" s="364">
        <f t="shared" ref="F313:K313" si="256">F299/($C313/60)</f>
        <v>42.463475957334019</v>
      </c>
      <c r="G313" s="364">
        <f t="shared" si="256"/>
        <v>47.174443644945796</v>
      </c>
      <c r="H313" s="364">
        <f t="shared" si="256"/>
        <v>48.591983190669652</v>
      </c>
      <c r="I313" s="364">
        <f t="shared" si="256"/>
        <v>52.766124486808849</v>
      </c>
      <c r="J313" s="364">
        <f t="shared" si="256"/>
        <v>56.668473417606357</v>
      </c>
      <c r="K313" s="364">
        <f t="shared" si="256"/>
        <v>65.007654483759822</v>
      </c>
      <c r="BL313">
        <f t="shared" si="253"/>
        <v>1.7533415134136914</v>
      </c>
      <c r="BM313">
        <f t="shared" si="254"/>
        <v>2</v>
      </c>
      <c r="BN313">
        <f t="shared" si="255"/>
        <v>1.1760912590556813</v>
      </c>
    </row>
    <row r="314" spans="2:66" x14ac:dyDescent="0.3">
      <c r="C314" s="103">
        <f t="shared" si="250"/>
        <v>30</v>
      </c>
      <c r="D314" s="364">
        <f t="shared" si="251"/>
        <v>16.471900961511807</v>
      </c>
      <c r="E314" s="364">
        <f t="shared" si="251"/>
        <v>22.044448978871717</v>
      </c>
      <c r="F314" s="364">
        <f t="shared" ref="F314:K314" si="257">F300/($C314/60)</f>
        <v>25.248933868104299</v>
      </c>
      <c r="G314" s="364">
        <f t="shared" si="257"/>
        <v>28.050092014432217</v>
      </c>
      <c r="H314" s="364">
        <f t="shared" si="257"/>
        <v>28.892966071218485</v>
      </c>
      <c r="I314" s="364">
        <f t="shared" si="257"/>
        <v>31.37492533541619</v>
      </c>
      <c r="J314" s="364">
        <f t="shared" si="257"/>
        <v>33.695275892280023</v>
      </c>
      <c r="K314" s="364">
        <f t="shared" si="257"/>
        <v>38.653782620862856</v>
      </c>
      <c r="BL314">
        <f t="shared" si="253"/>
        <v>1.5275690166657054</v>
      </c>
      <c r="BM314">
        <f t="shared" si="254"/>
        <v>2</v>
      </c>
      <c r="BN314">
        <f t="shared" si="255"/>
        <v>1.4771212547196624</v>
      </c>
    </row>
    <row r="315" spans="2:66" x14ac:dyDescent="0.3">
      <c r="C315" s="103">
        <f t="shared" si="250"/>
        <v>60</v>
      </c>
      <c r="D315" s="364">
        <f t="shared" si="251"/>
        <v>5.4195601998432155</v>
      </c>
      <c r="E315" s="364">
        <f t="shared" si="251"/>
        <v>7.2530316077375439</v>
      </c>
      <c r="F315" s="364">
        <f t="shared" ref="F315:K315" si="258">F301/($C315/60)</f>
        <v>8.3073664296420304</v>
      </c>
      <c r="G315" s="364">
        <f t="shared" si="258"/>
        <v>9.2289992902801181</v>
      </c>
      <c r="H315" s="364">
        <f t="shared" si="258"/>
        <v>9.5063204508621801</v>
      </c>
      <c r="I315" s="364">
        <f t="shared" si="258"/>
        <v>10.322930973066503</v>
      </c>
      <c r="J315" s="364">
        <f t="shared" si="258"/>
        <v>11.086369240273585</v>
      </c>
      <c r="K315" s="364">
        <f t="shared" si="258"/>
        <v>12.717809702408072</v>
      </c>
      <c r="BL315">
        <f t="shared" si="253"/>
        <v>1.0447893390176588</v>
      </c>
      <c r="BM315">
        <f t="shared" si="254"/>
        <v>2</v>
      </c>
      <c r="BN315">
        <f t="shared" si="255"/>
        <v>1.7781512503836436</v>
      </c>
    </row>
    <row r="316" spans="2:66" x14ac:dyDescent="0.3">
      <c r="C316" s="103">
        <f t="shared" si="250"/>
        <v>120</v>
      </c>
      <c r="D316" s="364">
        <f t="shared" si="251"/>
        <v>3.3601273239027938</v>
      </c>
      <c r="E316" s="364">
        <f t="shared" si="251"/>
        <v>4.4968795967972772</v>
      </c>
      <c r="F316" s="364">
        <f t="shared" ref="F316:K316" si="259">F302/($C316/60)</f>
        <v>5.1505671863780584</v>
      </c>
      <c r="G316" s="364">
        <f t="shared" si="259"/>
        <v>5.7219795599736729</v>
      </c>
      <c r="H316" s="364">
        <f t="shared" si="259"/>
        <v>5.8939186795345515</v>
      </c>
      <c r="I316" s="364">
        <f t="shared" si="259"/>
        <v>6.4002172033012323</v>
      </c>
      <c r="J316" s="364">
        <f t="shared" si="259"/>
        <v>6.8735489289696226</v>
      </c>
      <c r="K316" s="364">
        <f t="shared" si="259"/>
        <v>7.8850420154930045</v>
      </c>
      <c r="BL316">
        <f t="shared" si="253"/>
        <v>0.83718102851591258</v>
      </c>
      <c r="BM316">
        <f t="shared" si="254"/>
        <v>2</v>
      </c>
      <c r="BN316">
        <f t="shared" si="255"/>
        <v>2.0791812460476247</v>
      </c>
    </row>
    <row r="317" spans="2:66" x14ac:dyDescent="0.3">
      <c r="C317" s="103">
        <f t="shared" si="250"/>
        <v>180</v>
      </c>
      <c r="D317" s="364">
        <f t="shared" si="251"/>
        <v>2.7459105012538956</v>
      </c>
      <c r="E317" s="364">
        <f t="shared" si="251"/>
        <v>3.6748693479203554</v>
      </c>
      <c r="F317" s="364">
        <f t="shared" ref="F317:K317" si="260">F303/($C317/60)</f>
        <v>4.2090656576852954</v>
      </c>
      <c r="G317" s="364">
        <f t="shared" si="260"/>
        <v>4.6760263070752597</v>
      </c>
      <c r="H317" s="364">
        <f t="shared" si="260"/>
        <v>4.8165356951035045</v>
      </c>
      <c r="I317" s="364">
        <f t="shared" si="260"/>
        <v>5.2302850263536955</v>
      </c>
      <c r="J317" s="364">
        <f t="shared" si="260"/>
        <v>5.6170937484052841</v>
      </c>
      <c r="K317" s="364">
        <f t="shared" si="260"/>
        <v>6.44369024922009</v>
      </c>
      <c r="BL317">
        <f t="shared" si="253"/>
        <v>0.74951167224276882</v>
      </c>
      <c r="BM317">
        <f t="shared" si="254"/>
        <v>2</v>
      </c>
      <c r="BN317">
        <f t="shared" si="255"/>
        <v>2.255272505103306</v>
      </c>
    </row>
    <row r="318" spans="2:66" x14ac:dyDescent="0.3">
      <c r="C318" s="103">
        <f t="shared" si="250"/>
        <v>240</v>
      </c>
      <c r="D318" s="364">
        <f t="shared" si="251"/>
        <v>2.3846064879310149</v>
      </c>
      <c r="E318" s="364">
        <f t="shared" si="251"/>
        <v>3.1913339074045193</v>
      </c>
      <c r="F318" s="364">
        <f t="shared" ref="F318:K318" si="261">F304/($C318/60)</f>
        <v>3.6552412290424936</v>
      </c>
      <c r="G318" s="364">
        <f t="shared" si="261"/>
        <v>4.0607596877232517</v>
      </c>
      <c r="H318" s="364">
        <f t="shared" si="261"/>
        <v>4.1827809983793589</v>
      </c>
      <c r="I318" s="364">
        <f t="shared" si="261"/>
        <v>4.5420896281492613</v>
      </c>
      <c r="J318" s="364">
        <f t="shared" si="261"/>
        <v>4.8780024657203773</v>
      </c>
      <c r="K318" s="364">
        <f t="shared" si="261"/>
        <v>5.5958362690595518</v>
      </c>
      <c r="BL318" s="106">
        <f t="shared" si="253"/>
        <v>0.68824201550384612</v>
      </c>
      <c r="BM318" s="106">
        <f t="shared" si="254"/>
        <v>2</v>
      </c>
      <c r="BN318" s="106">
        <f t="shared" si="255"/>
        <v>2.3802112417116059</v>
      </c>
    </row>
    <row r="319" spans="2:66" x14ac:dyDescent="0.3">
      <c r="BL319">
        <f>LOG(K311)</f>
        <v>2.1708054377493275</v>
      </c>
      <c r="BM319">
        <f>LOG($K$308)</f>
        <v>2.6989700043360187</v>
      </c>
      <c r="BN319">
        <f>LOG(C311)</f>
        <v>0.69897000433601886</v>
      </c>
    </row>
    <row r="320" spans="2:66" x14ac:dyDescent="0.3">
      <c r="BL320">
        <f t="shared" ref="BL320:BL326" si="262">LOG(K312)</f>
        <v>1.9450329410013418</v>
      </c>
      <c r="BM320">
        <f t="shared" ref="BM320:BM326" si="263">LOG($K$308)</f>
        <v>2.6989700043360187</v>
      </c>
      <c r="BN320">
        <f t="shared" ref="BN320:BN326" si="264">LOG(C312)</f>
        <v>1</v>
      </c>
    </row>
    <row r="321" spans="2:78" x14ac:dyDescent="0.3">
      <c r="BL321">
        <f t="shared" si="262"/>
        <v>1.8129644967095808</v>
      </c>
      <c r="BM321">
        <f t="shared" si="263"/>
        <v>2.6989700043360187</v>
      </c>
      <c r="BN321">
        <f t="shared" si="264"/>
        <v>1.1760912590556813</v>
      </c>
    </row>
    <row r="322" spans="2:78" x14ac:dyDescent="0.3">
      <c r="BL322">
        <f t="shared" si="262"/>
        <v>1.5871919999615949</v>
      </c>
      <c r="BM322">
        <f t="shared" si="263"/>
        <v>2.6989700043360187</v>
      </c>
      <c r="BN322">
        <f t="shared" si="264"/>
        <v>1.4771212547196624</v>
      </c>
    </row>
    <row r="323" spans="2:78" x14ac:dyDescent="0.3">
      <c r="BL323">
        <f t="shared" si="262"/>
        <v>1.104412322313548</v>
      </c>
      <c r="BM323">
        <f t="shared" si="263"/>
        <v>2.6989700043360187</v>
      </c>
      <c r="BN323">
        <f t="shared" si="264"/>
        <v>1.7781512503836436</v>
      </c>
    </row>
    <row r="324" spans="2:78" x14ac:dyDescent="0.3">
      <c r="BL324">
        <f t="shared" si="262"/>
        <v>0.89680401181180203</v>
      </c>
      <c r="BM324">
        <f t="shared" si="263"/>
        <v>2.6989700043360187</v>
      </c>
      <c r="BN324">
        <f t="shared" si="264"/>
        <v>2.0791812460476247</v>
      </c>
    </row>
    <row r="325" spans="2:78" x14ac:dyDescent="0.3">
      <c r="BL325">
        <f t="shared" si="262"/>
        <v>0.80913465553865827</v>
      </c>
      <c r="BM325">
        <f t="shared" si="263"/>
        <v>2.6989700043360187</v>
      </c>
      <c r="BN325">
        <f t="shared" si="264"/>
        <v>2.255272505103306</v>
      </c>
    </row>
    <row r="326" spans="2:78" x14ac:dyDescent="0.3">
      <c r="BA326" s="167"/>
      <c r="BL326" s="106">
        <f t="shared" si="262"/>
        <v>0.74786499879973556</v>
      </c>
      <c r="BM326" s="106">
        <f t="shared" si="263"/>
        <v>2.6989700043360187</v>
      </c>
      <c r="BN326" s="106">
        <f t="shared" si="264"/>
        <v>2.3802112417116059</v>
      </c>
    </row>
    <row r="327" spans="2:78" x14ac:dyDescent="0.3">
      <c r="B327" s="533" t="s">
        <v>78</v>
      </c>
      <c r="C327" s="533"/>
      <c r="D327" s="533"/>
      <c r="E327" s="533"/>
      <c r="F327" s="533"/>
      <c r="G327" s="533"/>
      <c r="H327" s="533"/>
      <c r="I327" s="533"/>
      <c r="J327" s="533"/>
      <c r="K327" s="533"/>
      <c r="L327" s="533"/>
      <c r="M327" s="533" t="s">
        <v>78</v>
      </c>
      <c r="N327" s="533"/>
      <c r="O327" s="533"/>
      <c r="P327" s="533"/>
      <c r="Q327" s="533"/>
      <c r="R327" s="533"/>
      <c r="S327" s="533"/>
      <c r="T327" s="533"/>
      <c r="U327" s="533"/>
      <c r="V327" s="533"/>
      <c r="W327" s="533" t="s">
        <v>78</v>
      </c>
      <c r="X327" s="533"/>
      <c r="Y327" s="533"/>
      <c r="Z327" s="533"/>
      <c r="AA327" s="533"/>
      <c r="AB327" s="533"/>
      <c r="AC327" s="533"/>
      <c r="AD327" s="533"/>
      <c r="AE327" s="533"/>
      <c r="AF327" s="533"/>
      <c r="BY327" t="s">
        <v>123</v>
      </c>
    </row>
    <row r="328" spans="2:78" ht="16.2" thickBot="1" x14ac:dyDescent="0.35">
      <c r="BD328" s="105" t="s">
        <v>116</v>
      </c>
      <c r="BE328" s="105" t="s">
        <v>117</v>
      </c>
      <c r="BF328" s="105" t="s">
        <v>118</v>
      </c>
    </row>
    <row r="329" spans="2:78" ht="15.6" x14ac:dyDescent="0.3">
      <c r="B329" s="70" t="s">
        <v>82</v>
      </c>
      <c r="C329" s="29" t="s">
        <v>209</v>
      </c>
      <c r="D329" s="29"/>
      <c r="J329" s="104" t="s">
        <v>59</v>
      </c>
      <c r="K329" s="569" t="str">
        <f>SK_1!G3</f>
        <v>YANTAC</v>
      </c>
      <c r="L329" s="569"/>
      <c r="M329" s="70" t="s">
        <v>82</v>
      </c>
      <c r="N329" s="29" t="s">
        <v>209</v>
      </c>
      <c r="O329" s="29"/>
      <c r="T329" s="104" t="s">
        <v>59</v>
      </c>
      <c r="U329" s="569" t="str">
        <f>K329</f>
        <v>YANTAC</v>
      </c>
      <c r="V329" s="569"/>
      <c r="W329" s="70" t="s">
        <v>82</v>
      </c>
      <c r="X329" s="29" t="s">
        <v>209</v>
      </c>
      <c r="Y329" s="29"/>
      <c r="AD329" s="104" t="s">
        <v>59</v>
      </c>
      <c r="AE329" s="569" t="str">
        <f>K329</f>
        <v>YANTAC</v>
      </c>
      <c r="AF329" s="569"/>
      <c r="BD329" s="107" t="s">
        <v>119</v>
      </c>
      <c r="BE329" s="107" t="s">
        <v>120</v>
      </c>
      <c r="BF329" s="107" t="s">
        <v>121</v>
      </c>
      <c r="BY329" s="518" t="s">
        <v>124</v>
      </c>
      <c r="BZ329" s="518"/>
    </row>
    <row r="330" spans="2:78" x14ac:dyDescent="0.3">
      <c r="BD330">
        <f t="shared" ref="BD330:BD338" si="265">LOG(O383)</f>
        <v>1.7533893682328907</v>
      </c>
      <c r="BE330">
        <f t="shared" ref="BE330:BE338" si="266">LOG($O$382)</f>
        <v>0.3010299956639812</v>
      </c>
      <c r="BF330">
        <f t="shared" ref="BF330:BF338" si="267">LOG(N383)</f>
        <v>1.1760912590556813</v>
      </c>
      <c r="BL330" s="191" t="s">
        <v>280</v>
      </c>
      <c r="BM330" s="191" t="s">
        <v>402</v>
      </c>
      <c r="BN330" s="191" t="s">
        <v>281</v>
      </c>
      <c r="BO330" s="198" t="s">
        <v>403</v>
      </c>
      <c r="BP330" s="191" t="s">
        <v>281</v>
      </c>
      <c r="BQ330" s="198" t="s">
        <v>404</v>
      </c>
      <c r="BR330" s="198" t="s">
        <v>405</v>
      </c>
      <c r="BY330" t="s">
        <v>125</v>
      </c>
      <c r="BZ330">
        <v>0.99407745919422497</v>
      </c>
    </row>
    <row r="331" spans="2:78" ht="15.6" x14ac:dyDescent="0.3">
      <c r="C331" s="24" t="s">
        <v>210</v>
      </c>
      <c r="D331" s="29"/>
      <c r="N331" s="24" t="s">
        <v>235</v>
      </c>
      <c r="W331" s="24" t="s">
        <v>178</v>
      </c>
      <c r="BD331">
        <f t="shared" si="265"/>
        <v>1.6692985223189916</v>
      </c>
      <c r="BE331">
        <f t="shared" si="266"/>
        <v>0.3010299956639812</v>
      </c>
      <c r="BF331">
        <f t="shared" si="267"/>
        <v>1.4771212547196624</v>
      </c>
      <c r="BL331" s="132">
        <v>123</v>
      </c>
      <c r="BM331" s="82">
        <v>0.55300000000000005</v>
      </c>
      <c r="BN331" s="132" t="s">
        <v>237</v>
      </c>
      <c r="BO331" s="134">
        <v>85</v>
      </c>
      <c r="BP331" s="191" t="str">
        <f>BN331</f>
        <v>123-1</v>
      </c>
      <c r="BQ331" s="191">
        <v>0.35699999999999998</v>
      </c>
      <c r="BR331" s="191">
        <v>32.200000000000003</v>
      </c>
      <c r="BT331" t="str">
        <f>E391</f>
        <v>Costa, Centro y Sur</v>
      </c>
      <c r="BU331" s="73">
        <v>0.5</v>
      </c>
      <c r="BY331" t="s">
        <v>126</v>
      </c>
      <c r="BZ331">
        <v>0.98818999487804593</v>
      </c>
    </row>
    <row r="332" spans="2:78" x14ac:dyDescent="0.3">
      <c r="C332" s="24" t="s">
        <v>211</v>
      </c>
      <c r="N332" s="24" t="s">
        <v>236</v>
      </c>
      <c r="W332" s="24" t="s">
        <v>179</v>
      </c>
      <c r="BD332">
        <f t="shared" si="265"/>
        <v>1.6059576004249909</v>
      </c>
      <c r="BE332">
        <f t="shared" si="266"/>
        <v>0.3010299956639812</v>
      </c>
      <c r="BF332">
        <f t="shared" si="267"/>
        <v>1.6532125137753437</v>
      </c>
      <c r="BL332" s="132">
        <v>4</v>
      </c>
      <c r="BM332" s="82">
        <v>0.86099999999999999</v>
      </c>
      <c r="BN332" s="132" t="s">
        <v>238</v>
      </c>
      <c r="BO332" s="134">
        <v>75</v>
      </c>
      <c r="BP332" s="191" t="str">
        <f t="shared" ref="BP332:BP368" si="268">BN332</f>
        <v>123-2</v>
      </c>
      <c r="BQ332" s="191"/>
      <c r="BR332" s="191"/>
      <c r="BT332" t="str">
        <f>E392</f>
        <v>Sierra</v>
      </c>
      <c r="BU332" s="73">
        <v>0.4</v>
      </c>
      <c r="BY332" t="s">
        <v>127</v>
      </c>
      <c r="BZ332">
        <v>0.9878476758890038</v>
      </c>
    </row>
    <row r="333" spans="2:78" x14ac:dyDescent="0.3">
      <c r="C333" s="24" t="s">
        <v>456</v>
      </c>
      <c r="W333" s="24"/>
      <c r="BD333">
        <f t="shared" si="265"/>
        <v>1.5551266342068382</v>
      </c>
      <c r="BE333">
        <f t="shared" si="266"/>
        <v>0.3010299956639812</v>
      </c>
      <c r="BF333">
        <f t="shared" si="267"/>
        <v>1.7781512503836436</v>
      </c>
      <c r="BL333" s="132" t="s">
        <v>278</v>
      </c>
      <c r="BM333" s="82">
        <f>11*V355^-0.85</f>
        <v>0.22071769539596917</v>
      </c>
      <c r="BN333" s="132" t="s">
        <v>239</v>
      </c>
      <c r="BO333" s="134">
        <f>100-0.022*U347</f>
        <v>99.34</v>
      </c>
      <c r="BP333" s="191" t="str">
        <f t="shared" si="268"/>
        <v>123-3</v>
      </c>
      <c r="BQ333" s="191">
        <v>0.40500000000000003</v>
      </c>
      <c r="BR333" s="191">
        <f>37.85-0.0083*U347</f>
        <v>37.600999999999999</v>
      </c>
      <c r="BT333" t="str">
        <f>E393</f>
        <v>Costa Norte y Selva</v>
      </c>
      <c r="BU333" s="73">
        <v>0.2</v>
      </c>
      <c r="BY333" t="s">
        <v>128</v>
      </c>
      <c r="BZ333">
        <v>2.1548300996085203E-2</v>
      </c>
    </row>
    <row r="334" spans="2:78" ht="15" thickBot="1" x14ac:dyDescent="0.35">
      <c r="C334" s="24" t="s">
        <v>457</v>
      </c>
      <c r="AB334" s="21" t="s">
        <v>108</v>
      </c>
      <c r="BD334">
        <f t="shared" si="265"/>
        <v>1.4762144228684566</v>
      </c>
      <c r="BE334">
        <f t="shared" si="266"/>
        <v>0.3010299956639812</v>
      </c>
      <c r="BF334">
        <f t="shared" si="267"/>
        <v>1.954242509439325</v>
      </c>
      <c r="BL334" s="132" t="s">
        <v>279</v>
      </c>
      <c r="BM334" s="82">
        <f>130*V355^-1.4</f>
        <v>0.20795508021773501</v>
      </c>
      <c r="BN334" s="132" t="s">
        <v>240</v>
      </c>
      <c r="BO334" s="134">
        <f>70-0.019*U347</f>
        <v>69.430000000000007</v>
      </c>
      <c r="BP334" s="191" t="str">
        <f t="shared" si="268"/>
        <v>123-4</v>
      </c>
      <c r="BQ334" s="191"/>
      <c r="BR334" s="191"/>
      <c r="BY334" s="108" t="s">
        <v>129</v>
      </c>
      <c r="BZ334" s="108">
        <v>72</v>
      </c>
    </row>
    <row r="335" spans="2:78" x14ac:dyDescent="0.3">
      <c r="AB335" s="21" t="s">
        <v>109</v>
      </c>
      <c r="BD335">
        <f t="shared" si="265"/>
        <v>1.4158471266169843</v>
      </c>
      <c r="BE335">
        <f t="shared" si="266"/>
        <v>0.3010299956639812</v>
      </c>
      <c r="BF335">
        <f t="shared" si="267"/>
        <v>2.0791812460476247</v>
      </c>
      <c r="BL335" s="132">
        <v>6</v>
      </c>
      <c r="BM335" s="82">
        <f>5.4*V355^-0.6</f>
        <v>0.34207337018035122</v>
      </c>
      <c r="BN335" s="132" t="s">
        <v>241</v>
      </c>
      <c r="BO335" s="134">
        <v>24</v>
      </c>
      <c r="BP335" s="191" t="str">
        <f t="shared" si="268"/>
        <v>123-5</v>
      </c>
      <c r="BQ335" s="191">
        <v>0.35299999999999998</v>
      </c>
      <c r="BR335" s="191">
        <v>9.1999999999999993</v>
      </c>
    </row>
    <row r="336" spans="2:78" ht="15" thickBot="1" x14ac:dyDescent="0.35">
      <c r="T336" s="24" t="s">
        <v>398</v>
      </c>
      <c r="W336" s="24" t="s">
        <v>107</v>
      </c>
      <c r="BD336">
        <f t="shared" si="265"/>
        <v>1.3581856688771907</v>
      </c>
      <c r="BE336">
        <f t="shared" si="266"/>
        <v>0.3010299956639812</v>
      </c>
      <c r="BF336">
        <f t="shared" si="267"/>
        <v>2.255272505103306</v>
      </c>
      <c r="BL336" s="132">
        <v>9</v>
      </c>
      <c r="BM336" s="82">
        <f>22.5*V355^-0.85</f>
        <v>0.45146801330993691</v>
      </c>
      <c r="BN336" s="132" t="s">
        <v>242</v>
      </c>
      <c r="BO336" s="134">
        <v>30.5</v>
      </c>
      <c r="BP336" s="191" t="str">
        <f t="shared" si="268"/>
        <v>123-6</v>
      </c>
      <c r="BQ336" s="191">
        <v>0.38</v>
      </c>
      <c r="BR336" s="191">
        <v>11</v>
      </c>
      <c r="BY336" t="s">
        <v>130</v>
      </c>
    </row>
    <row r="337" spans="3:85" x14ac:dyDescent="0.3">
      <c r="BD337">
        <f t="shared" si="265"/>
        <v>1.2838471205952522</v>
      </c>
      <c r="BE337">
        <f t="shared" si="266"/>
        <v>0.3010299956639812</v>
      </c>
      <c r="BF337">
        <f t="shared" si="267"/>
        <v>2.3802112417116059</v>
      </c>
      <c r="BL337" s="132">
        <v>10</v>
      </c>
      <c r="BM337" s="82">
        <v>1.45</v>
      </c>
      <c r="BN337" s="132" t="s">
        <v>243</v>
      </c>
      <c r="BO337" s="134">
        <f>-2+0.006*U347</f>
        <v>-1.82</v>
      </c>
      <c r="BP337" s="191" t="str">
        <f t="shared" si="268"/>
        <v>123-7</v>
      </c>
      <c r="BQ337" s="191"/>
      <c r="BR337" s="191"/>
      <c r="BY337" s="109"/>
      <c r="BZ337" s="109" t="s">
        <v>135</v>
      </c>
      <c r="CA337" s="109" t="s">
        <v>136</v>
      </c>
      <c r="CB337" s="109" t="s">
        <v>137</v>
      </c>
      <c r="CC337" s="109" t="s">
        <v>138</v>
      </c>
      <c r="CD337" s="109" t="s">
        <v>139</v>
      </c>
    </row>
    <row r="338" spans="3:85" x14ac:dyDescent="0.3">
      <c r="U338" s="399" t="s">
        <v>151</v>
      </c>
      <c r="V338" s="399" t="s">
        <v>399</v>
      </c>
      <c r="W338" s="572" t="s">
        <v>100</v>
      </c>
      <c r="X338" s="573"/>
      <c r="Y338" s="110">
        <f>BZ343</f>
        <v>2.2460641353366766</v>
      </c>
      <c r="Z338" s="103"/>
      <c r="AB338" s="99" t="s">
        <v>110</v>
      </c>
      <c r="AC338" s="68">
        <f>Y338</f>
        <v>2.2460641353366766</v>
      </c>
      <c r="AD338" s="99" t="s">
        <v>111</v>
      </c>
      <c r="AE338" s="73">
        <f>ROUND(10^AC338,2)</f>
        <v>176.22</v>
      </c>
      <c r="BD338" s="106">
        <f t="shared" si="265"/>
        <v>1.2261856628554588</v>
      </c>
      <c r="BE338" s="106">
        <f t="shared" si="266"/>
        <v>0.3010299956639812</v>
      </c>
      <c r="BF338" s="106">
        <f t="shared" si="267"/>
        <v>2.4771212547196626</v>
      </c>
      <c r="BN338" s="132" t="s">
        <v>244</v>
      </c>
      <c r="BO338" s="134">
        <v>26.6</v>
      </c>
      <c r="BP338" s="191" t="str">
        <f t="shared" si="268"/>
        <v>123-8</v>
      </c>
      <c r="BQ338" s="191">
        <v>0.23200000000000001</v>
      </c>
      <c r="BR338" s="191">
        <v>14</v>
      </c>
      <c r="BY338" t="s">
        <v>131</v>
      </c>
      <c r="BZ338">
        <v>2</v>
      </c>
      <c r="CA338">
        <v>2.6808068461297681</v>
      </c>
      <c r="CB338">
        <v>1.340403423064884</v>
      </c>
      <c r="CC338">
        <v>2886.7519083388579</v>
      </c>
      <c r="CD338">
        <v>3.1090518566307812E-67</v>
      </c>
    </row>
    <row r="339" spans="3:85" ht="15.6" x14ac:dyDescent="0.3">
      <c r="C339" s="24" t="s">
        <v>84</v>
      </c>
      <c r="D339" s="29"/>
      <c r="U339" s="412">
        <v>25</v>
      </c>
      <c r="V339" s="413">
        <v>0.2</v>
      </c>
      <c r="W339" s="572" t="s">
        <v>101</v>
      </c>
      <c r="X339" s="573"/>
      <c r="Y339" s="110">
        <f>BZ333</f>
        <v>2.1548300996085203E-2</v>
      </c>
      <c r="Z339" s="103"/>
      <c r="AD339" s="99" t="s">
        <v>112</v>
      </c>
      <c r="AE339" s="102">
        <f>Y343</f>
        <v>0.1364575480154305</v>
      </c>
      <c r="BD339">
        <f t="shared" ref="BD339:BD347" si="269">LOG(P383)</f>
        <v>1.8284453478653417</v>
      </c>
      <c r="BE339">
        <f t="shared" ref="BE339:BE347" si="270">LOG($P$382)</f>
        <v>0.69897000433601886</v>
      </c>
      <c r="BF339">
        <f t="shared" ref="BF339:BF347" si="271">LOG(N383)</f>
        <v>1.1760912590556813</v>
      </c>
      <c r="BN339" s="132" t="s">
        <v>245</v>
      </c>
      <c r="BO339" s="134">
        <v>23.3</v>
      </c>
      <c r="BP339" s="191" t="str">
        <f t="shared" si="268"/>
        <v>123-9</v>
      </c>
      <c r="BQ339" s="191">
        <v>0.24199999999999999</v>
      </c>
      <c r="BR339" s="191">
        <v>12.1</v>
      </c>
      <c r="BY339" t="s">
        <v>132</v>
      </c>
      <c r="BZ339">
        <v>69</v>
      </c>
      <c r="CA339">
        <v>3.2038720031434174E-2</v>
      </c>
      <c r="CB339">
        <v>4.6432927581788658E-4</v>
      </c>
    </row>
    <row r="340" spans="3:85" ht="15" thickBot="1" x14ac:dyDescent="0.35">
      <c r="C340" s="24"/>
      <c r="D340" s="99" t="s">
        <v>213</v>
      </c>
      <c r="E340" s="24" t="s">
        <v>226</v>
      </c>
      <c r="I340" s="99" t="s">
        <v>93</v>
      </c>
      <c r="J340" s="24" t="s">
        <v>212</v>
      </c>
      <c r="W340" s="573" t="s">
        <v>102</v>
      </c>
      <c r="X340" s="573"/>
      <c r="Y340" s="110">
        <f>BZ332</f>
        <v>0.9878476758890038</v>
      </c>
      <c r="Z340" s="103"/>
      <c r="AD340" s="99" t="s">
        <v>113</v>
      </c>
      <c r="AE340" s="102">
        <f>Z343*-1</f>
        <v>0.40901357301495628</v>
      </c>
      <c r="BD340">
        <f t="shared" si="269"/>
        <v>1.7443545019514426</v>
      </c>
      <c r="BE340">
        <f t="shared" si="270"/>
        <v>0.69897000433601886</v>
      </c>
      <c r="BF340">
        <f t="shared" si="271"/>
        <v>1.4771212547196624</v>
      </c>
      <c r="BN340" s="132" t="s">
        <v>246</v>
      </c>
      <c r="BO340" s="134">
        <f>6+0.005*U347</f>
        <v>6.15</v>
      </c>
      <c r="BP340" s="191" t="str">
        <f t="shared" si="268"/>
        <v>123-10</v>
      </c>
      <c r="BQ340" s="191">
        <v>0.254</v>
      </c>
      <c r="BR340" s="191">
        <f>3.01+0.0025*U347</f>
        <v>3.085</v>
      </c>
      <c r="BY340" s="108" t="s">
        <v>133</v>
      </c>
      <c r="BZ340" s="108">
        <v>71</v>
      </c>
      <c r="CA340" s="108">
        <v>2.7128455661612021</v>
      </c>
      <c r="CB340" s="108"/>
      <c r="CC340" s="108"/>
      <c r="CD340" s="108"/>
    </row>
    <row r="341" spans="3:85" ht="15" thickBot="1" x14ac:dyDescent="0.35">
      <c r="C341" s="24"/>
      <c r="D341" s="99" t="s">
        <v>216</v>
      </c>
      <c r="E341" s="24" t="s">
        <v>217</v>
      </c>
      <c r="I341" s="99" t="s">
        <v>79</v>
      </c>
      <c r="J341" s="24" t="s">
        <v>214</v>
      </c>
      <c r="U341" s="399" t="s">
        <v>280</v>
      </c>
      <c r="V341" s="399" t="s">
        <v>281</v>
      </c>
      <c r="W341" s="572" t="s">
        <v>103</v>
      </c>
      <c r="X341" s="573"/>
      <c r="Y341" s="103">
        <f>BZ334</f>
        <v>72</v>
      </c>
      <c r="Z341" s="103"/>
      <c r="BD341">
        <f t="shared" si="269"/>
        <v>1.6810135800574419</v>
      </c>
      <c r="BE341">
        <f t="shared" si="270"/>
        <v>0.69897000433601886</v>
      </c>
      <c r="BF341">
        <f t="shared" si="271"/>
        <v>1.6532125137753437</v>
      </c>
      <c r="BN341" s="132" t="s">
        <v>247</v>
      </c>
      <c r="BO341" s="134">
        <f>1+0.005*U347</f>
        <v>1.1499999999999999</v>
      </c>
      <c r="BP341" s="191" t="str">
        <f t="shared" si="268"/>
        <v>123-11</v>
      </c>
      <c r="BQ341" s="191">
        <v>0.28599999999999998</v>
      </c>
      <c r="BR341" s="191">
        <f>46+0.0023*U347</f>
        <v>46.069000000000003</v>
      </c>
    </row>
    <row r="342" spans="3:85" x14ac:dyDescent="0.3">
      <c r="C342" s="24"/>
      <c r="D342" s="99" t="s">
        <v>173</v>
      </c>
      <c r="E342" s="24" t="s">
        <v>218</v>
      </c>
      <c r="I342" s="99" t="s">
        <v>86</v>
      </c>
      <c r="J342" s="24" t="s">
        <v>215</v>
      </c>
      <c r="U342" s="414">
        <v>123</v>
      </c>
      <c r="V342" s="414" t="s">
        <v>239</v>
      </c>
      <c r="W342" s="572" t="s">
        <v>104</v>
      </c>
      <c r="X342" s="573"/>
      <c r="Y342" s="103">
        <f>BZ340</f>
        <v>71</v>
      </c>
      <c r="Z342" s="103"/>
      <c r="AB342" s="24" t="s">
        <v>84</v>
      </c>
      <c r="AC342" s="99" t="s">
        <v>114</v>
      </c>
      <c r="AD342" s="24" t="s">
        <v>115</v>
      </c>
      <c r="BD342">
        <f t="shared" si="269"/>
        <v>1.6301826138392892</v>
      </c>
      <c r="BE342">
        <f t="shared" si="270"/>
        <v>0.69897000433601886</v>
      </c>
      <c r="BF342">
        <f t="shared" si="271"/>
        <v>1.7781512503836436</v>
      </c>
      <c r="BN342" s="132" t="s">
        <v>248</v>
      </c>
      <c r="BO342" s="134">
        <v>75</v>
      </c>
      <c r="BP342" s="191" t="str">
        <f t="shared" si="268"/>
        <v>123-12</v>
      </c>
      <c r="BQ342" s="191"/>
      <c r="BR342" s="191"/>
      <c r="BY342" s="109"/>
      <c r="BZ342" s="109" t="s">
        <v>140</v>
      </c>
      <c r="CA342" s="109" t="s">
        <v>128</v>
      </c>
      <c r="CB342" s="109" t="s">
        <v>141</v>
      </c>
      <c r="CC342" s="109" t="s">
        <v>142</v>
      </c>
      <c r="CD342" s="109" t="s">
        <v>143</v>
      </c>
      <c r="CE342" s="109" t="s">
        <v>144</v>
      </c>
      <c r="CF342" s="109" t="s">
        <v>145</v>
      </c>
      <c r="CG342" s="109" t="s">
        <v>146</v>
      </c>
    </row>
    <row r="343" spans="3:85" x14ac:dyDescent="0.3">
      <c r="D343" s="99" t="s">
        <v>219</v>
      </c>
      <c r="E343" s="24" t="s">
        <v>220</v>
      </c>
      <c r="W343" s="573" t="s">
        <v>105</v>
      </c>
      <c r="X343" s="573"/>
      <c r="Y343" s="110">
        <f>BZ344</f>
        <v>0.1364575480154305</v>
      </c>
      <c r="Z343" s="110">
        <f>BZ345</f>
        <v>-0.40901357301495628</v>
      </c>
      <c r="AC343" s="99" t="s">
        <v>79</v>
      </c>
      <c r="AD343" s="24" t="s">
        <v>85</v>
      </c>
      <c r="BD343">
        <f t="shared" si="269"/>
        <v>1.5512704025009076</v>
      </c>
      <c r="BE343">
        <f t="shared" si="270"/>
        <v>0.69897000433601886</v>
      </c>
      <c r="BF343">
        <f t="shared" si="271"/>
        <v>1.954242509439325</v>
      </c>
      <c r="BN343" s="132" t="s">
        <v>249</v>
      </c>
      <c r="BO343" s="134">
        <v>70</v>
      </c>
      <c r="BP343" s="191" t="str">
        <f t="shared" si="268"/>
        <v>123-13</v>
      </c>
      <c r="BQ343" s="191">
        <v>0.432</v>
      </c>
      <c r="BR343" s="200">
        <f>((1/15.2)^BQ343)*V355</f>
        <v>30.659687619218776</v>
      </c>
      <c r="BY343" t="s">
        <v>134</v>
      </c>
      <c r="BZ343">
        <v>2.2460641353366766</v>
      </c>
      <c r="CA343">
        <v>1.3149499881959181E-2</v>
      </c>
      <c r="CB343">
        <v>170.8098525038375</v>
      </c>
      <c r="CC343">
        <v>2.2026735175407389E-92</v>
      </c>
      <c r="CD343">
        <v>2.2198316008362089</v>
      </c>
      <c r="CE343">
        <v>2.2722966698371443</v>
      </c>
      <c r="CF343">
        <v>2.2198316008362089</v>
      </c>
      <c r="CG343">
        <v>2.2722966698371443</v>
      </c>
    </row>
    <row r="344" spans="3:85" x14ac:dyDescent="0.3">
      <c r="T344" s="570" t="s">
        <v>234</v>
      </c>
      <c r="U344" s="570"/>
      <c r="V344" s="399" t="s">
        <v>412</v>
      </c>
      <c r="W344" s="572" t="s">
        <v>106</v>
      </c>
      <c r="X344" s="573"/>
      <c r="Y344" s="110">
        <f>CA344</f>
        <v>3.5894299797847081E-3</v>
      </c>
      <c r="Z344" s="110">
        <f>CA345</f>
        <v>6.2170098627940019E-3</v>
      </c>
      <c r="AC344" s="99" t="s">
        <v>86</v>
      </c>
      <c r="AD344" s="24" t="s">
        <v>87</v>
      </c>
      <c r="BD344">
        <f t="shared" si="269"/>
        <v>1.4909031062494353</v>
      </c>
      <c r="BE344">
        <f t="shared" si="270"/>
        <v>0.69897000433601886</v>
      </c>
      <c r="BF344">
        <f t="shared" si="271"/>
        <v>2.0791812460476247</v>
      </c>
      <c r="BN344" s="133" t="s">
        <v>252</v>
      </c>
      <c r="BO344" s="134">
        <v>20</v>
      </c>
      <c r="BP344" s="191" t="str">
        <f t="shared" si="268"/>
        <v>4_1</v>
      </c>
      <c r="BQ344" s="191"/>
      <c r="BR344" s="191"/>
      <c r="BY344" t="s">
        <v>147</v>
      </c>
      <c r="BZ344">
        <v>0.1364575480154305</v>
      </c>
      <c r="CA344">
        <v>3.5894299797847081E-3</v>
      </c>
      <c r="CB344">
        <v>38.016495316511268</v>
      </c>
      <c r="CC344">
        <v>5.1786438846728009E-48</v>
      </c>
      <c r="CD344">
        <v>0.12929683113441054</v>
      </c>
      <c r="CE344">
        <v>0.14361826489645046</v>
      </c>
      <c r="CF344">
        <v>0.12929683113441054</v>
      </c>
      <c r="CG344">
        <v>0.14361826489645046</v>
      </c>
    </row>
    <row r="345" spans="3:85" ht="15" thickBot="1" x14ac:dyDescent="0.35">
      <c r="T345" s="591" t="s">
        <v>231</v>
      </c>
      <c r="U345" s="591"/>
      <c r="V345" s="415">
        <f>VLOOKUP(T345,BT331:BU333,2,FALSE)</f>
        <v>0.4</v>
      </c>
      <c r="BD345">
        <f t="shared" si="269"/>
        <v>1.4332416485096418</v>
      </c>
      <c r="BE345">
        <f t="shared" si="270"/>
        <v>0.69897000433601886</v>
      </c>
      <c r="BF345">
        <f t="shared" si="271"/>
        <v>2.255272505103306</v>
      </c>
      <c r="BN345" s="132" t="s">
        <v>253</v>
      </c>
      <c r="BO345" s="134">
        <f>-7.6+0.006*U347</f>
        <v>-7.42</v>
      </c>
      <c r="BP345" s="191" t="str">
        <f t="shared" si="268"/>
        <v>5a-1</v>
      </c>
      <c r="BQ345" s="191"/>
      <c r="BR345" s="191"/>
      <c r="BY345" s="108" t="s">
        <v>148</v>
      </c>
      <c r="BZ345" s="108">
        <v>-0.40901357301495628</v>
      </c>
      <c r="CA345" s="108">
        <v>6.2170098627940019E-3</v>
      </c>
      <c r="CB345" s="108">
        <v>-65.789436086102725</v>
      </c>
      <c r="CC345" s="108">
        <v>5.4302899995161446E-64</v>
      </c>
      <c r="CD345" s="108">
        <v>-0.42141616833641365</v>
      </c>
      <c r="CE345" s="108">
        <v>-0.3966109776934989</v>
      </c>
      <c r="CF345" s="108">
        <v>-0.42141616833641365</v>
      </c>
      <c r="CG345" s="108">
        <v>-0.3966109776934989</v>
      </c>
    </row>
    <row r="346" spans="3:85" x14ac:dyDescent="0.3">
      <c r="W346" s="24" t="s">
        <v>307</v>
      </c>
      <c r="BD346">
        <f t="shared" si="269"/>
        <v>1.3589031002277032</v>
      </c>
      <c r="BE346">
        <f t="shared" si="270"/>
        <v>0.69897000433601886</v>
      </c>
      <c r="BF346">
        <f t="shared" si="271"/>
        <v>2.3802112417116059</v>
      </c>
      <c r="BN346" s="132" t="s">
        <v>254</v>
      </c>
      <c r="BO346" s="134">
        <f>32-0.177*U348</f>
        <v>5.4500000000000028</v>
      </c>
      <c r="BP346" s="191" t="str">
        <f t="shared" si="268"/>
        <v>5a-2</v>
      </c>
      <c r="BQ346" s="191">
        <v>0.30099999999999999</v>
      </c>
      <c r="BR346" s="191">
        <f>14.1-0.078*U348</f>
        <v>2.4000000000000004</v>
      </c>
    </row>
    <row r="347" spans="3:85" x14ac:dyDescent="0.3">
      <c r="D347" s="99" t="s">
        <v>221</v>
      </c>
      <c r="E347" s="24" t="s">
        <v>222</v>
      </c>
      <c r="T347" s="99" t="s">
        <v>250</v>
      </c>
      <c r="U347" s="197">
        <v>30</v>
      </c>
      <c r="V347" s="24" t="s">
        <v>251</v>
      </c>
      <c r="W347" s="24" t="s">
        <v>308</v>
      </c>
      <c r="BD347" s="106">
        <f t="shared" si="269"/>
        <v>1.3012416424879096</v>
      </c>
      <c r="BE347" s="106">
        <f t="shared" si="270"/>
        <v>0.69897000433601886</v>
      </c>
      <c r="BF347" s="106">
        <f t="shared" si="271"/>
        <v>2.4771212547196626</v>
      </c>
      <c r="BN347" s="132" t="s">
        <v>255</v>
      </c>
      <c r="BO347" s="134">
        <f>-13+0.01*U347</f>
        <v>-12.7</v>
      </c>
      <c r="BP347" s="191" t="str">
        <f t="shared" si="268"/>
        <v>5a-3</v>
      </c>
      <c r="BQ347" s="191"/>
      <c r="BR347" s="191"/>
    </row>
    <row r="348" spans="3:85" x14ac:dyDescent="0.3">
      <c r="D348" s="99" t="s">
        <v>223</v>
      </c>
      <c r="E348" s="24" t="s">
        <v>227</v>
      </c>
      <c r="T348" s="99" t="s">
        <v>411</v>
      </c>
      <c r="U348" s="189">
        <v>150</v>
      </c>
      <c r="V348" s="24" t="s">
        <v>267</v>
      </c>
      <c r="BD348">
        <f t="shared" ref="BD348:BD356" si="272">LOG(Q383)</f>
        <v>1.8776874036852846</v>
      </c>
      <c r="BE348">
        <f t="shared" ref="BE348:BE356" si="273">LOG($Q$382)</f>
        <v>1</v>
      </c>
      <c r="BF348">
        <f t="shared" ref="BF348:BF356" si="274">LOG(N383)</f>
        <v>1.1760912590556813</v>
      </c>
      <c r="BN348" s="132" t="s">
        <v>256</v>
      </c>
      <c r="BO348" s="134">
        <f>3.8+0.0053*U347</f>
        <v>3.9589999999999996</v>
      </c>
      <c r="BP348" s="191" t="str">
        <f t="shared" si="268"/>
        <v>5a-4</v>
      </c>
      <c r="BQ348" s="191"/>
      <c r="BR348" s="191"/>
    </row>
    <row r="349" spans="3:85" x14ac:dyDescent="0.3">
      <c r="D349" s="99"/>
      <c r="E349" s="24"/>
      <c r="T349" s="99" t="s">
        <v>410</v>
      </c>
      <c r="U349" s="189">
        <v>10</v>
      </c>
      <c r="V349" s="24" t="s">
        <v>267</v>
      </c>
      <c r="W349" s="570" t="s">
        <v>149</v>
      </c>
      <c r="X349" s="570"/>
      <c r="Y349" s="570"/>
      <c r="Z349" s="570"/>
      <c r="AA349" s="570"/>
      <c r="AB349" s="570"/>
      <c r="AC349" s="570"/>
      <c r="AD349" s="570"/>
      <c r="AE349" s="570"/>
      <c r="AF349" s="570"/>
      <c r="BD349">
        <f t="shared" si="272"/>
        <v>1.7935965577713855</v>
      </c>
      <c r="BE349">
        <f t="shared" si="273"/>
        <v>1</v>
      </c>
      <c r="BF349">
        <f t="shared" si="274"/>
        <v>1.4771212547196624</v>
      </c>
      <c r="BN349" s="132" t="s">
        <v>257</v>
      </c>
      <c r="BO349" s="134">
        <f>-6+0.007*U347</f>
        <v>-5.79</v>
      </c>
      <c r="BP349" s="191" t="str">
        <f t="shared" si="268"/>
        <v>5a-5</v>
      </c>
      <c r="BQ349" s="191">
        <v>0.30299999999999999</v>
      </c>
      <c r="BR349" s="191">
        <f>-2.6+0.0031*U347</f>
        <v>-2.5070000000000001</v>
      </c>
    </row>
    <row r="350" spans="3:85" x14ac:dyDescent="0.3">
      <c r="C350" s="24" t="s">
        <v>228</v>
      </c>
      <c r="D350" s="99"/>
      <c r="E350" s="24"/>
      <c r="W350" s="571" t="s">
        <v>458</v>
      </c>
      <c r="X350" s="571" t="s">
        <v>459</v>
      </c>
      <c r="Y350" s="570" t="s">
        <v>151</v>
      </c>
      <c r="Z350" s="570"/>
      <c r="AA350" s="570"/>
      <c r="AB350" s="570"/>
      <c r="AC350" s="570"/>
      <c r="AD350" s="570"/>
      <c r="AE350" s="570"/>
      <c r="AF350" s="570"/>
      <c r="BD350">
        <f t="shared" si="272"/>
        <v>1.7302556358773848</v>
      </c>
      <c r="BE350">
        <f t="shared" si="273"/>
        <v>1</v>
      </c>
      <c r="BF350">
        <f t="shared" si="274"/>
        <v>1.6532125137753437</v>
      </c>
      <c r="BN350" s="132" t="s">
        <v>258</v>
      </c>
      <c r="BO350" s="134">
        <f>1.4+0.0067</f>
        <v>1.4066999999999998</v>
      </c>
      <c r="BP350" s="191" t="str">
        <f t="shared" si="268"/>
        <v>5a-6</v>
      </c>
      <c r="BQ350" s="191"/>
    </row>
    <row r="351" spans="3:85" x14ac:dyDescent="0.3">
      <c r="W351" s="571"/>
      <c r="X351" s="571"/>
      <c r="Y351" s="399">
        <v>2</v>
      </c>
      <c r="Z351" s="399">
        <v>5</v>
      </c>
      <c r="AA351" s="399">
        <v>10</v>
      </c>
      <c r="AB351" s="399">
        <v>20</v>
      </c>
      <c r="AC351" s="399">
        <v>25</v>
      </c>
      <c r="AD351" s="399">
        <v>50</v>
      </c>
      <c r="AE351" s="399">
        <v>100</v>
      </c>
      <c r="AF351" s="399">
        <v>500</v>
      </c>
      <c r="BD351">
        <f t="shared" si="272"/>
        <v>1.6794246696592321</v>
      </c>
      <c r="BE351">
        <f t="shared" si="273"/>
        <v>1</v>
      </c>
      <c r="BF351">
        <f t="shared" si="274"/>
        <v>1.7781512503836436</v>
      </c>
      <c r="BN351" s="132" t="s">
        <v>259</v>
      </c>
      <c r="BO351" s="134">
        <f>-2+0.007*U347</f>
        <v>-1.79</v>
      </c>
      <c r="BP351" s="191" t="str">
        <f t="shared" si="268"/>
        <v>5a-7</v>
      </c>
      <c r="BQ351" s="191"/>
    </row>
    <row r="352" spans="3:85" x14ac:dyDescent="0.3">
      <c r="T352" s="24" t="s">
        <v>406</v>
      </c>
      <c r="W352" s="410">
        <v>5</v>
      </c>
      <c r="X352" s="345">
        <f t="shared" ref="X352:X361" si="275">W352/60</f>
        <v>8.3333333333333329E-2</v>
      </c>
      <c r="Y352" s="364">
        <f>$AE$338*($Y$351^$AE$339)/(W352^$AE$340)</f>
        <v>100.28703536120874</v>
      </c>
      <c r="Z352" s="364">
        <f>$AE$338*($Z$351^$AE$339)/(W352^$AE$340)</f>
        <v>113.64405219691177</v>
      </c>
      <c r="AA352" s="364">
        <f>$AE$338*($AA$351^$AE$339)/(W352^$AE$340)</f>
        <v>124.91785724065258</v>
      </c>
      <c r="AB352" s="364">
        <f>$AE$338*($AB$351^$AE$339)/(W352^$AE$340)</f>
        <v>137.31005500013404</v>
      </c>
      <c r="AC352" s="364">
        <f>$AE$338*($AC$351^$AE$339)/(W352^$AE$340)</f>
        <v>141.55540082974883</v>
      </c>
      <c r="AD352" s="364">
        <f>$AE$338*($AD$351^$AE$339)/(W352^$AE$340)</f>
        <v>155.59808903905349</v>
      </c>
      <c r="AE352" s="364">
        <f>$AE$338*($AE$351^$AE$339)/(W352^$AE$340)</f>
        <v>171.03385085055092</v>
      </c>
      <c r="AF352" s="364">
        <f>$AE$338*($AF$351^$AE$339)/(W352^$AE$340)</f>
        <v>213.04032058497054</v>
      </c>
      <c r="BD352">
        <f t="shared" si="272"/>
        <v>1.6005124583208505</v>
      </c>
      <c r="BE352">
        <f t="shared" si="273"/>
        <v>1</v>
      </c>
      <c r="BF352">
        <f t="shared" si="274"/>
        <v>1.954242509439325</v>
      </c>
      <c r="BN352" s="132" t="s">
        <v>260</v>
      </c>
      <c r="BO352" s="134">
        <f>24+0.0025*U347</f>
        <v>24.074999999999999</v>
      </c>
      <c r="BP352" s="191" t="str">
        <f t="shared" si="268"/>
        <v>5a-8</v>
      </c>
      <c r="BQ352" s="191"/>
    </row>
    <row r="353" spans="20:70" x14ac:dyDescent="0.3">
      <c r="T353" s="24" t="s">
        <v>407</v>
      </c>
      <c r="W353" s="103">
        <v>10</v>
      </c>
      <c r="X353" s="345">
        <f t="shared" si="275"/>
        <v>0.16666666666666666</v>
      </c>
      <c r="Y353" s="364">
        <f t="shared" ref="Y353:Y361" si="276">$AE$338*($Y$351^$AE$339)/(W353^$AE$340)</f>
        <v>75.529992048940414</v>
      </c>
      <c r="Z353" s="364">
        <f t="shared" ref="Z353:Z361" si="277">$AE$338*($Z$351^$AE$339)/(W353^$AE$340)</f>
        <v>85.589670967203062</v>
      </c>
      <c r="AA353" s="364">
        <f t="shared" ref="AA353:AA361" si="278">$AE$338*($AA$351^$AE$339)/(W353^$AE$340)</f>
        <v>94.080403615228022</v>
      </c>
      <c r="AB353" s="364">
        <f t="shared" ref="AB353:AB361" si="279">$AE$338*($AB$351^$AE$339)/(W353^$AE$340)</f>
        <v>103.41344048157228</v>
      </c>
      <c r="AC353" s="364">
        <f t="shared" ref="AC353:AC361" si="280">$AE$338*($AC$351^$AE$339)/(W353^$AE$340)</f>
        <v>106.61077237597821</v>
      </c>
      <c r="AD353" s="364">
        <f t="shared" ref="AD353:AD361" si="281">$AE$338*($AD$351^$AE$339)/(W353^$AE$340)</f>
        <v>117.18685656247706</v>
      </c>
      <c r="AE353" s="364">
        <f t="shared" ref="AE353:AE361" si="282">$AE$338*($AE$351^$AE$339)/(W353^$AE$340)</f>
        <v>128.81211762132273</v>
      </c>
      <c r="AF353" s="364">
        <f t="shared" ref="AF353:AF361" si="283">$AE$338*($AF$351^$AE$339)/(W353^$AE$340)</f>
        <v>160.44879242796475</v>
      </c>
      <c r="BD353">
        <f t="shared" si="272"/>
        <v>1.540145162069378</v>
      </c>
      <c r="BE353">
        <f t="shared" si="273"/>
        <v>1</v>
      </c>
      <c r="BF353">
        <f t="shared" si="274"/>
        <v>2.0791812460476247</v>
      </c>
      <c r="BN353" s="132" t="s">
        <v>261</v>
      </c>
      <c r="BO353" s="134">
        <f>9.4+0.0067*U347</f>
        <v>9.6010000000000009</v>
      </c>
      <c r="BP353" s="191" t="str">
        <f t="shared" si="268"/>
        <v>5a-9</v>
      </c>
      <c r="BQ353" s="191"/>
    </row>
    <row r="354" spans="20:70" x14ac:dyDescent="0.3">
      <c r="W354" s="103">
        <v>15</v>
      </c>
      <c r="X354" s="345">
        <f t="shared" si="275"/>
        <v>0.25</v>
      </c>
      <c r="Y354" s="364">
        <f t="shared" si="276"/>
        <v>63.987585658281724</v>
      </c>
      <c r="Z354" s="364">
        <f t="shared" si="277"/>
        <v>72.509956030835909</v>
      </c>
      <c r="AA354" s="364">
        <f t="shared" si="278"/>
        <v>79.703144695082401</v>
      </c>
      <c r="AB354" s="364">
        <f t="shared" si="279"/>
        <v>87.609917617157436</v>
      </c>
      <c r="AC354" s="364">
        <f t="shared" si="280"/>
        <v>90.318636934096986</v>
      </c>
      <c r="AD354" s="364">
        <f t="shared" si="281"/>
        <v>99.278496116582986</v>
      </c>
      <c r="AE354" s="364">
        <f t="shared" si="282"/>
        <v>109.12719817020924</v>
      </c>
      <c r="AF354" s="364">
        <f t="shared" si="283"/>
        <v>135.92919277152615</v>
      </c>
      <c r="BD354">
        <f t="shared" si="272"/>
        <v>1.4824837043295847</v>
      </c>
      <c r="BE354">
        <f t="shared" si="273"/>
        <v>1</v>
      </c>
      <c r="BF354">
        <f t="shared" si="274"/>
        <v>2.255272505103306</v>
      </c>
      <c r="BN354" s="132" t="s">
        <v>262</v>
      </c>
      <c r="BO354" s="134">
        <f>18.8+0.0028*U347</f>
        <v>18.884</v>
      </c>
      <c r="BP354" s="191" t="str">
        <f t="shared" si="268"/>
        <v>5a-10</v>
      </c>
      <c r="BQ354" s="191">
        <v>0.434</v>
      </c>
      <c r="BR354" s="2">
        <f>5.8+0.0009*U347</f>
        <v>5.827</v>
      </c>
    </row>
    <row r="355" spans="20:70" x14ac:dyDescent="0.3">
      <c r="U355" s="99" t="s">
        <v>283</v>
      </c>
      <c r="V355" s="101">
        <f>VLOOKUP(V342,BN331:BO368,2,FALSE)</f>
        <v>99.34</v>
      </c>
      <c r="W355" s="103">
        <v>20</v>
      </c>
      <c r="X355" s="345">
        <f t="shared" si="275"/>
        <v>0.33333333333333331</v>
      </c>
      <c r="Y355" s="364">
        <f t="shared" si="276"/>
        <v>56.884518306537011</v>
      </c>
      <c r="Z355" s="364">
        <f t="shared" si="277"/>
        <v>64.460846253361211</v>
      </c>
      <c r="AA355" s="364">
        <f t="shared" si="278"/>
        <v>70.855540912398482</v>
      </c>
      <c r="AB355" s="364">
        <f t="shared" si="279"/>
        <v>77.884607010209521</v>
      </c>
      <c r="AC355" s="364">
        <f t="shared" si="280"/>
        <v>80.292639630702311</v>
      </c>
      <c r="AD355" s="364">
        <f t="shared" si="281"/>
        <v>88.257892084701609</v>
      </c>
      <c r="AE355" s="364">
        <f t="shared" si="282"/>
        <v>97.013319664936006</v>
      </c>
      <c r="AF355" s="364">
        <f t="shared" si="283"/>
        <v>120.84010632777975</v>
      </c>
      <c r="BD355">
        <f t="shared" si="272"/>
        <v>1.4081451560476461</v>
      </c>
      <c r="BE355">
        <f t="shared" si="273"/>
        <v>1</v>
      </c>
      <c r="BF355">
        <f t="shared" si="274"/>
        <v>2.3802112417116059</v>
      </c>
      <c r="BN355" s="132" t="s">
        <v>263</v>
      </c>
      <c r="BO355" s="134">
        <f>32.4+0.004*U347</f>
        <v>32.519999999999996</v>
      </c>
      <c r="BP355" s="191" t="str">
        <f t="shared" si="268"/>
        <v>5a-11</v>
      </c>
      <c r="BQ355" s="191"/>
    </row>
    <row r="356" spans="20:70" x14ac:dyDescent="0.3">
      <c r="U356" s="99" t="s">
        <v>282</v>
      </c>
      <c r="V356" s="135">
        <f>VLOOKUP(Seleccion_Estacion1,BL331:BM337,2,FALSE)</f>
        <v>0.55300000000000005</v>
      </c>
      <c r="W356" s="103">
        <v>30</v>
      </c>
      <c r="X356" s="115">
        <f t="shared" si="275"/>
        <v>0.5</v>
      </c>
      <c r="Y356" s="364">
        <f t="shared" si="276"/>
        <v>48.191491737628155</v>
      </c>
      <c r="Z356" s="364">
        <f t="shared" si="277"/>
        <v>54.610013973914391</v>
      </c>
      <c r="AA356" s="364">
        <f t="shared" si="278"/>
        <v>60.027478760466614</v>
      </c>
      <c r="AB356" s="364">
        <f t="shared" si="279"/>
        <v>65.982371073178285</v>
      </c>
      <c r="AC356" s="364">
        <f t="shared" si="280"/>
        <v>68.02241092214156</v>
      </c>
      <c r="AD356" s="364">
        <f t="shared" si="281"/>
        <v>74.770422670373563</v>
      </c>
      <c r="AE356" s="364">
        <f t="shared" si="282"/>
        <v>82.187855892160727</v>
      </c>
      <c r="AF356" s="364">
        <f t="shared" si="283"/>
        <v>102.37346046050791</v>
      </c>
      <c r="BD356" s="106">
        <f t="shared" si="272"/>
        <v>1.3504836983078525</v>
      </c>
      <c r="BE356" s="106">
        <f t="shared" si="273"/>
        <v>1</v>
      </c>
      <c r="BF356" s="106">
        <f t="shared" si="274"/>
        <v>2.4771212547196626</v>
      </c>
      <c r="BN356" s="132" t="s">
        <v>264</v>
      </c>
      <c r="BO356" s="134">
        <f>19+0.005*U347</f>
        <v>19.149999999999999</v>
      </c>
      <c r="BP356" s="191" t="str">
        <f t="shared" si="268"/>
        <v>5a-12</v>
      </c>
      <c r="BQ356" s="191"/>
    </row>
    <row r="357" spans="20:70" x14ac:dyDescent="0.3">
      <c r="U357" s="99" t="s">
        <v>113</v>
      </c>
      <c r="V357" s="135">
        <f>VLOOKUP(V342,BP331:BQ368,2,FALSE)</f>
        <v>0.40500000000000003</v>
      </c>
      <c r="W357" s="103">
        <v>60</v>
      </c>
      <c r="X357" s="364">
        <f t="shared" si="275"/>
        <v>1</v>
      </c>
      <c r="Y357" s="364">
        <f t="shared" si="276"/>
        <v>36.294850821540543</v>
      </c>
      <c r="Z357" s="364">
        <f t="shared" si="277"/>
        <v>41.128884769463639</v>
      </c>
      <c r="AA357" s="364">
        <f t="shared" si="278"/>
        <v>45.208984163965994</v>
      </c>
      <c r="AB357" s="364">
        <f t="shared" si="279"/>
        <v>49.693840730035966</v>
      </c>
      <c r="AC357" s="364">
        <f t="shared" si="280"/>
        <v>51.230272563091411</v>
      </c>
      <c r="AD357" s="364">
        <f t="shared" si="281"/>
        <v>56.312457631723561</v>
      </c>
      <c r="AE357" s="364">
        <f t="shared" si="282"/>
        <v>61.89880954897081</v>
      </c>
      <c r="AF357" s="364">
        <f t="shared" si="283"/>
        <v>77.101358383513826</v>
      </c>
      <c r="BD357">
        <f t="shared" ref="BD357:BD365" si="284">LOG(R383)</f>
        <v>1.9219104467810229</v>
      </c>
      <c r="BE357">
        <f t="shared" ref="BE357:BE365" si="285">LOG($R$382)</f>
        <v>1.3010299956639813</v>
      </c>
      <c r="BF357">
        <f t="shared" ref="BF357:BF365" si="286">LOG(N383)</f>
        <v>1.1760912590556813</v>
      </c>
      <c r="BN357" s="132" t="s">
        <v>265</v>
      </c>
      <c r="BO357" s="134">
        <f>23+0.0143*U347</f>
        <v>23.428999999999998</v>
      </c>
      <c r="BP357" s="191" t="str">
        <f t="shared" si="268"/>
        <v>5a-13</v>
      </c>
      <c r="BQ357" s="191"/>
    </row>
    <row r="358" spans="20:70" x14ac:dyDescent="0.3">
      <c r="U358" s="99" t="s">
        <v>401</v>
      </c>
      <c r="V358" s="101">
        <f>VLOOKUP(V357,BQ331:BR354,2,FALSE)</f>
        <v>37.600999999999999</v>
      </c>
      <c r="W358" s="103">
        <v>120</v>
      </c>
      <c r="X358" s="364">
        <f t="shared" si="275"/>
        <v>2</v>
      </c>
      <c r="Y358" s="364">
        <f t="shared" si="276"/>
        <v>27.335036718303432</v>
      </c>
      <c r="Z358" s="364">
        <f t="shared" si="277"/>
        <v>30.975732091697296</v>
      </c>
      <c r="AA358" s="364">
        <f t="shared" si="278"/>
        <v>34.0486105920508</v>
      </c>
      <c r="AB358" s="364">
        <f t="shared" si="279"/>
        <v>37.426327158861675</v>
      </c>
      <c r="AC358" s="364">
        <f t="shared" si="280"/>
        <v>38.583472583656075</v>
      </c>
      <c r="AD358" s="364">
        <f t="shared" si="281"/>
        <v>42.411060032447153</v>
      </c>
      <c r="AE358" s="364">
        <f t="shared" si="282"/>
        <v>46.618354767729301</v>
      </c>
      <c r="AF358" s="364">
        <f t="shared" si="283"/>
        <v>58.067974237095001</v>
      </c>
      <c r="BD358">
        <f t="shared" si="284"/>
        <v>1.8378196008671237</v>
      </c>
      <c r="BE358">
        <f t="shared" si="285"/>
        <v>1.3010299956639813</v>
      </c>
      <c r="BF358">
        <f t="shared" si="286"/>
        <v>1.4771212547196624</v>
      </c>
      <c r="BN358" s="132" t="s">
        <v>266</v>
      </c>
      <c r="BO358" s="134">
        <f>4+0.01*U347</f>
        <v>4.3</v>
      </c>
      <c r="BP358" s="191" t="str">
        <f t="shared" si="268"/>
        <v>5a-14</v>
      </c>
      <c r="BQ358" s="191"/>
    </row>
    <row r="359" spans="20:70" x14ac:dyDescent="0.3">
      <c r="W359" s="103">
        <v>180</v>
      </c>
      <c r="X359" s="364">
        <f t="shared" si="275"/>
        <v>3</v>
      </c>
      <c r="Y359" s="364">
        <f t="shared" si="276"/>
        <v>23.157727891078924</v>
      </c>
      <c r="Z359" s="364">
        <f t="shared" si="277"/>
        <v>26.242056390806574</v>
      </c>
      <c r="AA359" s="364">
        <f t="shared" si="278"/>
        <v>28.845341138029323</v>
      </c>
      <c r="AB359" s="364">
        <f t="shared" si="279"/>
        <v>31.706878949501132</v>
      </c>
      <c r="AC359" s="364">
        <f t="shared" si="280"/>
        <v>32.687190743260402</v>
      </c>
      <c r="AD359" s="364">
        <f t="shared" si="281"/>
        <v>35.929850686682428</v>
      </c>
      <c r="AE359" s="364">
        <f t="shared" si="282"/>
        <v>39.494191486414856</v>
      </c>
      <c r="AF359" s="364">
        <f t="shared" si="283"/>
        <v>49.194093295964244</v>
      </c>
      <c r="BD359">
        <f t="shared" si="284"/>
        <v>1.7744786789731231</v>
      </c>
      <c r="BE359">
        <f t="shared" si="285"/>
        <v>1.3010299956639813</v>
      </c>
      <c r="BF359">
        <f t="shared" si="286"/>
        <v>1.6532125137753437</v>
      </c>
      <c r="BN359" s="132" t="s">
        <v>268</v>
      </c>
      <c r="BO359" s="134">
        <f>4+0.01</f>
        <v>4.01</v>
      </c>
      <c r="BP359" s="191" t="str">
        <f t="shared" si="268"/>
        <v>5b-1</v>
      </c>
      <c r="BQ359" s="191"/>
    </row>
    <row r="360" spans="20:70" x14ac:dyDescent="0.3">
      <c r="T360" s="24" t="s">
        <v>400</v>
      </c>
      <c r="W360" s="103">
        <v>600</v>
      </c>
      <c r="X360" s="103">
        <f t="shared" si="275"/>
        <v>10</v>
      </c>
      <c r="Y360" s="364">
        <f t="shared" si="276"/>
        <v>14.152443921928606</v>
      </c>
      <c r="Z360" s="364">
        <f t="shared" si="277"/>
        <v>16.037377812442855</v>
      </c>
      <c r="AA360" s="364">
        <f t="shared" si="278"/>
        <v>17.628330153327518</v>
      </c>
      <c r="AB360" s="364">
        <f t="shared" si="279"/>
        <v>19.377109377170722</v>
      </c>
      <c r="AC360" s="364">
        <f t="shared" si="280"/>
        <v>19.976209934550013</v>
      </c>
      <c r="AD360" s="364">
        <f t="shared" si="281"/>
        <v>21.957905341932499</v>
      </c>
      <c r="AE360" s="364">
        <f t="shared" si="282"/>
        <v>24.136190427762873</v>
      </c>
      <c r="AF360" s="364">
        <f t="shared" si="283"/>
        <v>30.064117254329698</v>
      </c>
      <c r="BD360">
        <f t="shared" si="284"/>
        <v>1.7236477127549705</v>
      </c>
      <c r="BE360">
        <f t="shared" si="285"/>
        <v>1.3010299956639813</v>
      </c>
      <c r="BF360">
        <f t="shared" si="286"/>
        <v>1.7781512503836436</v>
      </c>
      <c r="BN360" s="132" t="s">
        <v>269</v>
      </c>
      <c r="BO360" s="134">
        <v>41</v>
      </c>
      <c r="BP360" s="191" t="str">
        <f t="shared" si="268"/>
        <v>5b-2</v>
      </c>
      <c r="BQ360" s="191"/>
    </row>
    <row r="361" spans="20:70" x14ac:dyDescent="0.3">
      <c r="W361" s="103">
        <v>1440</v>
      </c>
      <c r="X361" s="364">
        <f t="shared" si="275"/>
        <v>24</v>
      </c>
      <c r="Y361" s="364">
        <f t="shared" si="276"/>
        <v>9.8928149218768375</v>
      </c>
      <c r="Z361" s="364">
        <f t="shared" si="277"/>
        <v>11.210417890077794</v>
      </c>
      <c r="AA361" s="364">
        <f t="shared" si="278"/>
        <v>12.322522424441061</v>
      </c>
      <c r="AB361" s="364">
        <f t="shared" si="279"/>
        <v>13.54495081180235</v>
      </c>
      <c r="AC361" s="364">
        <f t="shared" si="280"/>
        <v>13.963732964654641</v>
      </c>
      <c r="AD361" s="364">
        <f t="shared" si="281"/>
        <v>15.34897398768331</v>
      </c>
      <c r="AE361" s="364">
        <f t="shared" si="282"/>
        <v>16.87163476062689</v>
      </c>
      <c r="AF361" s="364">
        <f t="shared" si="283"/>
        <v>21.015363101057769</v>
      </c>
      <c r="BD361">
        <f t="shared" si="284"/>
        <v>1.644735501416589</v>
      </c>
      <c r="BE361">
        <f t="shared" si="285"/>
        <v>1.3010299956639813</v>
      </c>
      <c r="BF361">
        <f t="shared" si="286"/>
        <v>1.954242509439325</v>
      </c>
      <c r="BN361" s="132" t="s">
        <v>270</v>
      </c>
      <c r="BO361" s="134">
        <f>23+0.143*U347</f>
        <v>27.29</v>
      </c>
      <c r="BP361" s="191" t="str">
        <f t="shared" si="268"/>
        <v>5b-3</v>
      </c>
      <c r="BQ361" s="191"/>
    </row>
    <row r="362" spans="20:70" x14ac:dyDescent="0.3">
      <c r="T362" s="70" t="s">
        <v>408</v>
      </c>
      <c r="U362" s="28">
        <f>IF(V339&lt;3,V358*(1+V356*LOG10(U339))*(V339+V345)^(V357-1),V358*(1+V356*LOG10(U339))*(V339)^(V357-1))</f>
        <v>90.348934557370725</v>
      </c>
      <c r="V362" s="30" t="s">
        <v>409</v>
      </c>
      <c r="BD362">
        <f t="shared" si="284"/>
        <v>1.5843682051651164</v>
      </c>
      <c r="BE362">
        <f t="shared" si="285"/>
        <v>1.3010299956639813</v>
      </c>
      <c r="BF362">
        <f t="shared" si="286"/>
        <v>2.0791812460476247</v>
      </c>
      <c r="BN362" s="132" t="s">
        <v>271</v>
      </c>
      <c r="BO362" s="134">
        <f>32.4+0.004*U347</f>
        <v>32.519999999999996</v>
      </c>
      <c r="BP362" s="191" t="str">
        <f t="shared" si="268"/>
        <v>5b-4</v>
      </c>
      <c r="BQ362" s="191"/>
    </row>
    <row r="363" spans="20:70" x14ac:dyDescent="0.3">
      <c r="BD363">
        <f t="shared" si="284"/>
        <v>1.5267067474253229</v>
      </c>
      <c r="BE363">
        <f t="shared" si="285"/>
        <v>1.3010299956639813</v>
      </c>
      <c r="BF363">
        <f t="shared" si="286"/>
        <v>2.255272505103306</v>
      </c>
      <c r="BN363" s="132" t="s">
        <v>272</v>
      </c>
      <c r="BO363" s="134">
        <f>9.4+0.0067*U347</f>
        <v>9.6010000000000009</v>
      </c>
      <c r="BP363" s="191" t="str">
        <f t="shared" si="268"/>
        <v>5b-5</v>
      </c>
      <c r="BQ363" s="191"/>
    </row>
    <row r="364" spans="20:70" x14ac:dyDescent="0.3">
      <c r="BD364">
        <f t="shared" si="284"/>
        <v>1.4523681991433843</v>
      </c>
      <c r="BE364">
        <f t="shared" si="285"/>
        <v>1.3010299956639813</v>
      </c>
      <c r="BF364">
        <f t="shared" si="286"/>
        <v>2.3802112417116059</v>
      </c>
      <c r="BN364" s="133" t="s">
        <v>273</v>
      </c>
      <c r="BO364" s="134">
        <f>30-0.5*U348</f>
        <v>-45</v>
      </c>
      <c r="BP364" s="191" t="str">
        <f t="shared" si="268"/>
        <v>6_1</v>
      </c>
      <c r="BQ364" s="191"/>
    </row>
    <row r="365" spans="20:70" x14ac:dyDescent="0.3">
      <c r="BD365" s="106">
        <f t="shared" si="284"/>
        <v>1.394706741403591</v>
      </c>
      <c r="BE365" s="106">
        <f t="shared" si="285"/>
        <v>1.3010299956639813</v>
      </c>
      <c r="BF365" s="106">
        <f t="shared" si="286"/>
        <v>2.4771212547196626</v>
      </c>
      <c r="BN365" s="133" t="s">
        <v>274</v>
      </c>
      <c r="BO365" s="134">
        <v>61.5</v>
      </c>
      <c r="BP365" s="191" t="str">
        <f t="shared" si="268"/>
        <v>9_1</v>
      </c>
      <c r="BQ365" s="191"/>
    </row>
    <row r="366" spans="20:70" x14ac:dyDescent="0.3">
      <c r="BD366">
        <f t="shared" ref="BD366:BD374" si="287">LOG(S383)</f>
        <v>1.9352395822716906</v>
      </c>
      <c r="BE366">
        <f t="shared" ref="BE366:BE374" si="288">LOG($S$382)</f>
        <v>1.3979400086720377</v>
      </c>
      <c r="BF366">
        <f t="shared" ref="BF366:BF374" si="289">LOG(N383)</f>
        <v>1.1760912590556813</v>
      </c>
      <c r="BN366" s="133" t="s">
        <v>275</v>
      </c>
      <c r="BO366" s="134">
        <f>-4.5+0.323*U349</f>
        <v>-1.27</v>
      </c>
      <c r="BP366" s="191" t="str">
        <f t="shared" si="268"/>
        <v>9_2</v>
      </c>
      <c r="BQ366" s="191"/>
    </row>
    <row r="367" spans="20:70" x14ac:dyDescent="0.3">
      <c r="BD367">
        <f t="shared" si="287"/>
        <v>1.8511487363577914</v>
      </c>
      <c r="BE367">
        <f t="shared" si="288"/>
        <v>1.3979400086720377</v>
      </c>
      <c r="BF367">
        <f t="shared" si="289"/>
        <v>1.4771212547196624</v>
      </c>
      <c r="BN367" s="133" t="s">
        <v>276</v>
      </c>
      <c r="BO367" s="134">
        <f>31+0.475*(U349-110)</f>
        <v>-16.5</v>
      </c>
      <c r="BP367" s="191" t="str">
        <f t="shared" si="268"/>
        <v>9_3</v>
      </c>
      <c r="BQ367" s="191"/>
    </row>
    <row r="368" spans="20:70" x14ac:dyDescent="0.3">
      <c r="BD368">
        <f t="shared" si="287"/>
        <v>1.7878078144637908</v>
      </c>
      <c r="BE368">
        <f t="shared" si="288"/>
        <v>1.3979400086720377</v>
      </c>
      <c r="BF368">
        <f t="shared" si="289"/>
        <v>1.6532125137753437</v>
      </c>
      <c r="BN368" s="133" t="s">
        <v>277</v>
      </c>
      <c r="BO368" s="134">
        <f>12.5+0.95*U349</f>
        <v>22</v>
      </c>
      <c r="BP368" s="191" t="str">
        <f t="shared" si="268"/>
        <v>10_1</v>
      </c>
      <c r="BQ368" s="191"/>
    </row>
    <row r="369" spans="14:58" x14ac:dyDescent="0.3">
      <c r="BD369">
        <f t="shared" si="287"/>
        <v>1.7369768482456382</v>
      </c>
      <c r="BE369">
        <f t="shared" si="288"/>
        <v>1.3979400086720377</v>
      </c>
      <c r="BF369">
        <f t="shared" si="289"/>
        <v>1.7781512503836436</v>
      </c>
    </row>
    <row r="370" spans="14:58" x14ac:dyDescent="0.3">
      <c r="BD370">
        <f t="shared" si="287"/>
        <v>1.6580646369072567</v>
      </c>
      <c r="BE370">
        <f t="shared" si="288"/>
        <v>1.3979400086720377</v>
      </c>
      <c r="BF370">
        <f t="shared" si="289"/>
        <v>1.954242509439325</v>
      </c>
    </row>
    <row r="371" spans="14:58" x14ac:dyDescent="0.3">
      <c r="BD371">
        <f t="shared" si="287"/>
        <v>1.5976973406557842</v>
      </c>
      <c r="BE371">
        <f t="shared" si="288"/>
        <v>1.3979400086720377</v>
      </c>
      <c r="BF371">
        <f t="shared" si="289"/>
        <v>2.0791812460476247</v>
      </c>
    </row>
    <row r="372" spans="14:58" x14ac:dyDescent="0.3">
      <c r="BD372">
        <f t="shared" si="287"/>
        <v>1.5400358829159906</v>
      </c>
      <c r="BE372">
        <f t="shared" si="288"/>
        <v>1.3979400086720377</v>
      </c>
      <c r="BF372">
        <f t="shared" si="289"/>
        <v>2.255272505103306</v>
      </c>
    </row>
    <row r="373" spans="14:58" x14ac:dyDescent="0.3">
      <c r="BD373">
        <f t="shared" si="287"/>
        <v>1.4656973346340523</v>
      </c>
      <c r="BE373">
        <f t="shared" si="288"/>
        <v>1.3979400086720377</v>
      </c>
      <c r="BF373">
        <f t="shared" si="289"/>
        <v>2.3802112417116059</v>
      </c>
    </row>
    <row r="374" spans="14:58" x14ac:dyDescent="0.3">
      <c r="BD374" s="106">
        <f t="shared" si="287"/>
        <v>1.4080358768942587</v>
      </c>
      <c r="BE374" s="106">
        <f t="shared" si="288"/>
        <v>1.3979400086720377</v>
      </c>
      <c r="BF374" s="106">
        <f t="shared" si="289"/>
        <v>2.4771212547196626</v>
      </c>
    </row>
    <row r="375" spans="14:58" x14ac:dyDescent="0.3">
      <c r="BD375">
        <f t="shared" ref="BD375:BD383" si="290">LOG(T383)</f>
        <v>1.9742125418092753</v>
      </c>
      <c r="BE375">
        <f t="shared" ref="BE375:BE383" si="291">LOG($T$382)</f>
        <v>1.6989700043360187</v>
      </c>
      <c r="BF375">
        <f t="shared" ref="BF375:BF383" si="292">LOG(N383)</f>
        <v>1.1760912590556813</v>
      </c>
    </row>
    <row r="376" spans="14:58" x14ac:dyDescent="0.3">
      <c r="BD376">
        <f t="shared" si="290"/>
        <v>1.8901216958953764</v>
      </c>
      <c r="BE376">
        <f t="shared" si="291"/>
        <v>1.6989700043360187</v>
      </c>
      <c r="BF376">
        <f t="shared" si="292"/>
        <v>1.4771212547196624</v>
      </c>
    </row>
    <row r="377" spans="14:58" x14ac:dyDescent="0.3">
      <c r="BD377">
        <f t="shared" si="290"/>
        <v>1.8267807740013755</v>
      </c>
      <c r="BE377">
        <f t="shared" si="291"/>
        <v>1.6989700043360187</v>
      </c>
      <c r="BF377">
        <f t="shared" si="292"/>
        <v>1.6532125137753437</v>
      </c>
    </row>
    <row r="378" spans="14:58" x14ac:dyDescent="0.3">
      <c r="BD378">
        <f t="shared" si="290"/>
        <v>1.775949807783223</v>
      </c>
      <c r="BE378">
        <f t="shared" si="291"/>
        <v>1.6989700043360187</v>
      </c>
      <c r="BF378">
        <f t="shared" si="292"/>
        <v>1.7781512503836436</v>
      </c>
    </row>
    <row r="379" spans="14:58" x14ac:dyDescent="0.3">
      <c r="BD379">
        <f t="shared" si="290"/>
        <v>1.6970375964448414</v>
      </c>
      <c r="BE379">
        <f t="shared" si="291"/>
        <v>1.6989700043360187</v>
      </c>
      <c r="BF379">
        <f t="shared" si="292"/>
        <v>1.954242509439325</v>
      </c>
    </row>
    <row r="380" spans="14:58" x14ac:dyDescent="0.3">
      <c r="N380" s="570" t="s">
        <v>149</v>
      </c>
      <c r="O380" s="570"/>
      <c r="P380" s="570"/>
      <c r="Q380" s="570"/>
      <c r="R380" s="570"/>
      <c r="S380" s="570"/>
      <c r="T380" s="570"/>
      <c r="U380" s="570"/>
      <c r="V380" s="570"/>
      <c r="BD380">
        <f t="shared" si="290"/>
        <v>1.6366703001933689</v>
      </c>
      <c r="BE380">
        <f t="shared" si="291"/>
        <v>1.6989700043360187</v>
      </c>
      <c r="BF380">
        <f t="shared" si="292"/>
        <v>2.0791812460476247</v>
      </c>
    </row>
    <row r="381" spans="14:58" x14ac:dyDescent="0.3">
      <c r="N381" s="571" t="s">
        <v>304</v>
      </c>
      <c r="O381" s="570" t="s">
        <v>151</v>
      </c>
      <c r="P381" s="570"/>
      <c r="Q381" s="570"/>
      <c r="R381" s="570"/>
      <c r="S381" s="570"/>
      <c r="T381" s="570"/>
      <c r="U381" s="570"/>
      <c r="V381" s="570"/>
      <c r="BD381">
        <f t="shared" si="290"/>
        <v>1.5790088424535753</v>
      </c>
      <c r="BE381">
        <f t="shared" si="291"/>
        <v>1.6989700043360187</v>
      </c>
      <c r="BF381">
        <f t="shared" si="292"/>
        <v>2.255272505103306</v>
      </c>
    </row>
    <row r="382" spans="14:58" x14ac:dyDescent="0.3">
      <c r="N382" s="571"/>
      <c r="O382" s="399">
        <v>2</v>
      </c>
      <c r="P382" s="399">
        <v>5</v>
      </c>
      <c r="Q382" s="399">
        <v>10</v>
      </c>
      <c r="R382" s="399">
        <v>20</v>
      </c>
      <c r="S382" s="399">
        <v>25</v>
      </c>
      <c r="T382" s="399">
        <v>50</v>
      </c>
      <c r="U382" s="399">
        <v>100</v>
      </c>
      <c r="V382" s="399">
        <v>500</v>
      </c>
      <c r="BD382">
        <f t="shared" si="290"/>
        <v>1.504670294171637</v>
      </c>
      <c r="BE382">
        <f t="shared" si="291"/>
        <v>1.6989700043360187</v>
      </c>
      <c r="BF382">
        <f t="shared" si="292"/>
        <v>2.3802112417116059</v>
      </c>
    </row>
    <row r="383" spans="14:58" x14ac:dyDescent="0.3">
      <c r="N383" s="43">
        <v>15</v>
      </c>
      <c r="O383" s="364">
        <f t="shared" ref="O383:O388" si="293">$V$358*(1+$V$356*LOG10($O$382))*((N383/60)+$V$345)^($V$357-1)</f>
        <v>56.674718049020804</v>
      </c>
      <c r="P383" s="364">
        <f t="shared" ref="P383:P388" si="294">$V$358*(1+$V$356*LOG10($P$382))*((N383/60)+$V$345)^($V$357-1)</f>
        <v>67.366711506445725</v>
      </c>
      <c r="Q383" s="364">
        <f t="shared" ref="Q383:Q388" si="295">$V$358*(1+$V$356*LOG10($Q$382))*((N383/60)+$V$345)^($V$357-1)</f>
        <v>75.454892322616345</v>
      </c>
      <c r="R383" s="364">
        <f t="shared" ref="R383:R388" si="296">$V$358*(1+$V$356*LOG10($R$382))*((N383/60)+$V$345)^($V$357-1)</f>
        <v>83.543073138786966</v>
      </c>
      <c r="S383" s="364">
        <f t="shared" ref="S383:S388" si="297">$V$358*(1+$V$356*LOG10($S$382))*((N383/60)+$V$345)^($V$357-1)</f>
        <v>86.146885780041274</v>
      </c>
      <c r="T383" s="364">
        <f t="shared" ref="T383:T388" si="298">$V$358*(1+$V$356*LOG10($T$382))*((N383/60)+$V$345)^($V$357-1)</f>
        <v>94.235066596211894</v>
      </c>
      <c r="U383" s="364">
        <f t="shared" ref="U383:U388" si="299">$V$358*(1+$V$356*LOG10($U$382))*((N383/60)+$V$345)^($V$357-1)</f>
        <v>102.32324741238249</v>
      </c>
      <c r="V383" s="364">
        <f t="shared" ref="V383:V388" si="300">$V$358*(1+$V$356*LOG10($V$382))*((N383/60)+$V$345)^($V$357-1)</f>
        <v>121.10342168597805</v>
      </c>
      <c r="BD383" s="106">
        <f t="shared" si="290"/>
        <v>1.4470088364318434</v>
      </c>
      <c r="BE383" s="106">
        <f t="shared" si="291"/>
        <v>1.6989700043360187</v>
      </c>
      <c r="BF383" s="106">
        <f t="shared" si="292"/>
        <v>2.4771212547196626</v>
      </c>
    </row>
    <row r="384" spans="14:58" x14ac:dyDescent="0.3">
      <c r="N384" s="43">
        <v>30</v>
      </c>
      <c r="O384" s="364">
        <f t="shared" si="293"/>
        <v>46.698025966121548</v>
      </c>
      <c r="P384" s="364">
        <f t="shared" si="294"/>
        <v>55.507862261602817</v>
      </c>
      <c r="Q384" s="364">
        <f t="shared" si="295"/>
        <v>62.172246148709732</v>
      </c>
      <c r="R384" s="364">
        <f t="shared" si="296"/>
        <v>68.836630035816654</v>
      </c>
      <c r="S384" s="364">
        <f t="shared" si="297"/>
        <v>70.982082444191008</v>
      </c>
      <c r="T384" s="364">
        <f t="shared" si="298"/>
        <v>77.64646633129793</v>
      </c>
      <c r="U384" s="364">
        <f t="shared" si="299"/>
        <v>84.310850218404823</v>
      </c>
      <c r="V384" s="364">
        <f t="shared" si="300"/>
        <v>99.785070400993021</v>
      </c>
      <c r="BD384">
        <f t="shared" ref="BD384:BD392" si="301">LOG(U383)</f>
        <v>2.0099743148061937</v>
      </c>
      <c r="BE384">
        <f t="shared" ref="BE384:BE392" si="302">LOG($U$382)</f>
        <v>2</v>
      </c>
      <c r="BF384">
        <f t="shared" ref="BF384:BF392" si="303">LOG(N383)</f>
        <v>1.1760912590556813</v>
      </c>
    </row>
    <row r="385" spans="3:58" x14ac:dyDescent="0.3">
      <c r="N385" s="43">
        <v>45</v>
      </c>
      <c r="O385" s="364">
        <f t="shared" si="293"/>
        <v>40.360598754472001</v>
      </c>
      <c r="P385" s="364">
        <f t="shared" si="294"/>
        <v>47.974844977052435</v>
      </c>
      <c r="Q385" s="364">
        <f t="shared" si="295"/>
        <v>53.734799888389126</v>
      </c>
      <c r="R385" s="364">
        <f t="shared" si="296"/>
        <v>59.49475479972584</v>
      </c>
      <c r="S385" s="364">
        <f t="shared" si="297"/>
        <v>61.349046110969553</v>
      </c>
      <c r="T385" s="364">
        <f t="shared" si="298"/>
        <v>67.109001022306259</v>
      </c>
      <c r="U385" s="364">
        <f t="shared" si="299"/>
        <v>72.868955933642951</v>
      </c>
      <c r="V385" s="364">
        <f t="shared" si="300"/>
        <v>86.243157067560091</v>
      </c>
      <c r="BD385">
        <f t="shared" si="301"/>
        <v>1.9258834688922946</v>
      </c>
      <c r="BE385">
        <f t="shared" si="302"/>
        <v>2</v>
      </c>
      <c r="BF385">
        <f t="shared" si="303"/>
        <v>1.4771212547196624</v>
      </c>
    </row>
    <row r="386" spans="3:58" x14ac:dyDescent="0.3">
      <c r="N386" s="43">
        <v>60</v>
      </c>
      <c r="O386" s="364">
        <f t="shared" si="293"/>
        <v>35.90266065291835</v>
      </c>
      <c r="P386" s="364">
        <f t="shared" si="294"/>
        <v>42.675892633942432</v>
      </c>
      <c r="Q386" s="364">
        <f t="shared" si="295"/>
        <v>47.799644831372817</v>
      </c>
      <c r="R386" s="364">
        <f t="shared" si="296"/>
        <v>52.923397028803208</v>
      </c>
      <c r="S386" s="364">
        <f t="shared" si="297"/>
        <v>54.572876812396899</v>
      </c>
      <c r="T386" s="364">
        <f t="shared" si="298"/>
        <v>59.696629009827291</v>
      </c>
      <c r="U386" s="364">
        <f t="shared" si="299"/>
        <v>64.820381207257654</v>
      </c>
      <c r="V386" s="364">
        <f t="shared" si="300"/>
        <v>76.717365385712128</v>
      </c>
      <c r="BD386">
        <f t="shared" si="301"/>
        <v>1.8625425469982939</v>
      </c>
      <c r="BE386">
        <f t="shared" si="302"/>
        <v>2</v>
      </c>
      <c r="BF386">
        <f t="shared" si="303"/>
        <v>1.6532125137753437</v>
      </c>
    </row>
    <row r="387" spans="3:58" x14ac:dyDescent="0.3">
      <c r="I387" s="129" t="s">
        <v>225</v>
      </c>
      <c r="N387" s="43">
        <v>90</v>
      </c>
      <c r="O387" s="364">
        <f t="shared" si="293"/>
        <v>29.937423629193109</v>
      </c>
      <c r="P387" s="364">
        <f t="shared" si="294"/>
        <v>35.585281238270738</v>
      </c>
      <c r="Q387" s="364">
        <f t="shared" si="295"/>
        <v>39.85772058721949</v>
      </c>
      <c r="R387" s="364">
        <f t="shared" si="296"/>
        <v>44.130159936168248</v>
      </c>
      <c r="S387" s="364">
        <f t="shared" si="297"/>
        <v>45.505578196297115</v>
      </c>
      <c r="T387" s="364">
        <f t="shared" si="298"/>
        <v>49.778017545245874</v>
      </c>
      <c r="U387" s="364">
        <f t="shared" si="299"/>
        <v>54.050456894194618</v>
      </c>
      <c r="V387" s="364">
        <f t="shared" si="300"/>
        <v>63.970753852221002</v>
      </c>
      <c r="BD387">
        <f t="shared" si="301"/>
        <v>1.8117115807801412</v>
      </c>
      <c r="BE387">
        <f t="shared" si="302"/>
        <v>2</v>
      </c>
      <c r="BF387">
        <f t="shared" si="303"/>
        <v>1.7781512503836436</v>
      </c>
    </row>
    <row r="388" spans="3:58" ht="15" customHeight="1" x14ac:dyDescent="0.3">
      <c r="C388" s="24" t="s">
        <v>229</v>
      </c>
      <c r="J388" s="128"/>
      <c r="K388" s="128"/>
      <c r="L388" s="128"/>
      <c r="M388" s="128"/>
      <c r="N388" s="43">
        <v>120</v>
      </c>
      <c r="O388" s="364">
        <f t="shared" si="293"/>
        <v>26.052363350365709</v>
      </c>
      <c r="P388" s="364">
        <f t="shared" si="294"/>
        <v>30.967283231425093</v>
      </c>
      <c r="Q388" s="364">
        <f t="shared" si="295"/>
        <v>34.685276592840232</v>
      </c>
      <c r="R388" s="364">
        <f t="shared" si="296"/>
        <v>38.403269954255386</v>
      </c>
      <c r="S388" s="364">
        <f t="shared" si="297"/>
        <v>39.600196473899615</v>
      </c>
      <c r="T388" s="364">
        <f t="shared" si="298"/>
        <v>43.318189835314762</v>
      </c>
      <c r="U388" s="364">
        <f t="shared" si="299"/>
        <v>47.036183196729894</v>
      </c>
      <c r="V388" s="364">
        <f t="shared" si="300"/>
        <v>55.669096439204424</v>
      </c>
      <c r="BD388">
        <f t="shared" si="301"/>
        <v>1.7327993694417598</v>
      </c>
      <c r="BE388">
        <f t="shared" si="302"/>
        <v>2</v>
      </c>
      <c r="BF388">
        <f t="shared" si="303"/>
        <v>1.954242509439325</v>
      </c>
    </row>
    <row r="389" spans="3:58" x14ac:dyDescent="0.3">
      <c r="N389" s="43">
        <v>180</v>
      </c>
      <c r="O389" s="364">
        <f>$V$358*(1+$V$356*LOG10($O$382))*((N389/60))^($V$357-1)</f>
        <v>22.813171685900816</v>
      </c>
      <c r="P389" s="364">
        <f>$V$358*(1+$V$356*LOG10($P$382))*((N389/60))^($V$357-1)</f>
        <v>27.11700046186025</v>
      </c>
      <c r="Q389" s="364">
        <f>$V$358*(1+$V$356*LOG10($Q$382))*((N389/60))^($V$357-1)</f>
        <v>30.372721247737147</v>
      </c>
      <c r="R389" s="364">
        <f>$V$358*(1+$V$356*LOG10($R$382))*((N389/60))^($V$357-1)</f>
        <v>33.62844203361405</v>
      </c>
      <c r="S389" s="364">
        <f>$V$358*(1+$V$356*LOG10($S$382))*((N389/60))^($V$357-1)</f>
        <v>34.676550023696578</v>
      </c>
      <c r="T389" s="364">
        <f>$V$358*(1+$V$356*LOG10($T$382))*((N389/60))^($V$357-1)</f>
        <v>37.932270809573481</v>
      </c>
      <c r="U389" s="364">
        <f>$V$358*(1+$V$356*LOG10($U$382))*((N389/60))^($V$357-1)</f>
        <v>41.18799159545037</v>
      </c>
      <c r="V389" s="364">
        <f>$V$358*(1+$V$356*LOG10($V$382))*((N389/60))^($V$357-1)</f>
        <v>48.747541157286712</v>
      </c>
      <c r="BD389">
        <f t="shared" si="301"/>
        <v>1.6724320731902873</v>
      </c>
      <c r="BE389">
        <f t="shared" si="302"/>
        <v>2</v>
      </c>
      <c r="BF389">
        <f t="shared" si="303"/>
        <v>2.0791812460476247</v>
      </c>
    </row>
    <row r="390" spans="3:58" x14ac:dyDescent="0.3">
      <c r="E390" s="570" t="s">
        <v>234</v>
      </c>
      <c r="F390" s="570"/>
      <c r="G390" s="399" t="s">
        <v>233</v>
      </c>
      <c r="N390" s="43">
        <v>240</v>
      </c>
      <c r="O390" s="364">
        <f>$V$358*(1+$V$356*LOG10($O$382))*((N390/60))^($V$357-1)</f>
        <v>19.224148854541809</v>
      </c>
      <c r="P390" s="364">
        <f>$V$358*(1+$V$356*LOG10($P$382))*((N390/60))^($V$357-1)</f>
        <v>22.850888975234394</v>
      </c>
      <c r="Q390" s="364">
        <f>$V$358*(1+$V$356*LOG10($Q$382))*((N390/60))^($V$357-1)</f>
        <v>25.594411966174086</v>
      </c>
      <c r="R390" s="364">
        <f>$V$358*(1+$V$356*LOG10($R$382))*((N390/60))^($V$357-1)</f>
        <v>28.337934957113784</v>
      </c>
      <c r="S390" s="364">
        <f>$V$358*(1+$V$356*LOG10($S$382))*((N390/60))^($V$357-1)</f>
        <v>29.221152086866674</v>
      </c>
      <c r="T390" s="364">
        <f>$V$358*(1+$V$356*LOG10($T$382))*((N390/60))^($V$357-1)</f>
        <v>31.964675077806369</v>
      </c>
      <c r="U390" s="364">
        <f>$V$358*(1+$V$356*LOG10($U$382))*((N390/60))^($V$357-1)</f>
        <v>34.708198068746057</v>
      </c>
      <c r="V390" s="364">
        <f>$V$358*(1+$V$356*LOG10($V$382))*((N390/60))^($V$357-1)</f>
        <v>41.078461180378341</v>
      </c>
      <c r="BD390">
        <f t="shared" si="301"/>
        <v>1.6147706154504937</v>
      </c>
      <c r="BE390">
        <f t="shared" si="302"/>
        <v>2</v>
      </c>
      <c r="BF390">
        <f t="shared" si="303"/>
        <v>2.255272505103306</v>
      </c>
    </row>
    <row r="391" spans="3:58" x14ac:dyDescent="0.3">
      <c r="E391" s="590" t="s">
        <v>230</v>
      </c>
      <c r="F391" s="590"/>
      <c r="G391" s="103">
        <v>0.5</v>
      </c>
      <c r="N391" s="43">
        <v>300</v>
      </c>
      <c r="O391" s="364">
        <f>$V$358*(1+$V$356*LOG10($O$382))*((N391/60))^($V$357-1)</f>
        <v>16.833935656275862</v>
      </c>
      <c r="P391" s="364">
        <f>$V$358*(1+$V$356*LOG10($P$382))*((N391/60))^($V$357-1)</f>
        <v>20.009749071773275</v>
      </c>
      <c r="Q391" s="364">
        <f>$V$358*(1+$V$356*LOG10($Q$382))*((N391/60))^($V$357-1)</f>
        <v>22.412159178480341</v>
      </c>
      <c r="R391" s="364">
        <f>$V$358*(1+$V$356*LOG10($R$382))*((N391/60))^($V$357-1)</f>
        <v>24.81456928518741</v>
      </c>
      <c r="S391" s="364">
        <f>$V$358*(1+$V$356*LOG10($S$382))*((N391/60))^($V$357-1)</f>
        <v>25.587972593977756</v>
      </c>
      <c r="T391" s="364">
        <f>$V$358*(1+$V$356*LOG10($T$382))*((N391/60))^($V$357-1)</f>
        <v>27.990382700684826</v>
      </c>
      <c r="U391" s="364">
        <f>$V$358*(1+$V$356*LOG10($U$382))*((N391/60))^($V$357-1)</f>
        <v>30.392792807391885</v>
      </c>
      <c r="V391" s="364">
        <f>$V$358*(1+$V$356*LOG10($V$382))*((N391/60))^($V$357-1)</f>
        <v>35.971016329596367</v>
      </c>
      <c r="BD391">
        <f t="shared" si="301"/>
        <v>1.5404320671685552</v>
      </c>
      <c r="BE391">
        <f t="shared" si="302"/>
        <v>2</v>
      </c>
      <c r="BF391">
        <f t="shared" si="303"/>
        <v>2.3802112417116059</v>
      </c>
    </row>
    <row r="392" spans="3:58" x14ac:dyDescent="0.3">
      <c r="E392" s="590" t="s">
        <v>231</v>
      </c>
      <c r="F392" s="590"/>
      <c r="G392" s="103">
        <v>0.4</v>
      </c>
      <c r="BD392" s="106">
        <f t="shared" si="301"/>
        <v>1.4827706094287618</v>
      </c>
      <c r="BE392" s="106">
        <f t="shared" si="302"/>
        <v>2</v>
      </c>
      <c r="BF392" s="106">
        <f t="shared" si="303"/>
        <v>2.4771212547196626</v>
      </c>
    </row>
    <row r="393" spans="3:58" x14ac:dyDescent="0.3">
      <c r="E393" s="411" t="s">
        <v>232</v>
      </c>
      <c r="F393" s="411"/>
      <c r="G393" s="103">
        <v>0.2</v>
      </c>
      <c r="BD393">
        <f t="shared" ref="BD393:BD401" si="304">LOG(V383)</f>
        <v>2.0831564139799283</v>
      </c>
      <c r="BE393">
        <f t="shared" ref="BE393:BE401" si="305">LOG($V$382)</f>
        <v>2.6989700043360187</v>
      </c>
      <c r="BF393">
        <f t="shared" ref="BF393:BF401" si="306">LOG(N383)</f>
        <v>1.1760912590556813</v>
      </c>
    </row>
    <row r="394" spans="3:58" x14ac:dyDescent="0.3">
      <c r="BD394">
        <f t="shared" si="304"/>
        <v>1.9990655680660292</v>
      </c>
      <c r="BE394">
        <f t="shared" si="305"/>
        <v>2.6989700043360187</v>
      </c>
      <c r="BF394">
        <f t="shared" si="306"/>
        <v>1.4771212547196624</v>
      </c>
    </row>
    <row r="395" spans="3:58" x14ac:dyDescent="0.3">
      <c r="BD395">
        <f t="shared" si="304"/>
        <v>1.9357246461720286</v>
      </c>
      <c r="BE395">
        <f t="shared" si="305"/>
        <v>2.6989700043360187</v>
      </c>
      <c r="BF395">
        <f t="shared" si="306"/>
        <v>1.6532125137753437</v>
      </c>
    </row>
    <row r="396" spans="3:58" x14ac:dyDescent="0.3">
      <c r="BD396">
        <f t="shared" si="304"/>
        <v>1.8848936799538758</v>
      </c>
      <c r="BE396">
        <f t="shared" si="305"/>
        <v>2.6989700043360187</v>
      </c>
      <c r="BF396">
        <f t="shared" si="306"/>
        <v>1.7781512503836436</v>
      </c>
    </row>
    <row r="397" spans="3:58" x14ac:dyDescent="0.3">
      <c r="BD397">
        <f t="shared" si="304"/>
        <v>1.8059814686154942</v>
      </c>
      <c r="BE397">
        <f t="shared" si="305"/>
        <v>2.6989700043360187</v>
      </c>
      <c r="BF397">
        <f t="shared" si="306"/>
        <v>1.954242509439325</v>
      </c>
    </row>
    <row r="398" spans="3:58" x14ac:dyDescent="0.3">
      <c r="BD398">
        <f t="shared" si="304"/>
        <v>1.7456141723640219</v>
      </c>
      <c r="BE398">
        <f t="shared" si="305"/>
        <v>2.6989700043360187</v>
      </c>
      <c r="BF398">
        <f t="shared" si="306"/>
        <v>2.0791812460476247</v>
      </c>
    </row>
    <row r="399" spans="3:58" x14ac:dyDescent="0.3">
      <c r="BD399">
        <f t="shared" si="304"/>
        <v>1.6879527146242284</v>
      </c>
      <c r="BE399">
        <f t="shared" si="305"/>
        <v>2.6989700043360187</v>
      </c>
      <c r="BF399">
        <f t="shared" si="306"/>
        <v>2.255272505103306</v>
      </c>
    </row>
    <row r="400" spans="3:58" x14ac:dyDescent="0.3">
      <c r="BD400">
        <f t="shared" si="304"/>
        <v>1.6136141663422898</v>
      </c>
      <c r="BE400">
        <f t="shared" si="305"/>
        <v>2.6989700043360187</v>
      </c>
      <c r="BF400">
        <f t="shared" si="306"/>
        <v>2.3802112417116059</v>
      </c>
    </row>
    <row r="401" spans="56:58" x14ac:dyDescent="0.3">
      <c r="BD401" s="106">
        <f t="shared" si="304"/>
        <v>1.5559527086024962</v>
      </c>
      <c r="BE401" s="106">
        <f t="shared" si="305"/>
        <v>2.6989700043360187</v>
      </c>
      <c r="BF401" s="106">
        <f t="shared" si="306"/>
        <v>2.4771212547196626</v>
      </c>
    </row>
  </sheetData>
  <mergeCells count="157">
    <mergeCell ref="BZ187:CH187"/>
    <mergeCell ref="W1:AF1"/>
    <mergeCell ref="AG186:AP186"/>
    <mergeCell ref="AO188:AP188"/>
    <mergeCell ref="AQ186:AZ186"/>
    <mergeCell ref="AY188:AZ188"/>
    <mergeCell ref="AE3:AF3"/>
    <mergeCell ref="N18:N19"/>
    <mergeCell ref="BA186:BJ186"/>
    <mergeCell ref="O18:O19"/>
    <mergeCell ref="M35:N35"/>
    <mergeCell ref="M41:N41"/>
    <mergeCell ref="N46:N47"/>
    <mergeCell ref="W186:AF186"/>
    <mergeCell ref="AE188:AF188"/>
    <mergeCell ref="BI188:BJ188"/>
    <mergeCell ref="M36:N36"/>
    <mergeCell ref="M37:N37"/>
    <mergeCell ref="M38:N38"/>
    <mergeCell ref="N45:V45"/>
    <mergeCell ref="M70:V70"/>
    <mergeCell ref="U72:V72"/>
    <mergeCell ref="M186:V186"/>
    <mergeCell ref="U188:V188"/>
    <mergeCell ref="P18:V18"/>
    <mergeCell ref="N17:V17"/>
    <mergeCell ref="O135:V135"/>
    <mergeCell ref="N134:V134"/>
    <mergeCell ref="C123:D123"/>
    <mergeCell ref="C124:D124"/>
    <mergeCell ref="C125:D125"/>
    <mergeCell ref="C126:D126"/>
    <mergeCell ref="B1:L1"/>
    <mergeCell ref="M1:V1"/>
    <mergeCell ref="B5:B6"/>
    <mergeCell ref="C5:C6"/>
    <mergeCell ref="D5:D6"/>
    <mergeCell ref="K3:L3"/>
    <mergeCell ref="E5:E6"/>
    <mergeCell ref="U3:V3"/>
    <mergeCell ref="N6:N7"/>
    <mergeCell ref="O6:O7"/>
    <mergeCell ref="P6:V6"/>
    <mergeCell ref="N5:V5"/>
    <mergeCell ref="E104:E105"/>
    <mergeCell ref="C122:D122"/>
    <mergeCell ref="N135:N136"/>
    <mergeCell ref="B70:L70"/>
    <mergeCell ref="K72:L72"/>
    <mergeCell ref="B130:L130"/>
    <mergeCell ref="M130:V130"/>
    <mergeCell ref="K132:L132"/>
    <mergeCell ref="U132:V132"/>
    <mergeCell ref="C127:D127"/>
    <mergeCell ref="O75:V75"/>
    <mergeCell ref="N74:V74"/>
    <mergeCell ref="M39:N39"/>
    <mergeCell ref="M40:N40"/>
    <mergeCell ref="O46:V46"/>
    <mergeCell ref="N75:N76"/>
    <mergeCell ref="D91:L91"/>
    <mergeCell ref="E392:F392"/>
    <mergeCell ref="E390:F390"/>
    <mergeCell ref="M261:V261"/>
    <mergeCell ref="U329:V329"/>
    <mergeCell ref="E391:F391"/>
    <mergeCell ref="B261:L261"/>
    <mergeCell ref="K329:L329"/>
    <mergeCell ref="D141:K141"/>
    <mergeCell ref="D92:D93"/>
    <mergeCell ref="C128:D128"/>
    <mergeCell ref="E92:E93"/>
    <mergeCell ref="F92:L92"/>
    <mergeCell ref="F104:L104"/>
    <mergeCell ref="D103:L103"/>
    <mergeCell ref="C178:D178"/>
    <mergeCell ref="C179:D179"/>
    <mergeCell ref="C180:D180"/>
    <mergeCell ref="C181:D181"/>
    <mergeCell ref="D104:D105"/>
    <mergeCell ref="T344:U344"/>
    <mergeCell ref="T345:U345"/>
    <mergeCell ref="W261:AF261"/>
    <mergeCell ref="U263:V263"/>
    <mergeCell ref="B327:L327"/>
    <mergeCell ref="M327:V327"/>
    <mergeCell ref="K263:L263"/>
    <mergeCell ref="D296:K296"/>
    <mergeCell ref="B297:B300"/>
    <mergeCell ref="B301:B304"/>
    <mergeCell ref="H272:K272"/>
    <mergeCell ref="D310:K310"/>
    <mergeCell ref="M272:N272"/>
    <mergeCell ref="M273:N273"/>
    <mergeCell ref="M274:N274"/>
    <mergeCell ref="M275:N275"/>
    <mergeCell ref="M276:N276"/>
    <mergeCell ref="M277:N277"/>
    <mergeCell ref="M278:N278"/>
    <mergeCell ref="M283:V283"/>
    <mergeCell ref="M284:M285"/>
    <mergeCell ref="N284:N285"/>
    <mergeCell ref="O284:V284"/>
    <mergeCell ref="W327:AF327"/>
    <mergeCell ref="AG261:AP261"/>
    <mergeCell ref="AQ261:AZ261"/>
    <mergeCell ref="D142:D143"/>
    <mergeCell ref="E142:E143"/>
    <mergeCell ref="F142:K142"/>
    <mergeCell ref="D155:K155"/>
    <mergeCell ref="B186:L186"/>
    <mergeCell ref="M191:N191"/>
    <mergeCell ref="O190:P190"/>
    <mergeCell ref="O191:P191"/>
    <mergeCell ref="N247:N248"/>
    <mergeCell ref="N246:V246"/>
    <mergeCell ref="O247:V247"/>
    <mergeCell ref="D156:D157"/>
    <mergeCell ref="C222:G222"/>
    <mergeCell ref="C223:C224"/>
    <mergeCell ref="D223:G223"/>
    <mergeCell ref="E156:E157"/>
    <mergeCell ref="F156:K156"/>
    <mergeCell ref="C175:D175"/>
    <mergeCell ref="C176:D176"/>
    <mergeCell ref="I223:K223"/>
    <mergeCell ref="K188:L188"/>
    <mergeCell ref="C177:D177"/>
    <mergeCell ref="X246:AF246"/>
    <mergeCell ref="X247:X248"/>
    <mergeCell ref="Y247:AF247"/>
    <mergeCell ref="BA198:BB198"/>
    <mergeCell ref="BA199:BB199"/>
    <mergeCell ref="BA200:BB200"/>
    <mergeCell ref="BA201:BB201"/>
    <mergeCell ref="BA202:BB202"/>
    <mergeCell ref="BA203:BB203"/>
    <mergeCell ref="BA204:BB204"/>
    <mergeCell ref="BB211:BB212"/>
    <mergeCell ref="BA211:BA212"/>
    <mergeCell ref="BA210:BJ210"/>
    <mergeCell ref="BC211:BJ211"/>
    <mergeCell ref="AE329:AF329"/>
    <mergeCell ref="N380:V380"/>
    <mergeCell ref="N381:N382"/>
    <mergeCell ref="O381:V381"/>
    <mergeCell ref="W338:X338"/>
    <mergeCell ref="W339:X339"/>
    <mergeCell ref="W340:X340"/>
    <mergeCell ref="W341:X341"/>
    <mergeCell ref="W342:X342"/>
    <mergeCell ref="W343:X343"/>
    <mergeCell ref="W344:X344"/>
    <mergeCell ref="W349:AF349"/>
    <mergeCell ref="W350:W351"/>
    <mergeCell ref="X350:X351"/>
    <mergeCell ref="Y350:AF350"/>
  </mergeCells>
  <dataValidations count="4">
    <dataValidation type="list" allowBlank="1" showInputMessage="1" showErrorMessage="1" sqref="J219" xr:uid="{00000000-0002-0000-0500-000000000000}">
      <formula1>$A$220:$A$223</formula1>
    </dataValidation>
    <dataValidation type="list" allowBlank="1" showInputMessage="1" showErrorMessage="1" sqref="U342" xr:uid="{00000000-0002-0000-0500-000001000000}">
      <formula1>Zona_1</formula1>
    </dataValidation>
    <dataValidation type="list" allowBlank="1" showInputMessage="1" showErrorMessage="1" sqref="V342" xr:uid="{00000000-0002-0000-0500-000002000000}">
      <formula1>$BN$331:$BN$368</formula1>
    </dataValidation>
    <dataValidation type="list" allowBlank="1" showInputMessage="1" showErrorMessage="1" sqref="T345:U345" xr:uid="{00000000-0002-0000-0500-000003000000}">
      <formula1>$BT$331:$BT$333</formula1>
    </dataValidation>
  </dataValidations>
  <printOptions horizontalCentered="1"/>
  <pageMargins left="0.78740157480314965" right="0.39370078740157483" top="0.86614173228346458" bottom="0.86614173228346458" header="0.31496062992125984" footer="0.31496062992125984"/>
  <pageSetup paperSize="9" scale="64" pageOrder="overThenDown" orientation="portrait" r:id="rId1"/>
  <headerFooter scaleWithDoc="0">
    <oddHeader xml:space="preserve">&amp;R&amp;"Arial Narrow,Negrita"&amp;9Ing. Aquiles Berrocal Rodríguez
&amp;"Arial Narrow,Normal"Ing. Civil – CIP: 196696
Especialista Hidrología, Hidráulica y Drenaje </oddHeader>
    <oddFooter>&amp;L&amp;"Arial Narrow,Normal"&amp;9Rev.:B - Agosto 2018
Proyecto: Actualización Hidrológica para el Estudio de Pre-Factibilidad de
la Presa de Relaves Pukaqaqa, U.M. Pukaqaqa, Milpo - Huancavelica&amp;R&amp;"Arial Narrow,Negrita"&amp;9ANEXO A: HIDROLOGIA</oddFooter>
  </headerFooter>
  <rowBreaks count="5" manualBreakCount="5">
    <brk id="69" min="1" max="61" man="1"/>
    <brk id="129" min="1" max="61" man="1"/>
    <brk id="185" min="1" max="61" man="1"/>
    <brk id="260" min="1" max="61" man="1"/>
    <brk id="326" min="1" max="61" man="1"/>
  </rowBreaks>
  <colBreaks count="5" manualBreakCount="5">
    <brk id="12" max="385" man="1"/>
    <brk id="22" max="385" man="1"/>
    <brk id="32" max="385" man="1"/>
    <brk id="42" max="385" man="1"/>
    <brk id="52" max="385" man="1"/>
  </colBreaks>
  <ignoredErrors>
    <ignoredError sqref="K96 N200 M201:M239 N207:N231 N206 N202:N204 N201 N205 O201:O238 Q194:Q241 S194 S195:S241 U194:U225 U226:U232 W194:W241 Y194:Y241 AA194:AA241 AC194:AC241 AE194:AE241 U234:U238 U233 U239:U241" formula="1"/>
    <ignoredError sqref="O383:V39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PreparaImpresion3">
                <anchor moveWithCells="1" sizeWithCells="1">
                  <from>
                    <xdr:col>67</xdr:col>
                    <xdr:colOff>533400</xdr:colOff>
                    <xdr:row>214</xdr:row>
                    <xdr:rowOff>0</xdr:rowOff>
                  </from>
                  <to>
                    <xdr:col>67</xdr:col>
                    <xdr:colOff>1927860</xdr:colOff>
                    <xdr:row>216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 11">
              <controlPr defaultSize="0" print="0" autoFill="0" autoPict="0" macro="[0]!RestauraColores3">
                <anchor moveWithCells="1" sizeWithCells="1">
                  <from>
                    <xdr:col>67</xdr:col>
                    <xdr:colOff>556260</xdr:colOff>
                    <xdr:row>217</xdr:row>
                    <xdr:rowOff>137160</xdr:rowOff>
                  </from>
                  <to>
                    <xdr:col>67</xdr:col>
                    <xdr:colOff>1935480</xdr:colOff>
                    <xdr:row>219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_xll.REGRESION">
                <anchor moveWithCells="1" sizeWithCells="1">
                  <from>
                    <xdr:col>67</xdr:col>
                    <xdr:colOff>403860</xdr:colOff>
                    <xdr:row>210</xdr:row>
                    <xdr:rowOff>190500</xdr:rowOff>
                  </from>
                  <to>
                    <xdr:col>67</xdr:col>
                    <xdr:colOff>2042160</xdr:colOff>
                    <xdr:row>213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>
    <tabColor rgb="FF0070C0"/>
  </sheetPr>
  <dimension ref="B1:CC52"/>
  <sheetViews>
    <sheetView showGridLines="0" view="pageBreakPreview" topLeftCell="BJ1" zoomScale="115" zoomScaleNormal="100" zoomScaleSheetLayoutView="115" workbookViewId="0">
      <selection activeCell="F38" sqref="F38"/>
    </sheetView>
  </sheetViews>
  <sheetFormatPr baseColWidth="10" defaultColWidth="11.44140625" defaultRowHeight="14.4" x14ac:dyDescent="0.3"/>
  <cols>
    <col min="1" max="1" width="4.33203125" customWidth="1"/>
    <col min="2" max="2" width="10.6640625" customWidth="1"/>
    <col min="3" max="3" width="8.6640625" customWidth="1"/>
    <col min="4" max="10" width="9.6640625" customWidth="1"/>
    <col min="11" max="11" width="11.6640625" customWidth="1"/>
    <col min="12" max="12" width="10.6640625" customWidth="1"/>
    <col min="13" max="13" width="8.6640625" customWidth="1"/>
    <col min="14" max="20" width="9.6640625" customWidth="1"/>
    <col min="21" max="21" width="11.6640625" customWidth="1"/>
    <col min="22" max="22" width="10.6640625" customWidth="1"/>
    <col min="23" max="23" width="8.6640625" customWidth="1"/>
    <col min="24" max="30" width="9.6640625" customWidth="1"/>
    <col min="31" max="31" width="11.6640625" customWidth="1"/>
    <col min="32" max="32" width="10.6640625" customWidth="1"/>
    <col min="33" max="33" width="8.6640625" customWidth="1"/>
    <col min="34" max="40" width="9.6640625" customWidth="1"/>
    <col min="41" max="41" width="11.6640625" customWidth="1"/>
    <col min="42" max="42" width="10.6640625" customWidth="1"/>
    <col min="43" max="43" width="8.6640625" customWidth="1"/>
    <col min="44" max="50" width="9.6640625" customWidth="1"/>
    <col min="51" max="51" width="11.6640625" customWidth="1"/>
    <col min="52" max="52" width="10.6640625" customWidth="1"/>
    <col min="53" max="53" width="8.6640625" customWidth="1"/>
    <col min="54" max="60" width="9.6640625" customWidth="1"/>
    <col min="61" max="61" width="11.6640625" customWidth="1"/>
    <col min="62" max="62" width="10.6640625" customWidth="1"/>
    <col min="63" max="63" width="8.6640625" customWidth="1"/>
    <col min="64" max="70" width="9.6640625" customWidth="1"/>
    <col min="71" max="71" width="11.6640625" customWidth="1"/>
    <col min="72" max="72" width="10.6640625" customWidth="1"/>
    <col min="73" max="73" width="8.6640625" customWidth="1"/>
    <col min="74" max="80" width="9.6640625" customWidth="1"/>
    <col min="81" max="81" width="11.6640625" customWidth="1"/>
  </cols>
  <sheetData>
    <row r="1" spans="2:81" x14ac:dyDescent="0.3">
      <c r="B1" s="598" t="s">
        <v>332</v>
      </c>
      <c r="C1" s="598"/>
      <c r="D1" s="598"/>
      <c r="E1" s="598"/>
      <c r="F1" s="598"/>
      <c r="G1" s="598"/>
      <c r="H1" s="598"/>
      <c r="I1" s="598"/>
      <c r="J1" s="598"/>
      <c r="K1" s="598"/>
      <c r="L1" s="598" t="s">
        <v>332</v>
      </c>
      <c r="M1" s="598"/>
      <c r="N1" s="598"/>
      <c r="O1" s="598"/>
      <c r="P1" s="598"/>
      <c r="Q1" s="598"/>
      <c r="R1" s="598"/>
      <c r="S1" s="598"/>
      <c r="T1" s="598"/>
      <c r="U1" s="598"/>
      <c r="V1" s="598" t="s">
        <v>332</v>
      </c>
      <c r="W1" s="598"/>
      <c r="X1" s="598"/>
      <c r="Y1" s="598"/>
      <c r="Z1" s="598"/>
      <c r="AA1" s="598"/>
      <c r="AB1" s="598"/>
      <c r="AC1" s="598"/>
      <c r="AD1" s="598"/>
      <c r="AE1" s="598"/>
      <c r="AF1" s="598" t="s">
        <v>332</v>
      </c>
      <c r="AG1" s="598"/>
      <c r="AH1" s="598"/>
      <c r="AI1" s="598"/>
      <c r="AJ1" s="598"/>
      <c r="AK1" s="598"/>
      <c r="AL1" s="598"/>
      <c r="AM1" s="598"/>
      <c r="AN1" s="598"/>
      <c r="AO1" s="598"/>
      <c r="AP1" s="598" t="s">
        <v>332</v>
      </c>
      <c r="AQ1" s="598"/>
      <c r="AR1" s="598"/>
      <c r="AS1" s="598"/>
      <c r="AT1" s="598"/>
      <c r="AU1" s="598"/>
      <c r="AV1" s="598"/>
      <c r="AW1" s="598"/>
      <c r="AX1" s="598"/>
      <c r="AY1" s="598"/>
      <c r="AZ1" s="598" t="s">
        <v>332</v>
      </c>
      <c r="BA1" s="598"/>
      <c r="BB1" s="598"/>
      <c r="BC1" s="598"/>
      <c r="BD1" s="598"/>
      <c r="BE1" s="598"/>
      <c r="BF1" s="598"/>
      <c r="BG1" s="598"/>
      <c r="BH1" s="598"/>
      <c r="BI1" s="598"/>
      <c r="BJ1" s="598" t="s">
        <v>332</v>
      </c>
      <c r="BK1" s="598"/>
      <c r="BL1" s="598"/>
      <c r="BM1" s="598"/>
      <c r="BN1" s="598"/>
      <c r="BO1" s="598"/>
      <c r="BP1" s="598"/>
      <c r="BQ1" s="598"/>
      <c r="BR1" s="598"/>
      <c r="BS1" s="598"/>
      <c r="BT1" s="598" t="s">
        <v>332</v>
      </c>
      <c r="BU1" s="598"/>
      <c r="BV1" s="598"/>
      <c r="BW1" s="598"/>
      <c r="BX1" s="598"/>
      <c r="BY1" s="598"/>
      <c r="BZ1" s="598"/>
      <c r="CA1" s="598"/>
      <c r="CB1" s="598"/>
      <c r="CC1" s="598"/>
    </row>
    <row r="3" spans="2:81" ht="15.6" x14ac:dyDescent="0.3">
      <c r="B3" s="70" t="s">
        <v>82</v>
      </c>
      <c r="C3" s="29" t="s">
        <v>185</v>
      </c>
      <c r="D3" s="31"/>
      <c r="L3" s="70" t="s">
        <v>82</v>
      </c>
      <c r="M3" s="29" t="s">
        <v>185</v>
      </c>
      <c r="N3" s="31"/>
      <c r="V3" s="70" t="s">
        <v>82</v>
      </c>
      <c r="W3" s="29" t="s">
        <v>185</v>
      </c>
      <c r="X3" s="31"/>
      <c r="AF3" s="70" t="s">
        <v>82</v>
      </c>
      <c r="AG3" s="29" t="s">
        <v>185</v>
      </c>
      <c r="AH3" s="31"/>
      <c r="AP3" s="70" t="s">
        <v>82</v>
      </c>
      <c r="AQ3" s="29" t="s">
        <v>185</v>
      </c>
      <c r="AR3" s="31"/>
      <c r="AZ3" s="70" t="s">
        <v>82</v>
      </c>
      <c r="BA3" s="29" t="s">
        <v>185</v>
      </c>
      <c r="BB3" s="31"/>
      <c r="BJ3" s="70" t="s">
        <v>82</v>
      </c>
      <c r="BK3" s="29" t="s">
        <v>185</v>
      </c>
      <c r="BL3" s="31"/>
      <c r="BT3" s="70" t="s">
        <v>82</v>
      </c>
      <c r="BU3" s="29" t="s">
        <v>185</v>
      </c>
      <c r="BV3" s="31"/>
    </row>
    <row r="4" spans="2:81" ht="12.75" customHeight="1" x14ac:dyDescent="0.3">
      <c r="D4" s="16"/>
      <c r="E4" s="16"/>
      <c r="F4" s="16"/>
      <c r="N4" s="16"/>
      <c r="O4" s="16"/>
      <c r="P4" s="16"/>
      <c r="X4" s="16"/>
      <c r="Y4" s="16"/>
      <c r="Z4" s="16"/>
      <c r="AH4" s="16"/>
      <c r="AI4" s="16"/>
      <c r="AJ4" s="16"/>
      <c r="AR4" s="16"/>
      <c r="AS4" s="16"/>
      <c r="AT4" s="16"/>
      <c r="BB4" s="16"/>
      <c r="BC4" s="16"/>
      <c r="BD4" s="16"/>
      <c r="BL4" s="16"/>
      <c r="BM4" s="16"/>
      <c r="BN4" s="16"/>
      <c r="BV4" s="16"/>
      <c r="BW4" s="16"/>
      <c r="BX4" s="16"/>
    </row>
    <row r="5" spans="2:81" x14ac:dyDescent="0.3">
      <c r="B5" s="169" t="s">
        <v>333</v>
      </c>
      <c r="D5" s="16"/>
      <c r="E5" s="16"/>
      <c r="F5" s="16"/>
      <c r="L5" s="169" t="s">
        <v>333</v>
      </c>
      <c r="N5" s="16"/>
      <c r="O5" s="16"/>
      <c r="P5" s="16"/>
      <c r="V5" s="169" t="s">
        <v>333</v>
      </c>
      <c r="X5" s="16"/>
      <c r="Y5" s="16"/>
      <c r="Z5" s="16"/>
      <c r="AF5" s="169" t="s">
        <v>333</v>
      </c>
      <c r="AH5" s="16"/>
      <c r="AI5" s="16"/>
      <c r="AJ5" s="16"/>
      <c r="AP5" s="169" t="s">
        <v>333</v>
      </c>
      <c r="AR5" s="16"/>
      <c r="AS5" s="16"/>
      <c r="AT5" s="16"/>
      <c r="AZ5" s="169" t="s">
        <v>333</v>
      </c>
      <c r="BB5" s="16"/>
      <c r="BC5" s="16"/>
      <c r="BD5" s="16"/>
      <c r="BJ5" s="169" t="s">
        <v>333</v>
      </c>
      <c r="BL5" s="16"/>
      <c r="BM5" s="16"/>
      <c r="BN5" s="16"/>
      <c r="BT5" s="169" t="s">
        <v>333</v>
      </c>
      <c r="BV5" s="16"/>
      <c r="BW5" s="16"/>
      <c r="BX5" s="16"/>
    </row>
    <row r="6" spans="2:81" x14ac:dyDescent="0.3">
      <c r="B6" s="169" t="s">
        <v>334</v>
      </c>
      <c r="D6" s="16"/>
      <c r="E6" s="16"/>
      <c r="F6" s="16"/>
      <c r="L6" s="169" t="s">
        <v>334</v>
      </c>
      <c r="N6" s="16"/>
      <c r="O6" s="16"/>
      <c r="P6" s="16"/>
      <c r="V6" s="169" t="s">
        <v>334</v>
      </c>
      <c r="X6" s="16"/>
      <c r="Y6" s="16"/>
      <c r="Z6" s="16"/>
      <c r="AF6" s="169" t="s">
        <v>334</v>
      </c>
      <c r="AH6" s="16"/>
      <c r="AI6" s="16"/>
      <c r="AJ6" s="16"/>
      <c r="AP6" s="169" t="s">
        <v>334</v>
      </c>
      <c r="AR6" s="16"/>
      <c r="AS6" s="16"/>
      <c r="AT6" s="16"/>
      <c r="AZ6" s="169" t="s">
        <v>334</v>
      </c>
      <c r="BB6" s="16"/>
      <c r="BC6" s="16"/>
      <c r="BD6" s="16"/>
      <c r="BJ6" s="169" t="s">
        <v>334</v>
      </c>
      <c r="BL6" s="16"/>
      <c r="BM6" s="16"/>
      <c r="BN6" s="16"/>
      <c r="BT6" s="169" t="s">
        <v>334</v>
      </c>
      <c r="BV6" s="16"/>
      <c r="BW6" s="16"/>
      <c r="BX6" s="16"/>
    </row>
    <row r="7" spans="2:81" ht="12.75" customHeight="1" x14ac:dyDescent="0.3">
      <c r="B7" s="169"/>
      <c r="D7" s="16"/>
      <c r="E7" s="16"/>
      <c r="F7" s="16"/>
      <c r="L7" s="169"/>
      <c r="N7" s="16"/>
      <c r="O7" s="16"/>
      <c r="P7" s="16"/>
      <c r="V7" s="169"/>
      <c r="X7" s="16"/>
      <c r="Y7" s="16"/>
      <c r="Z7" s="16"/>
      <c r="AF7" s="169"/>
      <c r="AH7" s="16"/>
      <c r="AI7" s="16"/>
      <c r="AJ7" s="16"/>
      <c r="AP7" s="169"/>
      <c r="AR7" s="16"/>
      <c r="AS7" s="16"/>
      <c r="AT7" s="16"/>
      <c r="AZ7" s="169"/>
      <c r="BB7" s="16"/>
      <c r="BC7" s="16"/>
      <c r="BD7" s="16"/>
      <c r="BJ7" s="169"/>
      <c r="BL7" s="16"/>
      <c r="BM7" s="16"/>
      <c r="BN7" s="16"/>
      <c r="BT7" s="169"/>
      <c r="BV7" s="16"/>
      <c r="BW7" s="16"/>
      <c r="BX7" s="16"/>
    </row>
    <row r="8" spans="2:81" x14ac:dyDescent="0.3">
      <c r="B8" s="24" t="s">
        <v>335</v>
      </c>
      <c r="C8" s="21"/>
      <c r="D8" s="21"/>
      <c r="E8" s="21"/>
      <c r="L8" s="24" t="s">
        <v>335</v>
      </c>
      <c r="M8" s="21"/>
      <c r="N8" s="21"/>
      <c r="O8" s="21"/>
      <c r="V8" s="24" t="s">
        <v>335</v>
      </c>
      <c r="W8" s="21"/>
      <c r="X8" s="21"/>
      <c r="Y8" s="21"/>
      <c r="AF8" s="24" t="s">
        <v>335</v>
      </c>
      <c r="AG8" s="21"/>
      <c r="AH8" s="21"/>
      <c r="AI8" s="21"/>
      <c r="AP8" s="24" t="s">
        <v>335</v>
      </c>
      <c r="AQ8" s="21"/>
      <c r="AR8" s="21"/>
      <c r="AS8" s="21"/>
      <c r="AZ8" s="24" t="s">
        <v>335</v>
      </c>
      <c r="BA8" s="21"/>
      <c r="BB8" s="21"/>
      <c r="BC8" s="21"/>
      <c r="BJ8" s="24" t="s">
        <v>335</v>
      </c>
      <c r="BK8" s="21"/>
      <c r="BL8" s="21"/>
      <c r="BM8" s="21"/>
      <c r="BT8" s="24" t="s">
        <v>335</v>
      </c>
      <c r="BU8" s="21"/>
      <c r="BV8" s="21"/>
      <c r="BW8" s="21"/>
    </row>
    <row r="9" spans="2:81" ht="11.25" customHeight="1" x14ac:dyDescent="0.3">
      <c r="B9" s="24"/>
      <c r="C9" s="21"/>
      <c r="D9" s="21"/>
      <c r="E9" s="21"/>
      <c r="L9" s="24"/>
      <c r="M9" s="21"/>
      <c r="N9" s="21"/>
      <c r="O9" s="21"/>
      <c r="V9" s="24"/>
      <c r="W9" s="21"/>
      <c r="X9" s="21"/>
      <c r="Y9" s="21"/>
      <c r="AF9" s="24"/>
      <c r="AG9" s="21"/>
      <c r="AH9" s="21"/>
      <c r="AI9" s="21"/>
      <c r="AP9" s="24"/>
      <c r="AQ9" s="21"/>
      <c r="AR9" s="21"/>
      <c r="AS9" s="21"/>
      <c r="AZ9" s="24"/>
      <c r="BA9" s="21"/>
      <c r="BB9" s="21"/>
      <c r="BC9" s="21"/>
      <c r="BJ9" s="24"/>
      <c r="BK9" s="21"/>
      <c r="BL9" s="21"/>
      <c r="BM9" s="21"/>
      <c r="BT9" s="24"/>
      <c r="BU9" s="21"/>
      <c r="BV9" s="21"/>
      <c r="BW9" s="21"/>
    </row>
    <row r="10" spans="2:81" x14ac:dyDescent="0.3">
      <c r="B10" s="99" t="s">
        <v>336</v>
      </c>
      <c r="C10" s="188" t="s">
        <v>204</v>
      </c>
      <c r="D10" s="21"/>
      <c r="E10" s="21" t="s">
        <v>337</v>
      </c>
      <c r="L10" s="99" t="s">
        <v>336</v>
      </c>
      <c r="M10" s="28" t="str">
        <f>C10</f>
        <v>I</v>
      </c>
      <c r="N10" s="21"/>
      <c r="O10" s="21" t="s">
        <v>337</v>
      </c>
      <c r="V10" s="99" t="s">
        <v>336</v>
      </c>
      <c r="W10" s="28" t="str">
        <f>C10</f>
        <v>I</v>
      </c>
      <c r="X10" s="21"/>
      <c r="Y10" s="21" t="s">
        <v>337</v>
      </c>
      <c r="AF10" s="99" t="s">
        <v>336</v>
      </c>
      <c r="AG10" s="28" t="str">
        <f>C10</f>
        <v>I</v>
      </c>
      <c r="AH10" s="21"/>
      <c r="AI10" s="21" t="s">
        <v>337</v>
      </c>
      <c r="AP10" s="99" t="s">
        <v>336</v>
      </c>
      <c r="AQ10" s="28" t="str">
        <f>C10</f>
        <v>I</v>
      </c>
      <c r="AR10" s="21"/>
      <c r="AS10" s="21" t="s">
        <v>337</v>
      </c>
      <c r="AZ10" s="99" t="s">
        <v>336</v>
      </c>
      <c r="BA10" s="28" t="str">
        <f>C10</f>
        <v>I</v>
      </c>
      <c r="BB10" s="21"/>
      <c r="BC10" s="21" t="s">
        <v>337</v>
      </c>
      <c r="BJ10" s="99" t="s">
        <v>336</v>
      </c>
      <c r="BK10" s="28" t="str">
        <f>C10</f>
        <v>I</v>
      </c>
      <c r="BL10" s="21"/>
      <c r="BM10" s="21" t="s">
        <v>337</v>
      </c>
      <c r="BT10" s="99" t="s">
        <v>336</v>
      </c>
      <c r="BU10" s="28" t="str">
        <f>C10</f>
        <v>I</v>
      </c>
      <c r="BV10" s="21"/>
      <c r="BW10" s="21" t="s">
        <v>337</v>
      </c>
    </row>
    <row r="11" spans="2:81" ht="12.75" customHeight="1" x14ac:dyDescent="0.3">
      <c r="B11" s="23" t="s">
        <v>338</v>
      </c>
      <c r="C11" s="28">
        <v>86</v>
      </c>
      <c r="D11" s="21"/>
      <c r="E11" s="21" t="s">
        <v>339</v>
      </c>
      <c r="K11" s="1"/>
      <c r="L11" s="23" t="s">
        <v>338</v>
      </c>
      <c r="M11" s="28">
        <f>C11</f>
        <v>86</v>
      </c>
      <c r="N11" s="21"/>
      <c r="O11" s="21" t="s">
        <v>339</v>
      </c>
      <c r="U11" s="1"/>
      <c r="V11" s="23" t="s">
        <v>338</v>
      </c>
      <c r="W11" s="28">
        <f>C11</f>
        <v>86</v>
      </c>
      <c r="X11" s="21"/>
      <c r="Y11" s="21" t="s">
        <v>339</v>
      </c>
      <c r="AE11" s="1"/>
      <c r="AF11" s="23" t="s">
        <v>338</v>
      </c>
      <c r="AG11" s="28">
        <f>C11</f>
        <v>86</v>
      </c>
      <c r="AH11" s="21"/>
      <c r="AI11" s="21" t="s">
        <v>339</v>
      </c>
      <c r="AO11" s="1"/>
      <c r="AP11" s="23" t="s">
        <v>338</v>
      </c>
      <c r="AQ11" s="28">
        <f>C11</f>
        <v>86</v>
      </c>
      <c r="AR11" s="21"/>
      <c r="AS11" s="21" t="s">
        <v>339</v>
      </c>
      <c r="AY11" s="1"/>
      <c r="AZ11" s="23" t="s">
        <v>338</v>
      </c>
      <c r="BA11" s="28">
        <f>M11</f>
        <v>86</v>
      </c>
      <c r="BB11" s="21"/>
      <c r="BC11" s="21" t="s">
        <v>339</v>
      </c>
      <c r="BI11" s="1"/>
      <c r="BJ11" s="23" t="s">
        <v>338</v>
      </c>
      <c r="BK11" s="28">
        <f>C11</f>
        <v>86</v>
      </c>
      <c r="BL11" s="21"/>
      <c r="BM11" s="21" t="s">
        <v>339</v>
      </c>
      <c r="BS11" s="1"/>
      <c r="BT11" s="23" t="s">
        <v>338</v>
      </c>
      <c r="BU11" s="28">
        <f>C11</f>
        <v>86</v>
      </c>
      <c r="BV11" s="21"/>
      <c r="BW11" s="21" t="s">
        <v>339</v>
      </c>
      <c r="CC11" s="1"/>
    </row>
    <row r="12" spans="2:81" x14ac:dyDescent="0.3">
      <c r="K12" s="4"/>
      <c r="U12" s="4"/>
      <c r="AE12" s="4"/>
      <c r="AO12" s="4"/>
      <c r="AY12" s="4"/>
      <c r="BI12" s="4"/>
      <c r="BS12" s="4"/>
      <c r="CC12" s="4"/>
    </row>
    <row r="13" spans="2:81" x14ac:dyDescent="0.3">
      <c r="B13" s="36" t="s">
        <v>340</v>
      </c>
      <c r="K13" s="4"/>
      <c r="L13" s="36" t="s">
        <v>340</v>
      </c>
      <c r="U13" s="4"/>
      <c r="V13" s="36" t="s">
        <v>340</v>
      </c>
      <c r="AE13" s="4"/>
      <c r="AF13" s="36" t="s">
        <v>340</v>
      </c>
      <c r="AO13" s="4"/>
      <c r="AP13" s="36" t="s">
        <v>340</v>
      </c>
      <c r="AY13" s="4"/>
      <c r="AZ13" s="36" t="s">
        <v>340</v>
      </c>
      <c r="BI13" s="4"/>
      <c r="BJ13" s="36" t="s">
        <v>340</v>
      </c>
      <c r="BS13" s="4"/>
      <c r="BT13" s="36" t="s">
        <v>340</v>
      </c>
      <c r="CC13" s="4"/>
    </row>
    <row r="14" spans="2:81" ht="12.75" customHeight="1" x14ac:dyDescent="0.3">
      <c r="K14" s="4"/>
      <c r="U14" s="4"/>
      <c r="AE14" s="4"/>
      <c r="AO14" s="4"/>
      <c r="AY14" s="4"/>
      <c r="BI14" s="4"/>
      <c r="BS14" s="4"/>
      <c r="CC14" s="4"/>
    </row>
    <row r="15" spans="2:81" x14ac:dyDescent="0.3">
      <c r="B15" s="23" t="s">
        <v>30</v>
      </c>
      <c r="C15" s="101">
        <f>(1000/C11)-10</f>
        <v>1.6279069767441854</v>
      </c>
      <c r="D15" s="21" t="s">
        <v>341</v>
      </c>
      <c r="E15" s="21" t="s">
        <v>342</v>
      </c>
      <c r="K15" s="4"/>
      <c r="L15" s="23" t="s">
        <v>30</v>
      </c>
      <c r="M15" s="101">
        <f>(1000/M11)-10</f>
        <v>1.6279069767441854</v>
      </c>
      <c r="N15" s="21" t="s">
        <v>341</v>
      </c>
      <c r="O15" s="21" t="s">
        <v>342</v>
      </c>
      <c r="U15" s="4"/>
      <c r="V15" s="23" t="s">
        <v>30</v>
      </c>
      <c r="W15" s="101">
        <f>(1000/W11)-10</f>
        <v>1.6279069767441854</v>
      </c>
      <c r="X15" s="21" t="s">
        <v>341</v>
      </c>
      <c r="Y15" s="21" t="s">
        <v>342</v>
      </c>
      <c r="AE15" s="4"/>
      <c r="AF15" s="23" t="s">
        <v>30</v>
      </c>
      <c r="AG15" s="101">
        <f>(1000/AG11)-10</f>
        <v>1.6279069767441854</v>
      </c>
      <c r="AH15" s="21" t="s">
        <v>341</v>
      </c>
      <c r="AI15" s="21" t="s">
        <v>342</v>
      </c>
      <c r="AO15" s="4"/>
      <c r="AP15" s="23" t="s">
        <v>30</v>
      </c>
      <c r="AQ15" s="101">
        <f>(1000/AQ11)-10</f>
        <v>1.6279069767441854</v>
      </c>
      <c r="AR15" s="21" t="s">
        <v>341</v>
      </c>
      <c r="AS15" s="21" t="s">
        <v>342</v>
      </c>
      <c r="AY15" s="4"/>
      <c r="AZ15" s="23" t="s">
        <v>30</v>
      </c>
      <c r="BA15" s="101">
        <f>(1000/BA11)-10</f>
        <v>1.6279069767441854</v>
      </c>
      <c r="BB15" s="21" t="s">
        <v>341</v>
      </c>
      <c r="BC15" s="21" t="s">
        <v>342</v>
      </c>
      <c r="BI15" s="4"/>
      <c r="BJ15" s="23" t="s">
        <v>30</v>
      </c>
      <c r="BK15" s="101">
        <f>(1000/BK11)-10</f>
        <v>1.6279069767441854</v>
      </c>
      <c r="BL15" s="21" t="s">
        <v>341</v>
      </c>
      <c r="BM15" s="21" t="s">
        <v>342</v>
      </c>
      <c r="BS15" s="4"/>
      <c r="BT15" s="23" t="s">
        <v>30</v>
      </c>
      <c r="BU15" s="101">
        <f>(1000/BU11)-10</f>
        <v>1.6279069767441854</v>
      </c>
      <c r="BV15" s="21" t="s">
        <v>341</v>
      </c>
      <c r="BW15" s="21" t="s">
        <v>342</v>
      </c>
      <c r="CC15" s="4"/>
    </row>
    <row r="16" spans="2:81" x14ac:dyDescent="0.3">
      <c r="B16" s="23" t="s">
        <v>30</v>
      </c>
      <c r="C16" s="101">
        <f>C15*25.4</f>
        <v>41.348837209302303</v>
      </c>
      <c r="D16" s="21" t="s">
        <v>3</v>
      </c>
      <c r="E16" s="23" t="s">
        <v>343</v>
      </c>
      <c r="K16" s="4"/>
      <c r="L16" s="23" t="s">
        <v>30</v>
      </c>
      <c r="M16" s="101">
        <f>M15*25.4</f>
        <v>41.348837209302303</v>
      </c>
      <c r="N16" s="21" t="s">
        <v>3</v>
      </c>
      <c r="O16" s="23" t="s">
        <v>343</v>
      </c>
      <c r="U16" s="4"/>
      <c r="V16" s="23" t="s">
        <v>30</v>
      </c>
      <c r="W16" s="101">
        <f>W15*25.4</f>
        <v>41.348837209302303</v>
      </c>
      <c r="X16" s="21" t="s">
        <v>3</v>
      </c>
      <c r="Y16" s="23" t="s">
        <v>343</v>
      </c>
      <c r="AE16" s="4"/>
      <c r="AF16" s="23" t="s">
        <v>30</v>
      </c>
      <c r="AG16" s="101">
        <f>AG15*25.4</f>
        <v>41.348837209302303</v>
      </c>
      <c r="AH16" s="21" t="s">
        <v>3</v>
      </c>
      <c r="AI16" s="23" t="s">
        <v>343</v>
      </c>
      <c r="AO16" s="4"/>
      <c r="AP16" s="23" t="s">
        <v>30</v>
      </c>
      <c r="AQ16" s="101">
        <f>AQ15*25.4</f>
        <v>41.348837209302303</v>
      </c>
      <c r="AR16" s="21" t="s">
        <v>3</v>
      </c>
      <c r="AS16" s="23" t="s">
        <v>343</v>
      </c>
      <c r="AY16" s="4"/>
      <c r="AZ16" s="23" t="s">
        <v>30</v>
      </c>
      <c r="BA16" s="101">
        <f>BA15*25.4</f>
        <v>41.348837209302303</v>
      </c>
      <c r="BB16" s="21" t="s">
        <v>3</v>
      </c>
      <c r="BC16" s="23" t="s">
        <v>343</v>
      </c>
      <c r="BI16" s="4"/>
      <c r="BJ16" s="23" t="s">
        <v>30</v>
      </c>
      <c r="BK16" s="101">
        <f>BK15*25.4</f>
        <v>41.348837209302303</v>
      </c>
      <c r="BL16" s="21" t="s">
        <v>3</v>
      </c>
      <c r="BM16" s="23" t="s">
        <v>343</v>
      </c>
      <c r="BS16" s="4"/>
      <c r="BT16" s="23" t="s">
        <v>30</v>
      </c>
      <c r="BU16" s="101">
        <f>BU15*25.4</f>
        <v>41.348837209302303</v>
      </c>
      <c r="BV16" s="21" t="s">
        <v>3</v>
      </c>
      <c r="BW16" s="23" t="s">
        <v>343</v>
      </c>
      <c r="CC16" s="4"/>
    </row>
    <row r="17" spans="2:81" x14ac:dyDescent="0.3">
      <c r="B17" s="23"/>
      <c r="C17" s="101"/>
      <c r="D17" s="21"/>
      <c r="E17" s="21"/>
      <c r="K17" s="4"/>
      <c r="L17" s="23"/>
      <c r="M17" s="101"/>
      <c r="N17" s="21"/>
      <c r="O17" s="21"/>
      <c r="U17" s="4"/>
      <c r="V17" s="23"/>
      <c r="W17" s="101"/>
      <c r="X17" s="21"/>
      <c r="Y17" s="21"/>
      <c r="AE17" s="4"/>
      <c r="AF17" s="23"/>
      <c r="AG17" s="101"/>
      <c r="AH17" s="21"/>
      <c r="AI17" s="21"/>
      <c r="AO17" s="4"/>
      <c r="AP17" s="23"/>
      <c r="AQ17" s="101"/>
      <c r="AR17" s="21"/>
      <c r="AS17" s="21"/>
      <c r="AY17" s="4"/>
      <c r="AZ17" s="23"/>
      <c r="BA17" s="101"/>
      <c r="BB17" s="21"/>
      <c r="BC17" s="21"/>
      <c r="BI17" s="4"/>
      <c r="BJ17" s="23"/>
      <c r="BK17" s="101"/>
      <c r="BL17" s="21"/>
      <c r="BM17" s="21"/>
      <c r="BS17" s="4"/>
      <c r="BT17" s="23"/>
      <c r="BU17" s="101"/>
      <c r="BV17" s="21"/>
      <c r="BW17" s="21"/>
      <c r="CC17" s="4"/>
    </row>
    <row r="18" spans="2:81" x14ac:dyDescent="0.3">
      <c r="B18" s="23" t="s">
        <v>344</v>
      </c>
      <c r="C18" s="101">
        <f>0.2*C15</f>
        <v>0.32558139534883712</v>
      </c>
      <c r="D18" s="21" t="s">
        <v>341</v>
      </c>
      <c r="E18" s="21" t="s">
        <v>345</v>
      </c>
      <c r="K18" s="4"/>
      <c r="L18" s="23" t="s">
        <v>344</v>
      </c>
      <c r="M18" s="101">
        <f>0.2*M15</f>
        <v>0.32558139534883712</v>
      </c>
      <c r="N18" s="21" t="s">
        <v>341</v>
      </c>
      <c r="O18" s="21" t="s">
        <v>345</v>
      </c>
      <c r="U18" s="4"/>
      <c r="V18" s="23" t="s">
        <v>344</v>
      </c>
      <c r="W18" s="101">
        <f>0.2*W15</f>
        <v>0.32558139534883712</v>
      </c>
      <c r="X18" s="21" t="s">
        <v>341</v>
      </c>
      <c r="Y18" s="21" t="s">
        <v>345</v>
      </c>
      <c r="AE18" s="4"/>
      <c r="AF18" s="23" t="s">
        <v>344</v>
      </c>
      <c r="AG18" s="101">
        <f>0.2*AG15</f>
        <v>0.32558139534883712</v>
      </c>
      <c r="AH18" s="21" t="s">
        <v>341</v>
      </c>
      <c r="AI18" s="21" t="s">
        <v>345</v>
      </c>
      <c r="AO18" s="4"/>
      <c r="AP18" s="23" t="s">
        <v>344</v>
      </c>
      <c r="AQ18" s="101">
        <f>0.2*AQ15</f>
        <v>0.32558139534883712</v>
      </c>
      <c r="AR18" s="21" t="s">
        <v>341</v>
      </c>
      <c r="AS18" s="21" t="s">
        <v>345</v>
      </c>
      <c r="AY18" s="4"/>
      <c r="AZ18" s="23" t="s">
        <v>344</v>
      </c>
      <c r="BA18" s="101">
        <f>0.2*BA15</f>
        <v>0.32558139534883712</v>
      </c>
      <c r="BB18" s="21" t="s">
        <v>341</v>
      </c>
      <c r="BC18" s="21" t="s">
        <v>345</v>
      </c>
      <c r="BI18" s="4"/>
      <c r="BJ18" s="23" t="s">
        <v>344</v>
      </c>
      <c r="BK18" s="101">
        <f>0.2*BK15</f>
        <v>0.32558139534883712</v>
      </c>
      <c r="BL18" s="21" t="s">
        <v>341</v>
      </c>
      <c r="BM18" s="21" t="s">
        <v>345</v>
      </c>
      <c r="BS18" s="4"/>
      <c r="BT18" s="23" t="s">
        <v>344</v>
      </c>
      <c r="BU18" s="101">
        <f>0.2*BU15</f>
        <v>0.32558139534883712</v>
      </c>
      <c r="BV18" s="21" t="s">
        <v>341</v>
      </c>
      <c r="BW18" s="21" t="s">
        <v>345</v>
      </c>
      <c r="CC18" s="4"/>
    </row>
    <row r="19" spans="2:81" x14ac:dyDescent="0.3">
      <c r="B19" s="23" t="s">
        <v>344</v>
      </c>
      <c r="C19" s="101">
        <f>0.2*C16</f>
        <v>8.269767441860461</v>
      </c>
      <c r="D19" s="21" t="s">
        <v>3</v>
      </c>
      <c r="E19" s="23" t="s">
        <v>343</v>
      </c>
      <c r="K19" s="4"/>
      <c r="L19" s="23" t="s">
        <v>344</v>
      </c>
      <c r="M19" s="101">
        <f>0.2*M16</f>
        <v>8.269767441860461</v>
      </c>
      <c r="N19" s="21" t="s">
        <v>3</v>
      </c>
      <c r="O19" s="23" t="s">
        <v>343</v>
      </c>
      <c r="U19" s="4"/>
      <c r="V19" s="23" t="s">
        <v>344</v>
      </c>
      <c r="W19" s="101">
        <f>0.2*W16</f>
        <v>8.269767441860461</v>
      </c>
      <c r="X19" s="21" t="s">
        <v>3</v>
      </c>
      <c r="Y19" s="23" t="s">
        <v>343</v>
      </c>
      <c r="AE19" s="4"/>
      <c r="AF19" s="23" t="s">
        <v>344</v>
      </c>
      <c r="AG19" s="101">
        <f>0.2*AG16</f>
        <v>8.269767441860461</v>
      </c>
      <c r="AH19" s="21" t="s">
        <v>3</v>
      </c>
      <c r="AI19" s="23" t="s">
        <v>343</v>
      </c>
      <c r="AO19" s="4"/>
      <c r="AP19" s="23" t="s">
        <v>344</v>
      </c>
      <c r="AQ19" s="101">
        <f>0.2*AQ16</f>
        <v>8.269767441860461</v>
      </c>
      <c r="AR19" s="21" t="s">
        <v>3</v>
      </c>
      <c r="AS19" s="23" t="s">
        <v>343</v>
      </c>
      <c r="AY19" s="4"/>
      <c r="AZ19" s="23" t="s">
        <v>344</v>
      </c>
      <c r="BA19" s="101">
        <f>0.2*BA16</f>
        <v>8.269767441860461</v>
      </c>
      <c r="BB19" s="21" t="s">
        <v>3</v>
      </c>
      <c r="BC19" s="23" t="s">
        <v>343</v>
      </c>
      <c r="BI19" s="4"/>
      <c r="BJ19" s="23" t="s">
        <v>344</v>
      </c>
      <c r="BK19" s="101">
        <f>0.2*BK16</f>
        <v>8.269767441860461</v>
      </c>
      <c r="BL19" s="21" t="s">
        <v>3</v>
      </c>
      <c r="BM19" s="23" t="s">
        <v>343</v>
      </c>
      <c r="BS19" s="4"/>
      <c r="BT19" s="23" t="s">
        <v>344</v>
      </c>
      <c r="BU19" s="101">
        <f>0.2*BU16</f>
        <v>8.269767441860461</v>
      </c>
      <c r="BV19" s="21" t="s">
        <v>3</v>
      </c>
      <c r="BW19" s="23" t="s">
        <v>343</v>
      </c>
      <c r="CC19" s="4"/>
    </row>
    <row r="20" spans="2:81" ht="11.25" customHeight="1" thickBot="1" x14ac:dyDescent="0.35">
      <c r="G20" s="23"/>
      <c r="K20" s="4"/>
      <c r="Q20" s="23"/>
      <c r="U20" s="4"/>
      <c r="AA20" s="23"/>
      <c r="AE20" s="4"/>
      <c r="AK20" s="23"/>
      <c r="AO20" s="4"/>
      <c r="AU20" s="23"/>
      <c r="AY20" s="4"/>
      <c r="BE20" s="23"/>
      <c r="BI20" s="4"/>
      <c r="BO20" s="23"/>
      <c r="BS20" s="4"/>
      <c r="BY20" s="23"/>
      <c r="CC20" s="4"/>
    </row>
    <row r="21" spans="2:81" ht="15" thickBot="1" x14ac:dyDescent="0.35">
      <c r="B21" s="36" t="s">
        <v>346</v>
      </c>
      <c r="D21" s="596" t="s">
        <v>355</v>
      </c>
      <c r="E21" s="597"/>
      <c r="F21" s="597"/>
      <c r="G21" s="168">
        <f>IDF_1!R190</f>
        <v>2</v>
      </c>
      <c r="H21" s="594" t="s">
        <v>354</v>
      </c>
      <c r="I21" s="595"/>
      <c r="K21" s="4"/>
      <c r="L21" s="36" t="s">
        <v>346</v>
      </c>
      <c r="N21" s="596" t="s">
        <v>355</v>
      </c>
      <c r="O21" s="597"/>
      <c r="P21" s="597"/>
      <c r="Q21" s="168">
        <f>IDF_1!T190</f>
        <v>5</v>
      </c>
      <c r="R21" s="594" t="s">
        <v>354</v>
      </c>
      <c r="S21" s="595"/>
      <c r="U21" s="4"/>
      <c r="V21" s="36" t="s">
        <v>346</v>
      </c>
      <c r="X21" s="596" t="s">
        <v>355</v>
      </c>
      <c r="Y21" s="597"/>
      <c r="Z21" s="597"/>
      <c r="AA21" s="168">
        <f>IDF_1!V190</f>
        <v>10</v>
      </c>
      <c r="AB21" s="594" t="s">
        <v>354</v>
      </c>
      <c r="AC21" s="595"/>
      <c r="AE21" s="4"/>
      <c r="AF21" s="36" t="s">
        <v>346</v>
      </c>
      <c r="AH21" s="596" t="s">
        <v>355</v>
      </c>
      <c r="AI21" s="597"/>
      <c r="AJ21" s="597"/>
      <c r="AK21" s="168">
        <f>IDF_1!X190</f>
        <v>20</v>
      </c>
      <c r="AL21" s="594" t="s">
        <v>354</v>
      </c>
      <c r="AM21" s="595"/>
      <c r="AO21" s="4"/>
      <c r="AP21" s="36" t="s">
        <v>346</v>
      </c>
      <c r="AR21" s="596" t="s">
        <v>355</v>
      </c>
      <c r="AS21" s="597"/>
      <c r="AT21" s="597"/>
      <c r="AU21" s="168">
        <f>IDF_1!Z190</f>
        <v>50</v>
      </c>
      <c r="AV21" s="594" t="s">
        <v>354</v>
      </c>
      <c r="AW21" s="595"/>
      <c r="AY21" s="4"/>
      <c r="AZ21" s="36" t="s">
        <v>346</v>
      </c>
      <c r="BB21" s="596" t="s">
        <v>355</v>
      </c>
      <c r="BC21" s="597"/>
      <c r="BD21" s="597"/>
      <c r="BE21" s="168">
        <f>IDF_1!AB190</f>
        <v>100</v>
      </c>
      <c r="BF21" s="594" t="s">
        <v>354</v>
      </c>
      <c r="BG21" s="595"/>
      <c r="BI21" s="4"/>
      <c r="BJ21" s="36" t="s">
        <v>346</v>
      </c>
      <c r="BL21" s="596" t="s">
        <v>355</v>
      </c>
      <c r="BM21" s="597"/>
      <c r="BN21" s="597"/>
      <c r="BO21" s="168">
        <f>IDF_1!AD190</f>
        <v>150</v>
      </c>
      <c r="BP21" s="594" t="s">
        <v>354</v>
      </c>
      <c r="BQ21" s="595"/>
      <c r="BS21" s="4"/>
      <c r="BT21" s="36" t="s">
        <v>346</v>
      </c>
      <c r="BV21" s="596" t="s">
        <v>355</v>
      </c>
      <c r="BW21" s="597"/>
      <c r="BX21" s="597"/>
      <c r="BY21" s="168">
        <f>IDF_1!AF190</f>
        <v>500</v>
      </c>
      <c r="BZ21" s="594" t="s">
        <v>354</v>
      </c>
      <c r="CA21" s="595"/>
      <c r="CC21" s="4"/>
    </row>
    <row r="22" spans="2:81" ht="15" customHeight="1" x14ac:dyDescent="0.3">
      <c r="C22" s="601" t="s">
        <v>195</v>
      </c>
      <c r="D22" s="603" t="s">
        <v>347</v>
      </c>
      <c r="E22" s="605" t="s">
        <v>348</v>
      </c>
      <c r="F22" s="607" t="s">
        <v>349</v>
      </c>
      <c r="G22" s="608"/>
      <c r="H22" s="603" t="s">
        <v>350</v>
      </c>
      <c r="I22" s="599" t="s">
        <v>351</v>
      </c>
      <c r="J22" s="23" t="s">
        <v>343</v>
      </c>
      <c r="K22" s="4"/>
      <c r="M22" s="601" t="s">
        <v>195</v>
      </c>
      <c r="N22" s="603" t="s">
        <v>347</v>
      </c>
      <c r="O22" s="605" t="s">
        <v>348</v>
      </c>
      <c r="P22" s="607" t="s">
        <v>349</v>
      </c>
      <c r="Q22" s="608"/>
      <c r="R22" s="603" t="s">
        <v>350</v>
      </c>
      <c r="S22" s="599" t="s">
        <v>351</v>
      </c>
      <c r="T22" s="23" t="s">
        <v>343</v>
      </c>
      <c r="U22" s="4"/>
      <c r="W22" s="601" t="s">
        <v>195</v>
      </c>
      <c r="X22" s="603" t="s">
        <v>347</v>
      </c>
      <c r="Y22" s="605" t="s">
        <v>348</v>
      </c>
      <c r="Z22" s="607" t="s">
        <v>349</v>
      </c>
      <c r="AA22" s="608"/>
      <c r="AB22" s="603" t="s">
        <v>350</v>
      </c>
      <c r="AC22" s="599" t="s">
        <v>351</v>
      </c>
      <c r="AD22" s="23" t="s">
        <v>343</v>
      </c>
      <c r="AE22" s="4"/>
      <c r="AG22" s="601" t="s">
        <v>195</v>
      </c>
      <c r="AH22" s="603" t="s">
        <v>347</v>
      </c>
      <c r="AI22" s="605" t="s">
        <v>348</v>
      </c>
      <c r="AJ22" s="607" t="s">
        <v>349</v>
      </c>
      <c r="AK22" s="608"/>
      <c r="AL22" s="603" t="s">
        <v>350</v>
      </c>
      <c r="AM22" s="599" t="s">
        <v>351</v>
      </c>
      <c r="AN22" s="23" t="s">
        <v>343</v>
      </c>
      <c r="AO22" s="4"/>
      <c r="AQ22" s="601" t="s">
        <v>195</v>
      </c>
      <c r="AR22" s="603" t="s">
        <v>347</v>
      </c>
      <c r="AS22" s="605" t="s">
        <v>348</v>
      </c>
      <c r="AT22" s="607" t="s">
        <v>349</v>
      </c>
      <c r="AU22" s="608"/>
      <c r="AV22" s="603" t="s">
        <v>350</v>
      </c>
      <c r="AW22" s="599" t="s">
        <v>351</v>
      </c>
      <c r="AX22" s="23" t="s">
        <v>343</v>
      </c>
      <c r="AY22" s="4"/>
      <c r="BA22" s="601" t="s">
        <v>195</v>
      </c>
      <c r="BB22" s="603" t="s">
        <v>347</v>
      </c>
      <c r="BC22" s="605" t="s">
        <v>348</v>
      </c>
      <c r="BD22" s="607" t="s">
        <v>349</v>
      </c>
      <c r="BE22" s="608"/>
      <c r="BF22" s="603" t="s">
        <v>350</v>
      </c>
      <c r="BG22" s="599" t="s">
        <v>351</v>
      </c>
      <c r="BH22" s="23" t="s">
        <v>343</v>
      </c>
      <c r="BI22" s="4"/>
      <c r="BK22" s="601" t="s">
        <v>195</v>
      </c>
      <c r="BL22" s="603" t="s">
        <v>347</v>
      </c>
      <c r="BM22" s="605" t="s">
        <v>348</v>
      </c>
      <c r="BN22" s="607" t="s">
        <v>349</v>
      </c>
      <c r="BO22" s="608"/>
      <c r="BP22" s="603" t="s">
        <v>350</v>
      </c>
      <c r="BQ22" s="599" t="s">
        <v>351</v>
      </c>
      <c r="BR22" s="23" t="s">
        <v>343</v>
      </c>
      <c r="BS22" s="4"/>
      <c r="BU22" s="601" t="s">
        <v>195</v>
      </c>
      <c r="BV22" s="603" t="s">
        <v>347</v>
      </c>
      <c r="BW22" s="605" t="s">
        <v>348</v>
      </c>
      <c r="BX22" s="607" t="s">
        <v>349</v>
      </c>
      <c r="BY22" s="608"/>
      <c r="BZ22" s="603" t="s">
        <v>350</v>
      </c>
      <c r="CA22" s="599" t="s">
        <v>351</v>
      </c>
      <c r="CB22" s="23" t="s">
        <v>343</v>
      </c>
      <c r="CC22" s="4"/>
    </row>
    <row r="23" spans="2:81" ht="15" customHeight="1" thickBot="1" x14ac:dyDescent="0.35">
      <c r="C23" s="602"/>
      <c r="D23" s="604"/>
      <c r="E23" s="606"/>
      <c r="F23" s="170" t="s">
        <v>352</v>
      </c>
      <c r="G23" s="171" t="s">
        <v>353</v>
      </c>
      <c r="H23" s="604"/>
      <c r="I23" s="600"/>
      <c r="K23" s="4"/>
      <c r="M23" s="602"/>
      <c r="N23" s="604"/>
      <c r="O23" s="606"/>
      <c r="P23" s="170" t="s">
        <v>352</v>
      </c>
      <c r="Q23" s="171" t="s">
        <v>353</v>
      </c>
      <c r="R23" s="604"/>
      <c r="S23" s="600"/>
      <c r="U23" s="4"/>
      <c r="W23" s="602"/>
      <c r="X23" s="604"/>
      <c r="Y23" s="606"/>
      <c r="Z23" s="170" t="s">
        <v>352</v>
      </c>
      <c r="AA23" s="171" t="s">
        <v>353</v>
      </c>
      <c r="AB23" s="604"/>
      <c r="AC23" s="600"/>
      <c r="AE23" s="4"/>
      <c r="AG23" s="602"/>
      <c r="AH23" s="604"/>
      <c r="AI23" s="606"/>
      <c r="AJ23" s="170" t="s">
        <v>352</v>
      </c>
      <c r="AK23" s="171" t="s">
        <v>353</v>
      </c>
      <c r="AL23" s="604"/>
      <c r="AM23" s="600"/>
      <c r="AO23" s="4"/>
      <c r="AQ23" s="602"/>
      <c r="AR23" s="604"/>
      <c r="AS23" s="606"/>
      <c r="AT23" s="170" t="s">
        <v>352</v>
      </c>
      <c r="AU23" s="171" t="s">
        <v>353</v>
      </c>
      <c r="AV23" s="604"/>
      <c r="AW23" s="600"/>
      <c r="AY23" s="4"/>
      <c r="BA23" s="602"/>
      <c r="BB23" s="604"/>
      <c r="BC23" s="606"/>
      <c r="BD23" s="170" t="s">
        <v>352</v>
      </c>
      <c r="BE23" s="171" t="s">
        <v>353</v>
      </c>
      <c r="BF23" s="604"/>
      <c r="BG23" s="600"/>
      <c r="BI23" s="4"/>
      <c r="BK23" s="602"/>
      <c r="BL23" s="604"/>
      <c r="BM23" s="606"/>
      <c r="BN23" s="170" t="s">
        <v>352</v>
      </c>
      <c r="BO23" s="171" t="s">
        <v>353</v>
      </c>
      <c r="BP23" s="604"/>
      <c r="BQ23" s="600"/>
      <c r="BS23" s="4"/>
      <c r="BU23" s="602"/>
      <c r="BV23" s="604"/>
      <c r="BW23" s="606"/>
      <c r="BX23" s="170" t="s">
        <v>352</v>
      </c>
      <c r="BY23" s="171" t="s">
        <v>353</v>
      </c>
      <c r="BZ23" s="604"/>
      <c r="CA23" s="600"/>
      <c r="CC23" s="4"/>
    </row>
    <row r="24" spans="2:81" ht="12" customHeight="1" x14ac:dyDescent="0.3">
      <c r="C24" s="172">
        <v>0</v>
      </c>
      <c r="D24" s="173">
        <v>0</v>
      </c>
      <c r="E24" s="174">
        <v>0</v>
      </c>
      <c r="F24" s="175">
        <v>0</v>
      </c>
      <c r="G24" s="176"/>
      <c r="H24" s="173">
        <v>0</v>
      </c>
      <c r="I24" s="177">
        <v>0</v>
      </c>
      <c r="K24" s="4"/>
      <c r="M24" s="172">
        <v>0</v>
      </c>
      <c r="N24" s="173">
        <v>0</v>
      </c>
      <c r="O24" s="174">
        <v>0</v>
      </c>
      <c r="P24" s="175">
        <v>0</v>
      </c>
      <c r="Q24" s="176"/>
      <c r="R24" s="173">
        <v>0</v>
      </c>
      <c r="S24" s="177">
        <v>0</v>
      </c>
      <c r="U24" s="4"/>
      <c r="W24" s="172">
        <v>0</v>
      </c>
      <c r="X24" s="173">
        <v>0</v>
      </c>
      <c r="Y24" s="174">
        <v>0</v>
      </c>
      <c r="Z24" s="175">
        <v>0</v>
      </c>
      <c r="AA24" s="176"/>
      <c r="AB24" s="173">
        <v>0</v>
      </c>
      <c r="AC24" s="177">
        <v>0</v>
      </c>
      <c r="AE24" s="4"/>
      <c r="AG24" s="172">
        <v>0</v>
      </c>
      <c r="AH24" s="173">
        <v>0</v>
      </c>
      <c r="AI24" s="174">
        <v>0</v>
      </c>
      <c r="AJ24" s="175">
        <v>0</v>
      </c>
      <c r="AK24" s="176"/>
      <c r="AL24" s="173">
        <v>0</v>
      </c>
      <c r="AM24" s="177">
        <v>0</v>
      </c>
      <c r="AO24" s="4"/>
      <c r="AQ24" s="172">
        <v>0</v>
      </c>
      <c r="AR24" s="173">
        <v>0</v>
      </c>
      <c r="AS24" s="174">
        <v>0</v>
      </c>
      <c r="AT24" s="175">
        <v>0</v>
      </c>
      <c r="AU24" s="176"/>
      <c r="AV24" s="173">
        <v>0</v>
      </c>
      <c r="AW24" s="177">
        <v>0</v>
      </c>
      <c r="AY24" s="4"/>
      <c r="BA24" s="172">
        <v>0</v>
      </c>
      <c r="BB24" s="173">
        <v>0</v>
      </c>
      <c r="BC24" s="174">
        <v>0</v>
      </c>
      <c r="BD24" s="175">
        <v>0</v>
      </c>
      <c r="BE24" s="176"/>
      <c r="BF24" s="173">
        <v>0</v>
      </c>
      <c r="BG24" s="177">
        <v>0</v>
      </c>
      <c r="BI24" s="4"/>
      <c r="BK24" s="172">
        <v>0</v>
      </c>
      <c r="BL24" s="173">
        <v>0</v>
      </c>
      <c r="BM24" s="174">
        <v>0</v>
      </c>
      <c r="BN24" s="175">
        <v>0</v>
      </c>
      <c r="BO24" s="176"/>
      <c r="BP24" s="173">
        <v>0</v>
      </c>
      <c r="BQ24" s="177">
        <v>0</v>
      </c>
      <c r="BS24" s="4"/>
      <c r="BU24" s="172">
        <v>0</v>
      </c>
      <c r="BV24" s="173">
        <v>0</v>
      </c>
      <c r="BW24" s="174">
        <v>0</v>
      </c>
      <c r="BX24" s="175">
        <v>0</v>
      </c>
      <c r="BY24" s="176"/>
      <c r="BZ24" s="173">
        <v>0</v>
      </c>
      <c r="CA24" s="177">
        <v>0</v>
      </c>
      <c r="CC24" s="4"/>
    </row>
    <row r="25" spans="2:81" ht="12" customHeight="1" x14ac:dyDescent="0.3">
      <c r="C25" s="178">
        <v>1</v>
      </c>
      <c r="D25" s="182">
        <f>IDF_1!CA190</f>
        <v>0.23846064879310147</v>
      </c>
      <c r="E25" s="179">
        <f>E24+D25</f>
        <v>0.23846064879310147</v>
      </c>
      <c r="F25" s="180">
        <f>IF(E25&lt;$C$19,E25,$C$19)</f>
        <v>0.23846064879310147</v>
      </c>
      <c r="G25" s="181">
        <f>($C$16*(E25-F25))/(E25-F25+$C$16)</f>
        <v>0</v>
      </c>
      <c r="H25" s="182">
        <f>E25-F25-G25</f>
        <v>0</v>
      </c>
      <c r="I25" s="181">
        <f>H25-H24</f>
        <v>0</v>
      </c>
      <c r="K25" s="4"/>
      <c r="M25" s="178">
        <v>1</v>
      </c>
      <c r="N25" s="182">
        <f>IDF_1!CB190</f>
        <v>0.31913339074045188</v>
      </c>
      <c r="O25" s="179">
        <f>O24+N25</f>
        <v>0.31913339074045188</v>
      </c>
      <c r="P25" s="180">
        <f>IF(O25&lt;$M$19,O25,$M$19)</f>
        <v>0.31913339074045188</v>
      </c>
      <c r="Q25" s="181">
        <f>($M$16*(O25-P25))/(O25-P25+$M$16)</f>
        <v>0</v>
      </c>
      <c r="R25" s="182">
        <f>O25-P25-Q25</f>
        <v>0</v>
      </c>
      <c r="S25" s="181">
        <f>R25-R24</f>
        <v>0</v>
      </c>
      <c r="U25" s="4"/>
      <c r="W25" s="178">
        <v>1</v>
      </c>
      <c r="X25" s="182">
        <f>IDF_1!CC190</f>
        <v>0.36552412290424929</v>
      </c>
      <c r="Y25" s="179">
        <f>Y24+X25</f>
        <v>0.36552412290424929</v>
      </c>
      <c r="Z25" s="180">
        <f>IF(Y25&lt;$W$19,Y25,$W$19)</f>
        <v>0.36552412290424929</v>
      </c>
      <c r="AA25" s="181">
        <f>($W$16*(Y25-Z25))/(Y25-Z25+$W$16)</f>
        <v>0</v>
      </c>
      <c r="AB25" s="182">
        <f>Y25-Z25-AA25</f>
        <v>0</v>
      </c>
      <c r="AC25" s="181">
        <f>AB25-AB24</f>
        <v>0</v>
      </c>
      <c r="AE25" s="4"/>
      <c r="AG25" s="178">
        <v>1</v>
      </c>
      <c r="AH25" s="182">
        <f>IDF_1!CD190</f>
        <v>0.40607596877232516</v>
      </c>
      <c r="AI25" s="179">
        <f>AI24+AH25</f>
        <v>0.40607596877232516</v>
      </c>
      <c r="AJ25" s="180">
        <f>IF(AI25&lt;$AG$19,AI25,$AG$19)</f>
        <v>0.40607596877232516</v>
      </c>
      <c r="AK25" s="181">
        <f>($AG$16*(AI25-AJ25))/(AI25-AJ25+$AG$16)</f>
        <v>0</v>
      </c>
      <c r="AL25" s="182">
        <f>AI25-AJ25-AK25</f>
        <v>0</v>
      </c>
      <c r="AM25" s="181">
        <f>AL25-AL24</f>
        <v>0</v>
      </c>
      <c r="AO25" s="4"/>
      <c r="AQ25" s="178">
        <v>1</v>
      </c>
      <c r="AR25" s="182">
        <f>IDF_1!CE190</f>
        <v>0.45420896281492612</v>
      </c>
      <c r="AS25" s="179">
        <f>AS24+AR25</f>
        <v>0.45420896281492612</v>
      </c>
      <c r="AT25" s="180">
        <f>IF(AS25&lt;$AQ$19,AS25,$AQ$19)</f>
        <v>0.45420896281492612</v>
      </c>
      <c r="AU25" s="181">
        <f>($AQ$16*(AS25-AT25))/(AS25-AT25+$AQ$16)</f>
        <v>0</v>
      </c>
      <c r="AV25" s="182">
        <f>AS25-AT25-AU25</f>
        <v>0</v>
      </c>
      <c r="AW25" s="181">
        <f>AV25-AV24</f>
        <v>0</v>
      </c>
      <c r="AY25" s="4"/>
      <c r="BA25" s="178">
        <v>1</v>
      </c>
      <c r="BB25" s="182">
        <f>IDF_1!CF190</f>
        <v>0.48780024657203774</v>
      </c>
      <c r="BC25" s="179">
        <f>BC24+BB25</f>
        <v>0.48780024657203774</v>
      </c>
      <c r="BD25" s="180">
        <f>IF(BC25&lt;$BA$19,BC25,$BA$19)</f>
        <v>0.48780024657203774</v>
      </c>
      <c r="BE25" s="181">
        <f>($BA$16*(BC25-BD25))/(BC25-BD25+$BA$16)</f>
        <v>0</v>
      </c>
      <c r="BF25" s="182">
        <f>BC25-BD25-BE25</f>
        <v>0</v>
      </c>
      <c r="BG25" s="181">
        <f>BF25-BF24</f>
        <v>0</v>
      </c>
      <c r="BI25" s="4"/>
      <c r="BK25" s="178">
        <v>1</v>
      </c>
      <c r="BL25" s="182">
        <f>IDF_1!CG190</f>
        <v>0.5066010218099557</v>
      </c>
      <c r="BM25" s="179">
        <f>BM24+BL25</f>
        <v>0.5066010218099557</v>
      </c>
      <c r="BN25" s="180">
        <f>IF(BM25&lt;$BK$19,BM25,$BK$19)</f>
        <v>0.5066010218099557</v>
      </c>
      <c r="BO25" s="181">
        <f>($BK$16*(BM25-BN25))/(BM25-BN25+$BK$16)</f>
        <v>0</v>
      </c>
      <c r="BP25" s="182">
        <f>BM25-BN25-BO25</f>
        <v>0</v>
      </c>
      <c r="BQ25" s="181">
        <f>BP25-BP24</f>
        <v>0</v>
      </c>
      <c r="BS25" s="4"/>
      <c r="BU25" s="178">
        <v>1</v>
      </c>
      <c r="BV25" s="182">
        <f>IDF_1!CH190</f>
        <v>0.55958362690595509</v>
      </c>
      <c r="BW25" s="179">
        <f>BW24+BV25</f>
        <v>0.55958362690595509</v>
      </c>
      <c r="BX25" s="180">
        <f>IF(BW25&lt;$BU$19,BW25,$BU$19)</f>
        <v>0.55958362690595509</v>
      </c>
      <c r="BY25" s="181">
        <f>($BU$16*(BW25-BX25))/(BW25-BX25+$BU$16)</f>
        <v>0</v>
      </c>
      <c r="BZ25" s="182">
        <f>BW25-BX25-BY25</f>
        <v>0</v>
      </c>
      <c r="CA25" s="181">
        <f>BZ25-BZ24</f>
        <v>0</v>
      </c>
      <c r="CC25" s="4"/>
    </row>
    <row r="26" spans="2:81" ht="12" customHeight="1" x14ac:dyDescent="0.3">
      <c r="C26" s="178">
        <v>2</v>
      </c>
      <c r="D26" s="182">
        <f>IDF_1!CA191</f>
        <v>0.23846064879310147</v>
      </c>
      <c r="E26" s="179">
        <f>E25+D26</f>
        <v>0.47692129758620294</v>
      </c>
      <c r="F26" s="180">
        <f t="shared" ref="F26:F48" si="0">IF(E26&lt;$C$19,E26,$C$19)</f>
        <v>0.47692129758620294</v>
      </c>
      <c r="G26" s="181">
        <f t="shared" ref="G26:G48" si="1">($C$16*(E26-F26))/(E26-F26+$C$16)</f>
        <v>0</v>
      </c>
      <c r="H26" s="182">
        <f t="shared" ref="H26:H48" si="2">E26-F26-G26</f>
        <v>0</v>
      </c>
      <c r="I26" s="181">
        <f t="shared" ref="I26:I48" si="3">H26-H25</f>
        <v>0</v>
      </c>
      <c r="K26" s="4"/>
      <c r="M26" s="178">
        <v>2</v>
      </c>
      <c r="N26" s="182">
        <f>IDF_1!CB191</f>
        <v>0.31913339074045188</v>
      </c>
      <c r="O26" s="179">
        <f>O25+N26</f>
        <v>0.63826678148090377</v>
      </c>
      <c r="P26" s="180">
        <f t="shared" ref="P26:P48" si="4">IF(O26&lt;$M$19,O26,$M$19)</f>
        <v>0.63826678148090377</v>
      </c>
      <c r="Q26" s="181">
        <f t="shared" ref="Q26:Q48" si="5">($M$16*(O26-P26))/(O26-P26+$M$16)</f>
        <v>0</v>
      </c>
      <c r="R26" s="182">
        <f t="shared" ref="R26:R48" si="6">O26-P26-Q26</f>
        <v>0</v>
      </c>
      <c r="S26" s="181">
        <f t="shared" ref="S26:S48" si="7">R26-R25</f>
        <v>0</v>
      </c>
      <c r="U26" s="4"/>
      <c r="W26" s="178">
        <v>2</v>
      </c>
      <c r="X26" s="182">
        <f>IDF_1!CC191</f>
        <v>0.36552412290424929</v>
      </c>
      <c r="Y26" s="179">
        <f>Y25+X26</f>
        <v>0.73104824580849859</v>
      </c>
      <c r="Z26" s="180">
        <f t="shared" ref="Z26:Z48" si="8">IF(Y26&lt;$W$19,Y26,$W$19)</f>
        <v>0.73104824580849859</v>
      </c>
      <c r="AA26" s="181">
        <f t="shared" ref="AA26:AA48" si="9">($W$16*(Y26-Z26))/(Y26-Z26+$W$16)</f>
        <v>0</v>
      </c>
      <c r="AB26" s="182">
        <f t="shared" ref="AB26:AB48" si="10">Y26-Z26-AA26</f>
        <v>0</v>
      </c>
      <c r="AC26" s="181">
        <f t="shared" ref="AC26:AC48" si="11">AB26-AB25</f>
        <v>0</v>
      </c>
      <c r="AE26" s="4"/>
      <c r="AG26" s="178">
        <v>2</v>
      </c>
      <c r="AH26" s="182">
        <f>IDF_1!CD191</f>
        <v>0.40607596877232516</v>
      </c>
      <c r="AI26" s="179">
        <f>AI25+AH26</f>
        <v>0.81215193754465032</v>
      </c>
      <c r="AJ26" s="180">
        <f t="shared" ref="AJ26:AJ48" si="12">IF(AI26&lt;$AG$19,AI26,$AG$19)</f>
        <v>0.81215193754465032</v>
      </c>
      <c r="AK26" s="181">
        <f t="shared" ref="AK26:AK48" si="13">($AG$16*(AI26-AJ26))/(AI26-AJ26+$AG$16)</f>
        <v>0</v>
      </c>
      <c r="AL26" s="182">
        <f t="shared" ref="AL26:AL48" si="14">AI26-AJ26-AK26</f>
        <v>0</v>
      </c>
      <c r="AM26" s="181">
        <f t="shared" ref="AM26:AM48" si="15">AL26-AL25</f>
        <v>0</v>
      </c>
      <c r="AO26" s="4"/>
      <c r="AQ26" s="178">
        <v>2</v>
      </c>
      <c r="AR26" s="182">
        <f>IDF_1!CE191</f>
        <v>0.45420896281492612</v>
      </c>
      <c r="AS26" s="179">
        <f>AS25+AR26</f>
        <v>0.90841792562985224</v>
      </c>
      <c r="AT26" s="180">
        <f t="shared" ref="AT26:AT48" si="16">IF(AS26&lt;$AQ$19,AS26,$AQ$19)</f>
        <v>0.90841792562985224</v>
      </c>
      <c r="AU26" s="181">
        <f t="shared" ref="AU26:AU48" si="17">($AQ$16*(AS26-AT26))/(AS26-AT26+$AQ$16)</f>
        <v>0</v>
      </c>
      <c r="AV26" s="182">
        <f t="shared" ref="AV26:AV48" si="18">AS26-AT26-AU26</f>
        <v>0</v>
      </c>
      <c r="AW26" s="181">
        <f t="shared" ref="AW26:AW48" si="19">AV26-AV25</f>
        <v>0</v>
      </c>
      <c r="AY26" s="4"/>
      <c r="BA26" s="178">
        <v>2</v>
      </c>
      <c r="BB26" s="182">
        <f>IDF_1!CF191</f>
        <v>0.48780024657203774</v>
      </c>
      <c r="BC26" s="179">
        <f>BC25+BB26</f>
        <v>0.97560049314407549</v>
      </c>
      <c r="BD26" s="180">
        <f t="shared" ref="BD26:BD48" si="20">IF(BC26&lt;$BA$19,BC26,$BA$19)</f>
        <v>0.97560049314407549</v>
      </c>
      <c r="BE26" s="181">
        <f t="shared" ref="BE26:BE48" si="21">($BA$16*(BC26-BD26))/(BC26-BD26+$BA$16)</f>
        <v>0</v>
      </c>
      <c r="BF26" s="182">
        <f t="shared" ref="BF26:BF48" si="22">BC26-BD26-BE26</f>
        <v>0</v>
      </c>
      <c r="BG26" s="181">
        <f t="shared" ref="BG26:BG48" si="23">BF26-BF25</f>
        <v>0</v>
      </c>
      <c r="BI26" s="4"/>
      <c r="BK26" s="178">
        <v>2</v>
      </c>
      <c r="BL26" s="182">
        <f>IDF_1!CG191</f>
        <v>0.5066010218099557</v>
      </c>
      <c r="BM26" s="179">
        <f>BM25+BL26</f>
        <v>1.0132020436199114</v>
      </c>
      <c r="BN26" s="180">
        <f t="shared" ref="BN26:BN48" si="24">IF(BM26&lt;$BK$19,BM26,$BK$19)</f>
        <v>1.0132020436199114</v>
      </c>
      <c r="BO26" s="181">
        <f t="shared" ref="BO26:BO48" si="25">($BK$16*(BM26-BN26))/(BM26-BN26+$BK$16)</f>
        <v>0</v>
      </c>
      <c r="BP26" s="182">
        <f t="shared" ref="BP26:BP48" si="26">BM26-BN26-BO26</f>
        <v>0</v>
      </c>
      <c r="BQ26" s="181">
        <f t="shared" ref="BQ26:BQ48" si="27">BP26-BP25</f>
        <v>0</v>
      </c>
      <c r="BS26" s="4"/>
      <c r="BU26" s="178">
        <v>2</v>
      </c>
      <c r="BV26" s="182">
        <f>IDF_1!CH191</f>
        <v>0.55958362690595509</v>
      </c>
      <c r="BW26" s="179">
        <f>BW25+BV26</f>
        <v>1.1191672538119102</v>
      </c>
      <c r="BX26" s="180">
        <f t="shared" ref="BX26:BX48" si="28">IF(BW26&lt;$BU$19,BW26,$BU$19)</f>
        <v>1.1191672538119102</v>
      </c>
      <c r="BY26" s="181">
        <f t="shared" ref="BY26:BY48" si="29">($BU$16*(BW26-BX26))/(BW26-BX26+$BU$16)</f>
        <v>0</v>
      </c>
      <c r="BZ26" s="182">
        <f t="shared" ref="BZ26:BZ48" si="30">BW26-BX26-BY26</f>
        <v>0</v>
      </c>
      <c r="CA26" s="181">
        <f t="shared" ref="CA26:CA48" si="31">BZ26-BZ25</f>
        <v>0</v>
      </c>
      <c r="CC26" s="4"/>
    </row>
    <row r="27" spans="2:81" ht="12" customHeight="1" x14ac:dyDescent="0.3">
      <c r="C27" s="178">
        <v>3</v>
      </c>
      <c r="D27" s="182">
        <f>IDF_1!CA192</f>
        <v>0.2818171303918473</v>
      </c>
      <c r="E27" s="179">
        <f t="shared" ref="E27:E48" si="32">E26+D27</f>
        <v>0.75873842797805024</v>
      </c>
      <c r="F27" s="180">
        <f t="shared" si="0"/>
        <v>0.75873842797805024</v>
      </c>
      <c r="G27" s="181">
        <f t="shared" si="1"/>
        <v>0</v>
      </c>
      <c r="H27" s="182">
        <f t="shared" si="2"/>
        <v>0</v>
      </c>
      <c r="I27" s="181">
        <f t="shared" si="3"/>
        <v>0</v>
      </c>
      <c r="K27" s="4"/>
      <c r="M27" s="178">
        <v>3</v>
      </c>
      <c r="N27" s="182">
        <f>IDF_1!CB192</f>
        <v>0.37715764360235249</v>
      </c>
      <c r="O27" s="179">
        <f t="shared" ref="O27:O48" si="33">O26+N27</f>
        <v>1.0154244250832563</v>
      </c>
      <c r="P27" s="180">
        <f t="shared" si="4"/>
        <v>1.0154244250832563</v>
      </c>
      <c r="Q27" s="181">
        <f t="shared" si="5"/>
        <v>0</v>
      </c>
      <c r="R27" s="182">
        <f t="shared" si="6"/>
        <v>0</v>
      </c>
      <c r="S27" s="181">
        <f t="shared" si="7"/>
        <v>0</v>
      </c>
      <c r="U27" s="4"/>
      <c r="W27" s="178">
        <v>3</v>
      </c>
      <c r="X27" s="182">
        <f>IDF_1!CC192</f>
        <v>0.43198305434138584</v>
      </c>
      <c r="Y27" s="179">
        <f t="shared" ref="Y27:Y48" si="34">Y26+X27</f>
        <v>1.1630313001498844</v>
      </c>
      <c r="Z27" s="180">
        <f t="shared" si="8"/>
        <v>1.1630313001498844</v>
      </c>
      <c r="AA27" s="181">
        <f t="shared" si="9"/>
        <v>0</v>
      </c>
      <c r="AB27" s="182">
        <f t="shared" si="10"/>
        <v>0</v>
      </c>
      <c r="AC27" s="181">
        <f t="shared" si="11"/>
        <v>0</v>
      </c>
      <c r="AE27" s="4"/>
      <c r="AG27" s="178">
        <v>3</v>
      </c>
      <c r="AH27" s="182">
        <f>IDF_1!CD192</f>
        <v>0.47990796309456629</v>
      </c>
      <c r="AI27" s="179">
        <f t="shared" ref="AI27:AI48" si="35">AI26+AH27</f>
        <v>1.2920599006392166</v>
      </c>
      <c r="AJ27" s="180">
        <f t="shared" si="12"/>
        <v>1.2920599006392166</v>
      </c>
      <c r="AK27" s="181">
        <f t="shared" si="13"/>
        <v>0</v>
      </c>
      <c r="AL27" s="182">
        <f t="shared" si="14"/>
        <v>0</v>
      </c>
      <c r="AM27" s="181">
        <f t="shared" si="15"/>
        <v>0</v>
      </c>
      <c r="AO27" s="4"/>
      <c r="AQ27" s="178">
        <v>3</v>
      </c>
      <c r="AR27" s="182">
        <f>IDF_1!CE192</f>
        <v>0.53679241059945826</v>
      </c>
      <c r="AS27" s="179">
        <f t="shared" ref="AS27:AS48" si="36">AS26+AR27</f>
        <v>1.4452103362293105</v>
      </c>
      <c r="AT27" s="180">
        <f t="shared" si="16"/>
        <v>1.4452103362293105</v>
      </c>
      <c r="AU27" s="181">
        <f t="shared" si="17"/>
        <v>0</v>
      </c>
      <c r="AV27" s="182">
        <f t="shared" si="18"/>
        <v>0</v>
      </c>
      <c r="AW27" s="181">
        <f t="shared" si="19"/>
        <v>0</v>
      </c>
      <c r="AY27" s="4"/>
      <c r="BA27" s="178">
        <v>3</v>
      </c>
      <c r="BB27" s="182">
        <f>IDF_1!CF192</f>
        <v>0.57649120049422653</v>
      </c>
      <c r="BC27" s="179">
        <f t="shared" ref="BC27:BC48" si="37">BC26+BB27</f>
        <v>1.552091693638302</v>
      </c>
      <c r="BD27" s="180">
        <f t="shared" si="20"/>
        <v>1.552091693638302</v>
      </c>
      <c r="BE27" s="181">
        <f t="shared" si="21"/>
        <v>0</v>
      </c>
      <c r="BF27" s="182">
        <f t="shared" si="22"/>
        <v>0</v>
      </c>
      <c r="BG27" s="181">
        <f t="shared" si="23"/>
        <v>0</v>
      </c>
      <c r="BI27" s="4"/>
      <c r="BK27" s="178">
        <v>3</v>
      </c>
      <c r="BL27" s="182">
        <f>IDF_1!CG192</f>
        <v>0.5987102985026751</v>
      </c>
      <c r="BM27" s="179">
        <f t="shared" ref="BM27:BM48" si="38">BM26+BL27</f>
        <v>1.6119123421225865</v>
      </c>
      <c r="BN27" s="180">
        <f t="shared" si="24"/>
        <v>1.6119123421225865</v>
      </c>
      <c r="BO27" s="181">
        <f t="shared" si="25"/>
        <v>0</v>
      </c>
      <c r="BP27" s="182">
        <f t="shared" si="26"/>
        <v>0</v>
      </c>
      <c r="BQ27" s="181">
        <f t="shared" si="27"/>
        <v>0</v>
      </c>
      <c r="BS27" s="4"/>
      <c r="BU27" s="178">
        <v>3</v>
      </c>
      <c r="BV27" s="182">
        <f>IDF_1!CH192</f>
        <v>0.66132610452522012</v>
      </c>
      <c r="BW27" s="179">
        <f t="shared" ref="BW27:BW48" si="39">BW26+BV27</f>
        <v>1.7804933583371303</v>
      </c>
      <c r="BX27" s="180">
        <f t="shared" si="28"/>
        <v>1.7804933583371303</v>
      </c>
      <c r="BY27" s="181">
        <f t="shared" si="29"/>
        <v>0</v>
      </c>
      <c r="BZ27" s="182">
        <f t="shared" si="30"/>
        <v>0</v>
      </c>
      <c r="CA27" s="181">
        <f t="shared" si="31"/>
        <v>0</v>
      </c>
      <c r="CC27" s="4"/>
    </row>
    <row r="28" spans="2:81" ht="12" customHeight="1" x14ac:dyDescent="0.3">
      <c r="C28" s="178">
        <v>4</v>
      </c>
      <c r="D28" s="182">
        <f>IDF_1!CA193</f>
        <v>0.28181713039184708</v>
      </c>
      <c r="E28" s="179">
        <f t="shared" si="32"/>
        <v>1.0405555583698973</v>
      </c>
      <c r="F28" s="180">
        <f t="shared" si="0"/>
        <v>1.0405555583698973</v>
      </c>
      <c r="G28" s="181">
        <f t="shared" si="1"/>
        <v>0</v>
      </c>
      <c r="H28" s="182">
        <f t="shared" si="2"/>
        <v>0</v>
      </c>
      <c r="I28" s="181">
        <f t="shared" si="3"/>
        <v>0</v>
      </c>
      <c r="K28" s="4"/>
      <c r="M28" s="178">
        <v>4</v>
      </c>
      <c r="N28" s="182">
        <f>IDF_1!CB193</f>
        <v>0.37715764360235227</v>
      </c>
      <c r="O28" s="179">
        <f t="shared" si="33"/>
        <v>1.3925820686856085</v>
      </c>
      <c r="P28" s="180">
        <f t="shared" si="4"/>
        <v>1.3925820686856085</v>
      </c>
      <c r="Q28" s="181">
        <f t="shared" si="5"/>
        <v>0</v>
      </c>
      <c r="R28" s="182">
        <f t="shared" si="6"/>
        <v>0</v>
      </c>
      <c r="S28" s="181">
        <f t="shared" si="7"/>
        <v>0</v>
      </c>
      <c r="U28" s="4"/>
      <c r="W28" s="178">
        <v>4</v>
      </c>
      <c r="X28" s="182">
        <f>IDF_1!CC193</f>
        <v>0.4319830543413854</v>
      </c>
      <c r="Y28" s="179">
        <f t="shared" si="34"/>
        <v>1.5950143544912698</v>
      </c>
      <c r="Z28" s="180">
        <f t="shared" si="8"/>
        <v>1.5950143544912698</v>
      </c>
      <c r="AA28" s="181">
        <f t="shared" si="9"/>
        <v>0</v>
      </c>
      <c r="AB28" s="182">
        <f t="shared" si="10"/>
        <v>0</v>
      </c>
      <c r="AC28" s="181">
        <f t="shared" si="11"/>
        <v>0</v>
      </c>
      <c r="AE28" s="4"/>
      <c r="AG28" s="178">
        <v>4</v>
      </c>
      <c r="AH28" s="182">
        <f>IDF_1!CD193</f>
        <v>0.47990796309456618</v>
      </c>
      <c r="AI28" s="179">
        <f t="shared" si="35"/>
        <v>1.7719678637337828</v>
      </c>
      <c r="AJ28" s="180">
        <f t="shared" si="12"/>
        <v>1.7719678637337828</v>
      </c>
      <c r="AK28" s="181">
        <f t="shared" si="13"/>
        <v>0</v>
      </c>
      <c r="AL28" s="182">
        <f t="shared" si="14"/>
        <v>0</v>
      </c>
      <c r="AM28" s="181">
        <f t="shared" si="15"/>
        <v>0</v>
      </c>
      <c r="AO28" s="4"/>
      <c r="AQ28" s="178">
        <v>4</v>
      </c>
      <c r="AR28" s="182">
        <f>IDF_1!CE193</f>
        <v>0.53679241059945815</v>
      </c>
      <c r="AS28" s="179">
        <f t="shared" si="36"/>
        <v>1.9820027468287686</v>
      </c>
      <c r="AT28" s="180">
        <f t="shared" si="16"/>
        <v>1.9820027468287686</v>
      </c>
      <c r="AU28" s="181">
        <f t="shared" si="17"/>
        <v>0</v>
      </c>
      <c r="AV28" s="182">
        <f t="shared" si="18"/>
        <v>0</v>
      </c>
      <c r="AW28" s="181">
        <f t="shared" si="19"/>
        <v>0</v>
      </c>
      <c r="AY28" s="4"/>
      <c r="BA28" s="178">
        <v>4</v>
      </c>
      <c r="BB28" s="182">
        <f>IDF_1!CF193</f>
        <v>0.57649120049422664</v>
      </c>
      <c r="BC28" s="179">
        <f t="shared" si="37"/>
        <v>2.1285828941325287</v>
      </c>
      <c r="BD28" s="180">
        <f t="shared" si="20"/>
        <v>2.1285828941325287</v>
      </c>
      <c r="BE28" s="181">
        <f t="shared" si="21"/>
        <v>0</v>
      </c>
      <c r="BF28" s="182">
        <f t="shared" si="22"/>
        <v>0</v>
      </c>
      <c r="BG28" s="181">
        <f t="shared" si="23"/>
        <v>0</v>
      </c>
      <c r="BI28" s="4"/>
      <c r="BK28" s="178">
        <v>4</v>
      </c>
      <c r="BL28" s="182">
        <f>IDF_1!CG193</f>
        <v>0.59871029850267465</v>
      </c>
      <c r="BM28" s="179">
        <f t="shared" si="38"/>
        <v>2.2106226406252611</v>
      </c>
      <c r="BN28" s="180">
        <f t="shared" si="24"/>
        <v>2.2106226406252611</v>
      </c>
      <c r="BO28" s="181">
        <f t="shared" si="25"/>
        <v>0</v>
      </c>
      <c r="BP28" s="182">
        <f t="shared" si="26"/>
        <v>0</v>
      </c>
      <c r="BQ28" s="181">
        <f t="shared" si="27"/>
        <v>0</v>
      </c>
      <c r="BS28" s="4"/>
      <c r="BU28" s="178">
        <v>4</v>
      </c>
      <c r="BV28" s="182">
        <f>IDF_1!CH193</f>
        <v>0.66132610452521967</v>
      </c>
      <c r="BW28" s="179">
        <f t="shared" si="39"/>
        <v>2.44181946286235</v>
      </c>
      <c r="BX28" s="180">
        <f t="shared" si="28"/>
        <v>2.44181946286235</v>
      </c>
      <c r="BY28" s="181">
        <f t="shared" si="29"/>
        <v>0</v>
      </c>
      <c r="BZ28" s="182">
        <f t="shared" si="30"/>
        <v>0</v>
      </c>
      <c r="CA28" s="181">
        <f t="shared" si="31"/>
        <v>0</v>
      </c>
      <c r="CC28" s="4"/>
    </row>
    <row r="29" spans="2:81" ht="12" customHeight="1" x14ac:dyDescent="0.3">
      <c r="C29" s="178">
        <v>5</v>
      </c>
      <c r="D29" s="182">
        <f>IDF_1!CA194</f>
        <v>0.34685185278996578</v>
      </c>
      <c r="E29" s="179">
        <f t="shared" si="32"/>
        <v>1.3874074111598631</v>
      </c>
      <c r="F29" s="180">
        <f t="shared" si="0"/>
        <v>1.3874074111598631</v>
      </c>
      <c r="G29" s="181">
        <f t="shared" si="1"/>
        <v>0</v>
      </c>
      <c r="H29" s="182">
        <f t="shared" si="2"/>
        <v>0</v>
      </c>
      <c r="I29" s="181">
        <f t="shared" si="3"/>
        <v>0</v>
      </c>
      <c r="K29" s="4"/>
      <c r="M29" s="178">
        <v>5</v>
      </c>
      <c r="N29" s="182">
        <f>IDF_1!CB194</f>
        <v>0.46419402289520284</v>
      </c>
      <c r="O29" s="179">
        <f t="shared" si="33"/>
        <v>1.8567760915808114</v>
      </c>
      <c r="P29" s="180">
        <f t="shared" si="4"/>
        <v>1.8567760915808114</v>
      </c>
      <c r="Q29" s="181">
        <f t="shared" si="5"/>
        <v>0</v>
      </c>
      <c r="R29" s="182">
        <f t="shared" si="6"/>
        <v>0</v>
      </c>
      <c r="S29" s="181">
        <f t="shared" si="7"/>
        <v>0</v>
      </c>
      <c r="U29" s="4"/>
      <c r="W29" s="178">
        <v>5</v>
      </c>
      <c r="X29" s="182">
        <f>IDF_1!CC194</f>
        <v>0.53167145149708994</v>
      </c>
      <c r="Y29" s="179">
        <f t="shared" si="34"/>
        <v>2.1266858059883598</v>
      </c>
      <c r="Z29" s="180">
        <f t="shared" si="8"/>
        <v>2.1266858059883598</v>
      </c>
      <c r="AA29" s="181">
        <f t="shared" si="9"/>
        <v>0</v>
      </c>
      <c r="AB29" s="182">
        <f t="shared" si="10"/>
        <v>0</v>
      </c>
      <c r="AC29" s="181">
        <f t="shared" si="11"/>
        <v>0</v>
      </c>
      <c r="AE29" s="4"/>
      <c r="AG29" s="178">
        <v>5</v>
      </c>
      <c r="AH29" s="182">
        <f>IDF_1!CD194</f>
        <v>0.5906559545779273</v>
      </c>
      <c r="AI29" s="179">
        <f t="shared" si="35"/>
        <v>2.3626238183117101</v>
      </c>
      <c r="AJ29" s="180">
        <f t="shared" si="12"/>
        <v>2.3626238183117101</v>
      </c>
      <c r="AK29" s="181">
        <f t="shared" si="13"/>
        <v>0</v>
      </c>
      <c r="AL29" s="182">
        <f t="shared" si="14"/>
        <v>0</v>
      </c>
      <c r="AM29" s="181">
        <f t="shared" si="15"/>
        <v>0</v>
      </c>
      <c r="AO29" s="4"/>
      <c r="AQ29" s="178">
        <v>5</v>
      </c>
      <c r="AR29" s="182">
        <f>IDF_1!CE194</f>
        <v>0.66066758227625622</v>
      </c>
      <c r="AS29" s="179">
        <f t="shared" si="36"/>
        <v>2.6426703291050249</v>
      </c>
      <c r="AT29" s="180">
        <f t="shared" si="16"/>
        <v>2.6426703291050249</v>
      </c>
      <c r="AU29" s="181">
        <f t="shared" si="17"/>
        <v>0</v>
      </c>
      <c r="AV29" s="182">
        <f t="shared" si="18"/>
        <v>0</v>
      </c>
      <c r="AW29" s="181">
        <f t="shared" si="19"/>
        <v>0</v>
      </c>
      <c r="AY29" s="4"/>
      <c r="BA29" s="178">
        <v>5</v>
      </c>
      <c r="BB29" s="182">
        <f>IDF_1!CF194</f>
        <v>0.7095276313775094</v>
      </c>
      <c r="BC29" s="179">
        <f t="shared" si="37"/>
        <v>2.8381105255100381</v>
      </c>
      <c r="BD29" s="180">
        <f t="shared" si="20"/>
        <v>2.8381105255100381</v>
      </c>
      <c r="BE29" s="181">
        <f t="shared" si="21"/>
        <v>0</v>
      </c>
      <c r="BF29" s="182">
        <f t="shared" si="22"/>
        <v>0</v>
      </c>
      <c r="BG29" s="181">
        <f t="shared" si="23"/>
        <v>0</v>
      </c>
      <c r="BI29" s="4"/>
      <c r="BK29" s="178">
        <v>5</v>
      </c>
      <c r="BL29" s="182">
        <f>IDF_1!CG194</f>
        <v>0.73687421354175386</v>
      </c>
      <c r="BM29" s="179">
        <f t="shared" si="38"/>
        <v>2.947496854167015</v>
      </c>
      <c r="BN29" s="180">
        <f t="shared" si="24"/>
        <v>2.947496854167015</v>
      </c>
      <c r="BO29" s="181">
        <f t="shared" si="25"/>
        <v>0</v>
      </c>
      <c r="BP29" s="182">
        <f t="shared" si="26"/>
        <v>0</v>
      </c>
      <c r="BQ29" s="181">
        <f t="shared" si="27"/>
        <v>0</v>
      </c>
      <c r="BS29" s="4"/>
      <c r="BU29" s="178">
        <v>5</v>
      </c>
      <c r="BV29" s="182">
        <f>IDF_1!CH194</f>
        <v>0.81393982095411666</v>
      </c>
      <c r="BW29" s="179">
        <f t="shared" si="39"/>
        <v>3.2557592838164666</v>
      </c>
      <c r="BX29" s="180">
        <f t="shared" si="28"/>
        <v>3.2557592838164666</v>
      </c>
      <c r="BY29" s="181">
        <f t="shared" si="29"/>
        <v>0</v>
      </c>
      <c r="BZ29" s="182">
        <f t="shared" si="30"/>
        <v>0</v>
      </c>
      <c r="CA29" s="181">
        <f t="shared" si="31"/>
        <v>0</v>
      </c>
      <c r="CC29" s="4"/>
    </row>
    <row r="30" spans="2:81" ht="12" customHeight="1" x14ac:dyDescent="0.3">
      <c r="C30" s="178">
        <v>6</v>
      </c>
      <c r="D30" s="182">
        <f>IDF_1!CA195</f>
        <v>0.34685185278996578</v>
      </c>
      <c r="E30" s="179">
        <f t="shared" si="32"/>
        <v>1.7342592639498289</v>
      </c>
      <c r="F30" s="180">
        <f t="shared" si="0"/>
        <v>1.7342592639498289</v>
      </c>
      <c r="G30" s="181">
        <f t="shared" si="1"/>
        <v>0</v>
      </c>
      <c r="H30" s="182">
        <f t="shared" si="2"/>
        <v>0</v>
      </c>
      <c r="I30" s="181">
        <f t="shared" si="3"/>
        <v>0</v>
      </c>
      <c r="K30" s="4"/>
      <c r="M30" s="178">
        <v>6</v>
      </c>
      <c r="N30" s="182">
        <f>IDF_1!CB195</f>
        <v>0.46419402289520262</v>
      </c>
      <c r="O30" s="179">
        <f t="shared" si="33"/>
        <v>2.320970114476014</v>
      </c>
      <c r="P30" s="180">
        <f t="shared" si="4"/>
        <v>2.320970114476014</v>
      </c>
      <c r="Q30" s="181">
        <f t="shared" si="5"/>
        <v>0</v>
      </c>
      <c r="R30" s="182">
        <f t="shared" si="6"/>
        <v>0</v>
      </c>
      <c r="S30" s="181">
        <f t="shared" si="7"/>
        <v>0</v>
      </c>
      <c r="U30" s="4"/>
      <c r="W30" s="178">
        <v>6</v>
      </c>
      <c r="X30" s="182">
        <f>IDF_1!CC195</f>
        <v>0.53167145149709016</v>
      </c>
      <c r="Y30" s="179">
        <f t="shared" si="34"/>
        <v>2.6583572574854499</v>
      </c>
      <c r="Z30" s="180">
        <f t="shared" si="8"/>
        <v>2.6583572574854499</v>
      </c>
      <c r="AA30" s="181">
        <f t="shared" si="9"/>
        <v>0</v>
      </c>
      <c r="AB30" s="182">
        <f t="shared" si="10"/>
        <v>0</v>
      </c>
      <c r="AC30" s="181">
        <f t="shared" si="11"/>
        <v>0</v>
      </c>
      <c r="AE30" s="4"/>
      <c r="AG30" s="178">
        <v>6</v>
      </c>
      <c r="AH30" s="182">
        <f>IDF_1!CD195</f>
        <v>0.59065595457792774</v>
      </c>
      <c r="AI30" s="179">
        <f t="shared" si="35"/>
        <v>2.9532797728896378</v>
      </c>
      <c r="AJ30" s="180">
        <f t="shared" si="12"/>
        <v>2.9532797728896378</v>
      </c>
      <c r="AK30" s="181">
        <f t="shared" si="13"/>
        <v>0</v>
      </c>
      <c r="AL30" s="182">
        <f t="shared" si="14"/>
        <v>0</v>
      </c>
      <c r="AM30" s="181">
        <f t="shared" si="15"/>
        <v>0</v>
      </c>
      <c r="AO30" s="4"/>
      <c r="AQ30" s="178">
        <v>6</v>
      </c>
      <c r="AR30" s="182">
        <f>IDF_1!CE195</f>
        <v>0.66066758227625622</v>
      </c>
      <c r="AS30" s="179">
        <f t="shared" si="36"/>
        <v>3.3033379113812811</v>
      </c>
      <c r="AT30" s="180">
        <f t="shared" si="16"/>
        <v>3.3033379113812811</v>
      </c>
      <c r="AU30" s="181">
        <f t="shared" si="17"/>
        <v>0</v>
      </c>
      <c r="AV30" s="182">
        <f t="shared" si="18"/>
        <v>0</v>
      </c>
      <c r="AW30" s="181">
        <f t="shared" si="19"/>
        <v>0</v>
      </c>
      <c r="AY30" s="4"/>
      <c r="BA30" s="178">
        <v>6</v>
      </c>
      <c r="BB30" s="182">
        <f>IDF_1!CF195</f>
        <v>0.7095276313775094</v>
      </c>
      <c r="BC30" s="179">
        <f t="shared" si="37"/>
        <v>3.5476381568875475</v>
      </c>
      <c r="BD30" s="180">
        <f t="shared" si="20"/>
        <v>3.5476381568875475</v>
      </c>
      <c r="BE30" s="181">
        <f t="shared" si="21"/>
        <v>0</v>
      </c>
      <c r="BF30" s="182">
        <f t="shared" si="22"/>
        <v>0</v>
      </c>
      <c r="BG30" s="181">
        <f t="shared" si="23"/>
        <v>0</v>
      </c>
      <c r="BI30" s="4"/>
      <c r="BK30" s="178">
        <v>6</v>
      </c>
      <c r="BL30" s="182">
        <f>IDF_1!CG195</f>
        <v>0.73687421354175386</v>
      </c>
      <c r="BM30" s="179">
        <f t="shared" si="38"/>
        <v>3.6843710677087689</v>
      </c>
      <c r="BN30" s="180">
        <f t="shared" si="24"/>
        <v>3.6843710677087689</v>
      </c>
      <c r="BO30" s="181">
        <f t="shared" si="25"/>
        <v>0</v>
      </c>
      <c r="BP30" s="182">
        <f t="shared" si="26"/>
        <v>0</v>
      </c>
      <c r="BQ30" s="181">
        <f t="shared" si="27"/>
        <v>0</v>
      </c>
      <c r="BS30" s="4"/>
      <c r="BU30" s="178">
        <v>6</v>
      </c>
      <c r="BV30" s="182">
        <f>IDF_1!CH195</f>
        <v>0.81393982095411666</v>
      </c>
      <c r="BW30" s="179">
        <f t="shared" si="39"/>
        <v>4.0696991047705833</v>
      </c>
      <c r="BX30" s="180">
        <f t="shared" si="28"/>
        <v>4.0696991047705833</v>
      </c>
      <c r="BY30" s="181">
        <f t="shared" si="29"/>
        <v>0</v>
      </c>
      <c r="BZ30" s="182">
        <f t="shared" si="30"/>
        <v>0</v>
      </c>
      <c r="CA30" s="181">
        <f t="shared" si="31"/>
        <v>0</v>
      </c>
      <c r="CC30" s="4"/>
    </row>
    <row r="31" spans="2:81" ht="12" customHeight="1" x14ac:dyDescent="0.3">
      <c r="C31" s="178">
        <v>7</v>
      </c>
      <c r="D31" s="182">
        <f>IDF_1!CA196</f>
        <v>0.39020833438871172</v>
      </c>
      <c r="E31" s="179">
        <f t="shared" si="32"/>
        <v>2.1244675983385406</v>
      </c>
      <c r="F31" s="180">
        <f t="shared" si="0"/>
        <v>2.1244675983385406</v>
      </c>
      <c r="G31" s="181">
        <f t="shared" si="1"/>
        <v>0</v>
      </c>
      <c r="H31" s="182">
        <f t="shared" si="2"/>
        <v>0</v>
      </c>
      <c r="I31" s="181">
        <f t="shared" si="3"/>
        <v>0</v>
      </c>
      <c r="K31" s="4"/>
      <c r="M31" s="178">
        <v>7</v>
      </c>
      <c r="N31" s="182">
        <f>IDF_1!CB196</f>
        <v>0.52221827575710345</v>
      </c>
      <c r="O31" s="179">
        <f t="shared" si="33"/>
        <v>2.8431883902331174</v>
      </c>
      <c r="P31" s="180">
        <f t="shared" si="4"/>
        <v>2.8431883902331174</v>
      </c>
      <c r="Q31" s="181">
        <f t="shared" si="5"/>
        <v>0</v>
      </c>
      <c r="R31" s="182">
        <f t="shared" si="6"/>
        <v>0</v>
      </c>
      <c r="S31" s="181">
        <f t="shared" si="7"/>
        <v>0</v>
      </c>
      <c r="U31" s="4"/>
      <c r="W31" s="178">
        <v>7</v>
      </c>
      <c r="X31" s="182">
        <f>IDF_1!CC196</f>
        <v>0.59813038293422593</v>
      </c>
      <c r="Y31" s="179">
        <f t="shared" si="34"/>
        <v>3.2564876404196759</v>
      </c>
      <c r="Z31" s="180">
        <f t="shared" si="8"/>
        <v>3.2564876404196759</v>
      </c>
      <c r="AA31" s="181">
        <f t="shared" si="9"/>
        <v>0</v>
      </c>
      <c r="AB31" s="182">
        <f t="shared" si="10"/>
        <v>0</v>
      </c>
      <c r="AC31" s="181">
        <f t="shared" si="11"/>
        <v>0</v>
      </c>
      <c r="AE31" s="4"/>
      <c r="AG31" s="178">
        <v>7</v>
      </c>
      <c r="AH31" s="182">
        <f>IDF_1!CD196</f>
        <v>0.66448794890016849</v>
      </c>
      <c r="AI31" s="179">
        <f t="shared" si="35"/>
        <v>3.6177677217898063</v>
      </c>
      <c r="AJ31" s="180">
        <f t="shared" si="12"/>
        <v>3.6177677217898063</v>
      </c>
      <c r="AK31" s="181">
        <f t="shared" si="13"/>
        <v>0</v>
      </c>
      <c r="AL31" s="182">
        <f t="shared" si="14"/>
        <v>0</v>
      </c>
      <c r="AM31" s="181">
        <f t="shared" si="15"/>
        <v>0</v>
      </c>
      <c r="AO31" s="4"/>
      <c r="AQ31" s="178">
        <v>7</v>
      </c>
      <c r="AR31" s="182">
        <f>IDF_1!CE196</f>
        <v>0.74325103006078796</v>
      </c>
      <c r="AS31" s="179">
        <f t="shared" si="36"/>
        <v>4.046588941442069</v>
      </c>
      <c r="AT31" s="180">
        <f t="shared" si="16"/>
        <v>4.046588941442069</v>
      </c>
      <c r="AU31" s="181">
        <f t="shared" si="17"/>
        <v>0</v>
      </c>
      <c r="AV31" s="182">
        <f t="shared" si="18"/>
        <v>0</v>
      </c>
      <c r="AW31" s="181">
        <f t="shared" si="19"/>
        <v>0</v>
      </c>
      <c r="AY31" s="4"/>
      <c r="BA31" s="178">
        <v>7</v>
      </c>
      <c r="BB31" s="182">
        <f>IDF_1!CF196</f>
        <v>0.79821858529969791</v>
      </c>
      <c r="BC31" s="179">
        <f t="shared" si="37"/>
        <v>4.3458567421872454</v>
      </c>
      <c r="BD31" s="180">
        <f t="shared" si="20"/>
        <v>4.3458567421872454</v>
      </c>
      <c r="BE31" s="181">
        <f t="shared" si="21"/>
        <v>0</v>
      </c>
      <c r="BF31" s="182">
        <f t="shared" si="22"/>
        <v>0</v>
      </c>
      <c r="BG31" s="181">
        <f t="shared" si="23"/>
        <v>0</v>
      </c>
      <c r="BI31" s="4"/>
      <c r="BK31" s="178">
        <v>7</v>
      </c>
      <c r="BL31" s="182">
        <f>IDF_1!CG196</f>
        <v>0.82898349023447349</v>
      </c>
      <c r="BM31" s="179">
        <f t="shared" si="38"/>
        <v>4.5133545579432424</v>
      </c>
      <c r="BN31" s="180">
        <f t="shared" si="24"/>
        <v>4.5133545579432424</v>
      </c>
      <c r="BO31" s="181">
        <f t="shared" si="25"/>
        <v>0</v>
      </c>
      <c r="BP31" s="182">
        <f t="shared" si="26"/>
        <v>0</v>
      </c>
      <c r="BQ31" s="181">
        <f t="shared" si="27"/>
        <v>0</v>
      </c>
      <c r="BS31" s="4"/>
      <c r="BU31" s="178">
        <v>7</v>
      </c>
      <c r="BV31" s="182">
        <f>IDF_1!CH196</f>
        <v>0.91568229857338146</v>
      </c>
      <c r="BW31" s="179">
        <f t="shared" si="39"/>
        <v>4.9853814033439647</v>
      </c>
      <c r="BX31" s="180">
        <f t="shared" si="28"/>
        <v>4.9853814033439647</v>
      </c>
      <c r="BY31" s="181">
        <f t="shared" si="29"/>
        <v>0</v>
      </c>
      <c r="BZ31" s="182">
        <f t="shared" si="30"/>
        <v>0</v>
      </c>
      <c r="CA31" s="181">
        <f t="shared" si="31"/>
        <v>0</v>
      </c>
      <c r="CC31" s="4"/>
    </row>
    <row r="32" spans="2:81" ht="12" customHeight="1" x14ac:dyDescent="0.3">
      <c r="C32" s="178">
        <v>8</v>
      </c>
      <c r="D32" s="182">
        <f>IDF_1!CA197</f>
        <v>0.47692129758620272</v>
      </c>
      <c r="E32" s="179">
        <f t="shared" si="32"/>
        <v>2.6013888959247433</v>
      </c>
      <c r="F32" s="180">
        <f t="shared" si="0"/>
        <v>2.6013888959247433</v>
      </c>
      <c r="G32" s="181">
        <f t="shared" si="1"/>
        <v>0</v>
      </c>
      <c r="H32" s="182">
        <f t="shared" si="2"/>
        <v>0</v>
      </c>
      <c r="I32" s="181">
        <f t="shared" si="3"/>
        <v>0</v>
      </c>
      <c r="K32" s="4"/>
      <c r="M32" s="178">
        <v>8</v>
      </c>
      <c r="N32" s="182">
        <f>IDF_1!CB197</f>
        <v>0.63826678148090332</v>
      </c>
      <c r="O32" s="179">
        <f t="shared" si="33"/>
        <v>3.4814551717140207</v>
      </c>
      <c r="P32" s="180">
        <f t="shared" si="4"/>
        <v>3.4814551717140207</v>
      </c>
      <c r="Q32" s="181">
        <f t="shared" si="5"/>
        <v>0</v>
      </c>
      <c r="R32" s="182">
        <f t="shared" si="6"/>
        <v>0</v>
      </c>
      <c r="S32" s="181">
        <f t="shared" si="7"/>
        <v>0</v>
      </c>
      <c r="U32" s="4"/>
      <c r="W32" s="178">
        <v>8</v>
      </c>
      <c r="X32" s="182">
        <f>IDF_1!CC197</f>
        <v>0.73104824580849881</v>
      </c>
      <c r="Y32" s="179">
        <f t="shared" si="34"/>
        <v>3.9875358862281747</v>
      </c>
      <c r="Z32" s="180">
        <f t="shared" si="8"/>
        <v>3.9875358862281747</v>
      </c>
      <c r="AA32" s="181">
        <f t="shared" si="9"/>
        <v>0</v>
      </c>
      <c r="AB32" s="182">
        <f t="shared" si="10"/>
        <v>0</v>
      </c>
      <c r="AC32" s="181">
        <f t="shared" si="11"/>
        <v>0</v>
      </c>
      <c r="AE32" s="4"/>
      <c r="AG32" s="178">
        <v>8</v>
      </c>
      <c r="AH32" s="182">
        <f>IDF_1!CD197</f>
        <v>0.81215193754464998</v>
      </c>
      <c r="AI32" s="179">
        <f t="shared" si="35"/>
        <v>4.4299196593344563</v>
      </c>
      <c r="AJ32" s="180">
        <f t="shared" si="12"/>
        <v>4.4299196593344563</v>
      </c>
      <c r="AK32" s="181">
        <f t="shared" si="13"/>
        <v>0</v>
      </c>
      <c r="AL32" s="182">
        <f t="shared" si="14"/>
        <v>0</v>
      </c>
      <c r="AM32" s="181">
        <f t="shared" si="15"/>
        <v>0</v>
      </c>
      <c r="AO32" s="4"/>
      <c r="AQ32" s="178">
        <v>8</v>
      </c>
      <c r="AR32" s="182">
        <f>IDF_1!CE197</f>
        <v>0.9084179256298528</v>
      </c>
      <c r="AS32" s="179">
        <f t="shared" si="36"/>
        <v>4.9550068670719218</v>
      </c>
      <c r="AT32" s="180">
        <f t="shared" si="16"/>
        <v>4.9550068670719218</v>
      </c>
      <c r="AU32" s="181">
        <f t="shared" si="17"/>
        <v>0</v>
      </c>
      <c r="AV32" s="182">
        <f t="shared" si="18"/>
        <v>0</v>
      </c>
      <c r="AW32" s="181">
        <f t="shared" si="19"/>
        <v>0</v>
      </c>
      <c r="AY32" s="4"/>
      <c r="BA32" s="178">
        <v>8</v>
      </c>
      <c r="BB32" s="182">
        <f>IDF_1!CF197</f>
        <v>0.97560049314407582</v>
      </c>
      <c r="BC32" s="179">
        <f t="shared" si="37"/>
        <v>5.3214572353313212</v>
      </c>
      <c r="BD32" s="180">
        <f t="shared" si="20"/>
        <v>5.3214572353313212</v>
      </c>
      <c r="BE32" s="181">
        <f t="shared" si="21"/>
        <v>0</v>
      </c>
      <c r="BF32" s="182">
        <f t="shared" si="22"/>
        <v>0</v>
      </c>
      <c r="BG32" s="181">
        <f t="shared" si="23"/>
        <v>0</v>
      </c>
      <c r="BI32" s="4"/>
      <c r="BK32" s="178">
        <v>8</v>
      </c>
      <c r="BL32" s="182">
        <f>IDF_1!CG197</f>
        <v>1.013202043619911</v>
      </c>
      <c r="BM32" s="179">
        <f t="shared" si="38"/>
        <v>5.5265566015631533</v>
      </c>
      <c r="BN32" s="180">
        <f t="shared" si="24"/>
        <v>5.5265566015631533</v>
      </c>
      <c r="BO32" s="181">
        <f t="shared" si="25"/>
        <v>0</v>
      </c>
      <c r="BP32" s="182">
        <f t="shared" si="26"/>
        <v>0</v>
      </c>
      <c r="BQ32" s="181">
        <f t="shared" si="27"/>
        <v>0</v>
      </c>
      <c r="BS32" s="4"/>
      <c r="BU32" s="178">
        <v>8</v>
      </c>
      <c r="BV32" s="182">
        <f>IDF_1!CH197</f>
        <v>1.1191672538119093</v>
      </c>
      <c r="BW32" s="179">
        <f t="shared" si="39"/>
        <v>6.104548657155874</v>
      </c>
      <c r="BX32" s="180">
        <f t="shared" si="28"/>
        <v>6.104548657155874</v>
      </c>
      <c r="BY32" s="181">
        <f t="shared" si="29"/>
        <v>0</v>
      </c>
      <c r="BZ32" s="182">
        <f t="shared" si="30"/>
        <v>0</v>
      </c>
      <c r="CA32" s="181">
        <f t="shared" si="31"/>
        <v>0</v>
      </c>
      <c r="CC32" s="4"/>
    </row>
    <row r="33" spans="3:81" ht="12" customHeight="1" x14ac:dyDescent="0.3">
      <c r="C33" s="178">
        <v>9</v>
      </c>
      <c r="D33" s="182">
        <f>IDF_1!CA198</f>
        <v>0.58531250158306714</v>
      </c>
      <c r="E33" s="179">
        <f t="shared" si="32"/>
        <v>3.1867013975078105</v>
      </c>
      <c r="F33" s="180">
        <f t="shared" si="0"/>
        <v>3.1867013975078105</v>
      </c>
      <c r="G33" s="181">
        <f t="shared" si="1"/>
        <v>0</v>
      </c>
      <c r="H33" s="182">
        <f t="shared" si="2"/>
        <v>0</v>
      </c>
      <c r="I33" s="181">
        <f t="shared" si="3"/>
        <v>0</v>
      </c>
      <c r="K33" s="4"/>
      <c r="M33" s="178">
        <v>9</v>
      </c>
      <c r="N33" s="182">
        <f>IDF_1!CB198</f>
        <v>0.78332741363565495</v>
      </c>
      <c r="O33" s="179">
        <f t="shared" si="33"/>
        <v>4.2647825853496757</v>
      </c>
      <c r="P33" s="180">
        <f t="shared" si="4"/>
        <v>4.2647825853496757</v>
      </c>
      <c r="Q33" s="181">
        <f t="shared" si="5"/>
        <v>0</v>
      </c>
      <c r="R33" s="182">
        <f t="shared" si="6"/>
        <v>0</v>
      </c>
      <c r="S33" s="181">
        <f t="shared" si="7"/>
        <v>0</v>
      </c>
      <c r="U33" s="4"/>
      <c r="W33" s="178">
        <v>9</v>
      </c>
      <c r="X33" s="182">
        <f>IDF_1!CC198</f>
        <v>0.8971955744013389</v>
      </c>
      <c r="Y33" s="179">
        <f t="shared" si="34"/>
        <v>4.8847314606295136</v>
      </c>
      <c r="Z33" s="180">
        <f t="shared" si="8"/>
        <v>4.8847314606295136</v>
      </c>
      <c r="AA33" s="181">
        <f t="shared" si="9"/>
        <v>0</v>
      </c>
      <c r="AB33" s="182">
        <f t="shared" si="10"/>
        <v>0</v>
      </c>
      <c r="AC33" s="181">
        <f t="shared" si="11"/>
        <v>0</v>
      </c>
      <c r="AE33" s="4"/>
      <c r="AG33" s="178">
        <v>9</v>
      </c>
      <c r="AH33" s="182">
        <f>IDF_1!CD198</f>
        <v>0.99673192335025274</v>
      </c>
      <c r="AI33" s="179">
        <f t="shared" si="35"/>
        <v>5.426651582684709</v>
      </c>
      <c r="AJ33" s="180">
        <f t="shared" si="12"/>
        <v>5.426651582684709</v>
      </c>
      <c r="AK33" s="181">
        <f t="shared" si="13"/>
        <v>0</v>
      </c>
      <c r="AL33" s="182">
        <f t="shared" si="14"/>
        <v>0</v>
      </c>
      <c r="AM33" s="181">
        <f t="shared" si="15"/>
        <v>0</v>
      </c>
      <c r="AO33" s="4"/>
      <c r="AQ33" s="178">
        <v>9</v>
      </c>
      <c r="AR33" s="182">
        <f>IDF_1!CE198</f>
        <v>1.1148765450911817</v>
      </c>
      <c r="AS33" s="179">
        <f t="shared" si="36"/>
        <v>6.0698834121631036</v>
      </c>
      <c r="AT33" s="180">
        <f t="shared" si="16"/>
        <v>6.0698834121631036</v>
      </c>
      <c r="AU33" s="181">
        <f t="shared" si="17"/>
        <v>0</v>
      </c>
      <c r="AV33" s="182">
        <f t="shared" si="18"/>
        <v>0</v>
      </c>
      <c r="AW33" s="181">
        <f t="shared" si="19"/>
        <v>0</v>
      </c>
      <c r="AY33" s="4"/>
      <c r="BA33" s="178">
        <v>9</v>
      </c>
      <c r="BB33" s="182">
        <f>IDF_1!CF198</f>
        <v>1.1973278779495464</v>
      </c>
      <c r="BC33" s="179">
        <f t="shared" si="37"/>
        <v>6.5187851132808676</v>
      </c>
      <c r="BD33" s="180">
        <f t="shared" si="20"/>
        <v>6.5187851132808676</v>
      </c>
      <c r="BE33" s="181">
        <f t="shared" si="21"/>
        <v>0</v>
      </c>
      <c r="BF33" s="182">
        <f t="shared" si="22"/>
        <v>0</v>
      </c>
      <c r="BG33" s="181">
        <f t="shared" si="23"/>
        <v>0</v>
      </c>
      <c r="BI33" s="4"/>
      <c r="BK33" s="178">
        <v>9</v>
      </c>
      <c r="BL33" s="182">
        <f>IDF_1!CG198</f>
        <v>1.2434752353517089</v>
      </c>
      <c r="BM33" s="179">
        <f t="shared" si="38"/>
        <v>6.7700318369148622</v>
      </c>
      <c r="BN33" s="180">
        <f t="shared" si="24"/>
        <v>6.7700318369148622</v>
      </c>
      <c r="BO33" s="181">
        <f t="shared" si="25"/>
        <v>0</v>
      </c>
      <c r="BP33" s="182">
        <f t="shared" si="26"/>
        <v>0</v>
      </c>
      <c r="BQ33" s="181">
        <f t="shared" si="27"/>
        <v>0</v>
      </c>
      <c r="BS33" s="4"/>
      <c r="BU33" s="178">
        <v>9</v>
      </c>
      <c r="BV33" s="182">
        <f>IDF_1!CH198</f>
        <v>1.3735234478600722</v>
      </c>
      <c r="BW33" s="179">
        <f t="shared" si="39"/>
        <v>7.4780721050159462</v>
      </c>
      <c r="BX33" s="180">
        <f t="shared" si="28"/>
        <v>7.4780721050159462</v>
      </c>
      <c r="BY33" s="181">
        <f t="shared" si="29"/>
        <v>0</v>
      </c>
      <c r="BZ33" s="182">
        <f t="shared" si="30"/>
        <v>0</v>
      </c>
      <c r="CA33" s="181">
        <f t="shared" si="31"/>
        <v>0</v>
      </c>
      <c r="CC33" s="4"/>
    </row>
    <row r="34" spans="3:81" ht="12" customHeight="1" x14ac:dyDescent="0.3">
      <c r="C34" s="178">
        <v>10</v>
      </c>
      <c r="D34" s="182">
        <f>IDF_1!CA199</f>
        <v>0.7370601871786775</v>
      </c>
      <c r="E34" s="179">
        <f t="shared" si="32"/>
        <v>3.9237615846864879</v>
      </c>
      <c r="F34" s="180">
        <f t="shared" si="0"/>
        <v>3.9237615846864879</v>
      </c>
      <c r="G34" s="181">
        <f t="shared" si="1"/>
        <v>0</v>
      </c>
      <c r="H34" s="182">
        <f t="shared" si="2"/>
        <v>0</v>
      </c>
      <c r="I34" s="181">
        <f t="shared" si="3"/>
        <v>0</v>
      </c>
      <c r="K34" s="4"/>
      <c r="M34" s="178">
        <v>10</v>
      </c>
      <c r="N34" s="182">
        <f>IDF_1!CB199</f>
        <v>0.98641229865230606</v>
      </c>
      <c r="O34" s="179">
        <f t="shared" si="33"/>
        <v>5.2511948840019818</v>
      </c>
      <c r="P34" s="180">
        <f t="shared" si="4"/>
        <v>5.2511948840019818</v>
      </c>
      <c r="Q34" s="181">
        <f t="shared" si="5"/>
        <v>0</v>
      </c>
      <c r="R34" s="182">
        <f t="shared" si="6"/>
        <v>0</v>
      </c>
      <c r="S34" s="181">
        <f t="shared" si="7"/>
        <v>0</v>
      </c>
      <c r="U34" s="4"/>
      <c r="W34" s="178">
        <v>10</v>
      </c>
      <c r="X34" s="182">
        <f>IDF_1!CC199</f>
        <v>1.1298018344313165</v>
      </c>
      <c r="Y34" s="179">
        <f t="shared" si="34"/>
        <v>6.0145332950608301</v>
      </c>
      <c r="Z34" s="180">
        <f t="shared" si="8"/>
        <v>6.0145332950608301</v>
      </c>
      <c r="AA34" s="181">
        <f t="shared" si="9"/>
        <v>0</v>
      </c>
      <c r="AB34" s="182">
        <f t="shared" si="10"/>
        <v>0</v>
      </c>
      <c r="AC34" s="181">
        <f t="shared" si="11"/>
        <v>0</v>
      </c>
      <c r="AE34" s="4"/>
      <c r="AG34" s="178">
        <v>10</v>
      </c>
      <c r="AH34" s="182">
        <f>IDF_1!CD199</f>
        <v>1.2551439034780962</v>
      </c>
      <c r="AI34" s="179">
        <f t="shared" si="35"/>
        <v>6.6817954861628053</v>
      </c>
      <c r="AJ34" s="180">
        <f t="shared" si="12"/>
        <v>6.6817954861628053</v>
      </c>
      <c r="AK34" s="181">
        <f t="shared" si="13"/>
        <v>0</v>
      </c>
      <c r="AL34" s="182">
        <f t="shared" si="14"/>
        <v>0</v>
      </c>
      <c r="AM34" s="181">
        <f t="shared" si="15"/>
        <v>0</v>
      </c>
      <c r="AO34" s="4"/>
      <c r="AQ34" s="178">
        <v>10</v>
      </c>
      <c r="AR34" s="182">
        <f>IDF_1!CE199</f>
        <v>1.4039186123370442</v>
      </c>
      <c r="AS34" s="179">
        <f t="shared" si="36"/>
        <v>7.4738020245001477</v>
      </c>
      <c r="AT34" s="180">
        <f t="shared" si="16"/>
        <v>7.4738020245001477</v>
      </c>
      <c r="AU34" s="181">
        <f t="shared" si="17"/>
        <v>0</v>
      </c>
      <c r="AV34" s="182">
        <f t="shared" si="18"/>
        <v>0</v>
      </c>
      <c r="AW34" s="181">
        <f t="shared" si="19"/>
        <v>0</v>
      </c>
      <c r="AY34" s="4"/>
      <c r="BA34" s="178">
        <v>10</v>
      </c>
      <c r="BB34" s="182">
        <f>IDF_1!CF199</f>
        <v>1.5077462166772078</v>
      </c>
      <c r="BC34" s="179">
        <f t="shared" si="37"/>
        <v>8.0265313299580754</v>
      </c>
      <c r="BD34" s="180">
        <f t="shared" si="20"/>
        <v>8.0265313299580754</v>
      </c>
      <c r="BE34" s="181">
        <f t="shared" si="21"/>
        <v>0</v>
      </c>
      <c r="BF34" s="182">
        <f t="shared" si="22"/>
        <v>0</v>
      </c>
      <c r="BG34" s="181">
        <f t="shared" si="23"/>
        <v>0</v>
      </c>
      <c r="BI34" s="4"/>
      <c r="BK34" s="178">
        <v>10</v>
      </c>
      <c r="BL34" s="182">
        <f>IDF_1!CG199</f>
        <v>1.5658577037762278</v>
      </c>
      <c r="BM34" s="179">
        <f t="shared" si="38"/>
        <v>8.33588954069109</v>
      </c>
      <c r="BN34" s="180">
        <f t="shared" si="24"/>
        <v>8.269767441860461</v>
      </c>
      <c r="BO34" s="181">
        <f t="shared" si="25"/>
        <v>6.6016529924446149E-2</v>
      </c>
      <c r="BP34" s="182">
        <f t="shared" si="26"/>
        <v>1.0556890618287906E-4</v>
      </c>
      <c r="BQ34" s="181">
        <f t="shared" si="27"/>
        <v>1.0556890618287906E-4</v>
      </c>
      <c r="BS34" s="4"/>
      <c r="BU34" s="178">
        <v>10</v>
      </c>
      <c r="BV34" s="182">
        <f>IDF_1!CH199</f>
        <v>1.7296221195274972</v>
      </c>
      <c r="BW34" s="179">
        <f t="shared" si="39"/>
        <v>9.2076942245434434</v>
      </c>
      <c r="BX34" s="180">
        <f t="shared" si="28"/>
        <v>8.269767441860461</v>
      </c>
      <c r="BY34" s="181">
        <f t="shared" si="29"/>
        <v>0.91712342563630045</v>
      </c>
      <c r="BZ34" s="182">
        <f t="shared" si="30"/>
        <v>2.0803357046682014E-2</v>
      </c>
      <c r="CA34" s="181">
        <f t="shared" si="31"/>
        <v>2.0803357046682014E-2</v>
      </c>
      <c r="CC34" s="4"/>
    </row>
    <row r="35" spans="3:81" ht="12" customHeight="1" x14ac:dyDescent="0.3">
      <c r="C35" s="178">
        <v>11</v>
      </c>
      <c r="D35" s="182">
        <f>IDF_1!CA200</f>
        <v>1.1706250031661347</v>
      </c>
      <c r="E35" s="179">
        <f t="shared" si="32"/>
        <v>5.0943865878526227</v>
      </c>
      <c r="F35" s="180">
        <f t="shared" si="0"/>
        <v>5.0943865878526227</v>
      </c>
      <c r="G35" s="181">
        <f t="shared" si="1"/>
        <v>0</v>
      </c>
      <c r="H35" s="182">
        <f t="shared" si="2"/>
        <v>0</v>
      </c>
      <c r="I35" s="181">
        <f t="shared" si="3"/>
        <v>0</v>
      </c>
      <c r="K35" s="4"/>
      <c r="M35" s="178">
        <v>11</v>
      </c>
      <c r="N35" s="182">
        <f>IDF_1!CB200</f>
        <v>1.566654827271309</v>
      </c>
      <c r="O35" s="179">
        <f t="shared" si="33"/>
        <v>6.8178497112732908</v>
      </c>
      <c r="P35" s="180">
        <f t="shared" si="4"/>
        <v>6.8178497112732908</v>
      </c>
      <c r="Q35" s="181">
        <f t="shared" si="5"/>
        <v>0</v>
      </c>
      <c r="R35" s="182">
        <f t="shared" si="6"/>
        <v>0</v>
      </c>
      <c r="S35" s="181">
        <f t="shared" si="7"/>
        <v>0</v>
      </c>
      <c r="U35" s="4"/>
      <c r="W35" s="178">
        <v>11</v>
      </c>
      <c r="X35" s="182">
        <f>IDF_1!CC200</f>
        <v>1.7943911488026778</v>
      </c>
      <c r="Y35" s="179">
        <f t="shared" si="34"/>
        <v>7.8089244438635079</v>
      </c>
      <c r="Z35" s="180">
        <f t="shared" si="8"/>
        <v>7.8089244438635079</v>
      </c>
      <c r="AA35" s="181">
        <f t="shared" si="9"/>
        <v>0</v>
      </c>
      <c r="AB35" s="182">
        <f t="shared" si="10"/>
        <v>0</v>
      </c>
      <c r="AC35" s="181">
        <f t="shared" si="11"/>
        <v>0</v>
      </c>
      <c r="AE35" s="4"/>
      <c r="AG35" s="178">
        <v>11</v>
      </c>
      <c r="AH35" s="182">
        <f>IDF_1!CD200</f>
        <v>1.9934638467005055</v>
      </c>
      <c r="AI35" s="179">
        <f t="shared" si="35"/>
        <v>8.6752593328633107</v>
      </c>
      <c r="AJ35" s="180">
        <f t="shared" si="12"/>
        <v>8.269767441860461</v>
      </c>
      <c r="AK35" s="181">
        <f t="shared" si="13"/>
        <v>0.40155400774111472</v>
      </c>
      <c r="AL35" s="182">
        <f t="shared" si="14"/>
        <v>3.9378832617350534E-3</v>
      </c>
      <c r="AM35" s="181">
        <f t="shared" si="15"/>
        <v>3.9378832617350534E-3</v>
      </c>
      <c r="AO35" s="4"/>
      <c r="AQ35" s="178">
        <v>11</v>
      </c>
      <c r="AR35" s="182">
        <f>IDF_1!CE200</f>
        <v>2.2297530901823643</v>
      </c>
      <c r="AS35" s="179">
        <f t="shared" si="36"/>
        <v>9.7035551146825121</v>
      </c>
      <c r="AT35" s="180">
        <f t="shared" si="16"/>
        <v>8.269767441860461</v>
      </c>
      <c r="AU35" s="181">
        <f t="shared" si="17"/>
        <v>1.3857366919296792</v>
      </c>
      <c r="AV35" s="182">
        <f t="shared" si="18"/>
        <v>4.8050980892371919E-2</v>
      </c>
      <c r="AW35" s="181">
        <f t="shared" si="19"/>
        <v>4.8050980892371919E-2</v>
      </c>
      <c r="AY35" s="4"/>
      <c r="BA35" s="178">
        <v>11</v>
      </c>
      <c r="BB35" s="182">
        <f>IDF_1!CF200</f>
        <v>2.3946557558990946</v>
      </c>
      <c r="BC35" s="179">
        <f t="shared" si="37"/>
        <v>10.42118708585717</v>
      </c>
      <c r="BD35" s="180">
        <f t="shared" si="20"/>
        <v>8.269767441860461</v>
      </c>
      <c r="BE35" s="181">
        <f t="shared" si="21"/>
        <v>2.0450155255064546</v>
      </c>
      <c r="BF35" s="182">
        <f t="shared" si="22"/>
        <v>0.10640411849025444</v>
      </c>
      <c r="BG35" s="181">
        <f t="shared" si="23"/>
        <v>0.10640411849025444</v>
      </c>
      <c r="BI35" s="4"/>
      <c r="BK35" s="178">
        <v>11</v>
      </c>
      <c r="BL35" s="182">
        <f>IDF_1!CG200</f>
        <v>2.4869504707034178</v>
      </c>
      <c r="BM35" s="179">
        <f t="shared" si="38"/>
        <v>10.822840011394508</v>
      </c>
      <c r="BN35" s="180">
        <f t="shared" si="24"/>
        <v>8.269767441860461</v>
      </c>
      <c r="BO35" s="181">
        <f t="shared" si="25"/>
        <v>2.4046011345066489</v>
      </c>
      <c r="BP35" s="182">
        <f t="shared" si="26"/>
        <v>0.1484714350273979</v>
      </c>
      <c r="BQ35" s="181">
        <f t="shared" si="27"/>
        <v>0.14836586612121502</v>
      </c>
      <c r="BS35" s="4"/>
      <c r="BU35" s="178">
        <v>11</v>
      </c>
      <c r="BV35" s="182">
        <f>IDF_1!CH200</f>
        <v>2.7470468957201444</v>
      </c>
      <c r="BW35" s="179">
        <f t="shared" si="39"/>
        <v>11.954741120263588</v>
      </c>
      <c r="BX35" s="180">
        <f t="shared" si="28"/>
        <v>8.269767441860461</v>
      </c>
      <c r="BY35" s="181">
        <f t="shared" si="29"/>
        <v>3.3834439889796841</v>
      </c>
      <c r="BZ35" s="182">
        <f t="shared" si="30"/>
        <v>0.30152968942344271</v>
      </c>
      <c r="CA35" s="181">
        <f t="shared" si="31"/>
        <v>0.2807263323767607</v>
      </c>
      <c r="CC35" s="4"/>
    </row>
    <row r="36" spans="3:81" ht="12" customHeight="1" x14ac:dyDescent="0.3">
      <c r="C36" s="178">
        <v>12</v>
      </c>
      <c r="D36" s="182">
        <f>IDF_1!CA201</f>
        <v>9.2782870621315858</v>
      </c>
      <c r="E36" s="179">
        <f t="shared" si="32"/>
        <v>14.372673649984208</v>
      </c>
      <c r="F36" s="180">
        <f t="shared" si="0"/>
        <v>8.269767441860461</v>
      </c>
      <c r="G36" s="181">
        <f t="shared" si="1"/>
        <v>5.317993758068698</v>
      </c>
      <c r="H36" s="182">
        <f t="shared" si="2"/>
        <v>0.78491245005504862</v>
      </c>
      <c r="I36" s="181">
        <f t="shared" si="3"/>
        <v>0.78491245005504862</v>
      </c>
      <c r="K36" s="4"/>
      <c r="M36" s="178">
        <v>12</v>
      </c>
      <c r="N36" s="182">
        <f>IDF_1!CB201</f>
        <v>12.417190112446676</v>
      </c>
      <c r="O36" s="179">
        <f t="shared" si="33"/>
        <v>19.235039823719966</v>
      </c>
      <c r="P36" s="180">
        <f t="shared" si="4"/>
        <v>8.269767441860461</v>
      </c>
      <c r="Q36" s="181">
        <f t="shared" si="5"/>
        <v>8.6669020311447085</v>
      </c>
      <c r="R36" s="182">
        <f t="shared" si="6"/>
        <v>2.2983703507147961</v>
      </c>
      <c r="S36" s="181">
        <f t="shared" si="7"/>
        <v>2.2983703507147961</v>
      </c>
      <c r="U36" s="4"/>
      <c r="W36" s="178">
        <v>12</v>
      </c>
      <c r="X36" s="182">
        <f>IDF_1!CC201</f>
        <v>14.222211327547157</v>
      </c>
      <c r="Y36" s="179">
        <f t="shared" si="34"/>
        <v>22.031135771410664</v>
      </c>
      <c r="Z36" s="180">
        <f t="shared" si="8"/>
        <v>8.269767441860461</v>
      </c>
      <c r="AA36" s="181">
        <f t="shared" si="9"/>
        <v>10.325067258815883</v>
      </c>
      <c r="AB36" s="182">
        <f t="shared" si="10"/>
        <v>3.43630107073432</v>
      </c>
      <c r="AC36" s="181">
        <f t="shared" si="11"/>
        <v>3.43630107073432</v>
      </c>
      <c r="AE36" s="4"/>
      <c r="AG36" s="178">
        <v>12</v>
      </c>
      <c r="AH36" s="182">
        <f>IDF_1!CD201</f>
        <v>15.800046784959564</v>
      </c>
      <c r="AI36" s="179">
        <f t="shared" si="35"/>
        <v>24.475306117822875</v>
      </c>
      <c r="AJ36" s="180">
        <f t="shared" si="12"/>
        <v>8.269767441860461</v>
      </c>
      <c r="AK36" s="181">
        <f t="shared" si="13"/>
        <v>11.642558368406853</v>
      </c>
      <c r="AL36" s="182">
        <f t="shared" si="14"/>
        <v>4.5629803075555628</v>
      </c>
      <c r="AM36" s="181">
        <f t="shared" si="15"/>
        <v>4.5590424242938274</v>
      </c>
      <c r="AO36" s="4"/>
      <c r="AQ36" s="178">
        <v>12</v>
      </c>
      <c r="AR36" s="182">
        <f>IDF_1!CE201</f>
        <v>17.672857825889857</v>
      </c>
      <c r="AS36" s="179">
        <f t="shared" si="36"/>
        <v>27.376412940572369</v>
      </c>
      <c r="AT36" s="180">
        <f t="shared" si="16"/>
        <v>8.269767441860461</v>
      </c>
      <c r="AU36" s="181">
        <f t="shared" si="17"/>
        <v>13.068088103072194</v>
      </c>
      <c r="AV36" s="182">
        <f t="shared" si="18"/>
        <v>6.0385573956397121</v>
      </c>
      <c r="AW36" s="181">
        <f t="shared" si="19"/>
        <v>5.9905064147473404</v>
      </c>
      <c r="AY36" s="4"/>
      <c r="BA36" s="178">
        <v>12</v>
      </c>
      <c r="BB36" s="182">
        <f>IDF_1!CF201</f>
        <v>18.979864139348379</v>
      </c>
      <c r="BC36" s="179">
        <f t="shared" si="37"/>
        <v>29.401051225205549</v>
      </c>
      <c r="BD36" s="180">
        <f t="shared" si="20"/>
        <v>8.269767441860461</v>
      </c>
      <c r="BE36" s="181">
        <f t="shared" si="21"/>
        <v>13.984512182425647</v>
      </c>
      <c r="BF36" s="182">
        <f t="shared" si="22"/>
        <v>7.1467716009194433</v>
      </c>
      <c r="BG36" s="181">
        <f t="shared" si="23"/>
        <v>7.0403674824291889</v>
      </c>
      <c r="BI36" s="4"/>
      <c r="BK36" s="178">
        <v>12</v>
      </c>
      <c r="BL36" s="182">
        <f>IDF_1!CG201</f>
        <v>19.711385212241915</v>
      </c>
      <c r="BM36" s="179">
        <f t="shared" si="38"/>
        <v>30.534225223636422</v>
      </c>
      <c r="BN36" s="180">
        <f t="shared" si="24"/>
        <v>8.269767441860461</v>
      </c>
      <c r="BO36" s="181">
        <f t="shared" si="25"/>
        <v>14.471965970339268</v>
      </c>
      <c r="BP36" s="182">
        <f t="shared" si="26"/>
        <v>7.7924918114366921</v>
      </c>
      <c r="BQ36" s="181">
        <f t="shared" si="27"/>
        <v>7.6440203764092942</v>
      </c>
      <c r="BS36" s="4"/>
      <c r="BU36" s="178">
        <v>12</v>
      </c>
      <c r="BV36" s="182">
        <f>IDF_1!CH201</f>
        <v>21.772890210522622</v>
      </c>
      <c r="BW36" s="179">
        <f t="shared" si="39"/>
        <v>33.72763133078621</v>
      </c>
      <c r="BX36" s="180">
        <f t="shared" si="28"/>
        <v>8.269767441860461</v>
      </c>
      <c r="BY36" s="181">
        <f t="shared" si="29"/>
        <v>15.756698839118201</v>
      </c>
      <c r="BZ36" s="182">
        <f t="shared" si="30"/>
        <v>9.7011650498075497</v>
      </c>
      <c r="CA36" s="181">
        <f t="shared" si="31"/>
        <v>9.3996353603841065</v>
      </c>
      <c r="CC36" s="4"/>
    </row>
    <row r="37" spans="3:81" ht="12" customHeight="1" x14ac:dyDescent="0.3">
      <c r="C37" s="178">
        <v>13</v>
      </c>
      <c r="D37" s="182">
        <f>IDF_1!CA202</f>
        <v>2.3629282471316415</v>
      </c>
      <c r="E37" s="179">
        <f t="shared" si="32"/>
        <v>16.735601897115849</v>
      </c>
      <c r="F37" s="180">
        <f t="shared" si="0"/>
        <v>8.269767441860461</v>
      </c>
      <c r="G37" s="181">
        <f t="shared" si="1"/>
        <v>7.0270946095648759</v>
      </c>
      <c r="H37" s="182">
        <f t="shared" si="2"/>
        <v>1.4387398456905123</v>
      </c>
      <c r="I37" s="181">
        <f t="shared" si="3"/>
        <v>0.65382739563546366</v>
      </c>
      <c r="K37" s="4"/>
      <c r="M37" s="178">
        <v>13</v>
      </c>
      <c r="N37" s="182">
        <f>IDF_1!CB202</f>
        <v>3.1623217809735706</v>
      </c>
      <c r="O37" s="179">
        <f t="shared" si="33"/>
        <v>22.397361604693536</v>
      </c>
      <c r="P37" s="180">
        <f t="shared" si="4"/>
        <v>8.269767441860461</v>
      </c>
      <c r="Q37" s="181">
        <f t="shared" si="5"/>
        <v>10.529869653646919</v>
      </c>
      <c r="R37" s="182">
        <f t="shared" si="6"/>
        <v>3.5977245091861558</v>
      </c>
      <c r="S37" s="181">
        <f t="shared" si="7"/>
        <v>1.2993541584713597</v>
      </c>
      <c r="U37" s="4"/>
      <c r="W37" s="178">
        <v>13</v>
      </c>
      <c r="X37" s="182">
        <f>IDF_1!CC202</f>
        <v>3.6220117633239255</v>
      </c>
      <c r="Y37" s="179">
        <f t="shared" si="34"/>
        <v>25.65314753473459</v>
      </c>
      <c r="Z37" s="180">
        <f t="shared" si="8"/>
        <v>8.269767441860461</v>
      </c>
      <c r="AA37" s="181">
        <f t="shared" si="9"/>
        <v>12.238300997722469</v>
      </c>
      <c r="AB37" s="182">
        <f t="shared" si="10"/>
        <v>5.1450790951516581</v>
      </c>
      <c r="AC37" s="181">
        <f t="shared" si="11"/>
        <v>1.7087780244173381</v>
      </c>
      <c r="AE37" s="4"/>
      <c r="AG37" s="178">
        <v>13</v>
      </c>
      <c r="AH37" s="182">
        <f>IDF_1!CD202</f>
        <v>4.0238436905621313</v>
      </c>
      <c r="AI37" s="179">
        <f t="shared" si="35"/>
        <v>28.499149808385006</v>
      </c>
      <c r="AJ37" s="180">
        <f t="shared" si="12"/>
        <v>8.269767441860461</v>
      </c>
      <c r="AK37" s="181">
        <f t="shared" si="13"/>
        <v>13.583722362874477</v>
      </c>
      <c r="AL37" s="182">
        <f t="shared" si="14"/>
        <v>6.6456600036500699</v>
      </c>
      <c r="AM37" s="181">
        <f t="shared" si="15"/>
        <v>2.0826796960945071</v>
      </c>
      <c r="AO37" s="4"/>
      <c r="AQ37" s="178">
        <v>13</v>
      </c>
      <c r="AR37" s="182">
        <f>IDF_1!CE202</f>
        <v>4.500797904256995</v>
      </c>
      <c r="AS37" s="179">
        <f t="shared" si="36"/>
        <v>31.877210844829364</v>
      </c>
      <c r="AT37" s="180">
        <f t="shared" si="16"/>
        <v>8.269767441860461</v>
      </c>
      <c r="AU37" s="181">
        <f t="shared" si="17"/>
        <v>15.027651290932621</v>
      </c>
      <c r="AV37" s="182">
        <f t="shared" si="18"/>
        <v>8.5797921120362837</v>
      </c>
      <c r="AW37" s="181">
        <f t="shared" si="19"/>
        <v>2.5412347163965716</v>
      </c>
      <c r="AY37" s="4"/>
      <c r="BA37" s="178">
        <v>13</v>
      </c>
      <c r="BB37" s="182">
        <f>IDF_1!CF202</f>
        <v>4.8336569887592802</v>
      </c>
      <c r="BC37" s="179">
        <f t="shared" si="37"/>
        <v>34.234708213964829</v>
      </c>
      <c r="BD37" s="180">
        <f t="shared" si="20"/>
        <v>8.269767441860461</v>
      </c>
      <c r="BE37" s="181">
        <f t="shared" si="21"/>
        <v>15.949485251466255</v>
      </c>
      <c r="BF37" s="182">
        <f t="shared" si="22"/>
        <v>10.015455520638115</v>
      </c>
      <c r="BG37" s="181">
        <f t="shared" si="23"/>
        <v>2.8686839197186718</v>
      </c>
      <c r="BI37" s="4"/>
      <c r="BK37" s="178">
        <v>13</v>
      </c>
      <c r="BL37" s="182">
        <f>IDF_1!CG202</f>
        <v>5.0199555797531978</v>
      </c>
      <c r="BM37" s="179">
        <f t="shared" si="38"/>
        <v>35.55418080338962</v>
      </c>
      <c r="BN37" s="180">
        <f t="shared" si="24"/>
        <v>8.269767441860461</v>
      </c>
      <c r="BO37" s="181">
        <f t="shared" si="25"/>
        <v>16.437787181198264</v>
      </c>
      <c r="BP37" s="182">
        <f t="shared" si="26"/>
        <v>10.846626180330897</v>
      </c>
      <c r="BQ37" s="181">
        <f t="shared" si="27"/>
        <v>3.0541343688942053</v>
      </c>
      <c r="BS37" s="4"/>
      <c r="BU37" s="178">
        <v>13</v>
      </c>
      <c r="BV37" s="182">
        <f>IDF_1!CH202</f>
        <v>5.5449650302499194</v>
      </c>
      <c r="BW37" s="179">
        <f t="shared" si="39"/>
        <v>39.272596361036129</v>
      </c>
      <c r="BX37" s="180">
        <f t="shared" si="28"/>
        <v>8.269767441860461</v>
      </c>
      <c r="BY37" s="181">
        <f t="shared" si="29"/>
        <v>17.718056744269916</v>
      </c>
      <c r="BZ37" s="182">
        <f t="shared" si="30"/>
        <v>13.284772174905754</v>
      </c>
      <c r="CA37" s="181">
        <f t="shared" si="31"/>
        <v>3.5836071250982044</v>
      </c>
      <c r="CC37" s="4"/>
    </row>
    <row r="38" spans="3:81" ht="12" customHeight="1" x14ac:dyDescent="0.3">
      <c r="C38" s="178">
        <v>14</v>
      </c>
      <c r="D38" s="182">
        <f>IDF_1!CA203</f>
        <v>1.0405555583698956</v>
      </c>
      <c r="E38" s="179">
        <f t="shared" si="32"/>
        <v>17.776157455485745</v>
      </c>
      <c r="F38" s="180">
        <f t="shared" si="0"/>
        <v>8.269767441860461</v>
      </c>
      <c r="G38" s="181">
        <f t="shared" si="1"/>
        <v>7.7293563432219496</v>
      </c>
      <c r="H38" s="182">
        <f t="shared" si="2"/>
        <v>1.777033670403334</v>
      </c>
      <c r="I38" s="181">
        <f t="shared" si="3"/>
        <v>0.33829382471282177</v>
      </c>
      <c r="K38" s="4"/>
      <c r="M38" s="178">
        <v>14</v>
      </c>
      <c r="N38" s="182">
        <f>IDF_1!CB203</f>
        <v>1.3925820686856056</v>
      </c>
      <c r="O38" s="179">
        <f t="shared" si="33"/>
        <v>23.789943673379142</v>
      </c>
      <c r="P38" s="180">
        <f t="shared" si="4"/>
        <v>8.269767441860461</v>
      </c>
      <c r="Q38" s="181">
        <f t="shared" si="5"/>
        <v>11.284550260829782</v>
      </c>
      <c r="R38" s="182">
        <f t="shared" si="6"/>
        <v>4.2356259706888988</v>
      </c>
      <c r="S38" s="181">
        <f t="shared" si="7"/>
        <v>0.63790146150274296</v>
      </c>
      <c r="U38" s="4"/>
      <c r="W38" s="178">
        <v>14</v>
      </c>
      <c r="X38" s="182">
        <f>IDF_1!CC203</f>
        <v>1.5950143544912692</v>
      </c>
      <c r="Y38" s="179">
        <f t="shared" si="34"/>
        <v>27.248161889225859</v>
      </c>
      <c r="Z38" s="180">
        <f t="shared" si="8"/>
        <v>8.269767441860461</v>
      </c>
      <c r="AA38" s="181">
        <f t="shared" si="9"/>
        <v>13.007965407133105</v>
      </c>
      <c r="AB38" s="182">
        <f t="shared" si="10"/>
        <v>5.9704290402322915</v>
      </c>
      <c r="AC38" s="181">
        <f t="shared" si="11"/>
        <v>0.82534994508063342</v>
      </c>
      <c r="AE38" s="4"/>
      <c r="AG38" s="178">
        <v>14</v>
      </c>
      <c r="AH38" s="182">
        <f>IDF_1!CD203</f>
        <v>1.7719678637337779</v>
      </c>
      <c r="AI38" s="179">
        <f t="shared" si="35"/>
        <v>30.271117672118784</v>
      </c>
      <c r="AJ38" s="180">
        <f t="shared" si="12"/>
        <v>8.269767441860461</v>
      </c>
      <c r="AK38" s="181">
        <f t="shared" si="13"/>
        <v>14.36034028981725</v>
      </c>
      <c r="AL38" s="182">
        <f t="shared" si="14"/>
        <v>7.6410099404410747</v>
      </c>
      <c r="AM38" s="181">
        <f t="shared" si="15"/>
        <v>0.99534993679100481</v>
      </c>
      <c r="AO38" s="4"/>
      <c r="AQ38" s="178">
        <v>14</v>
      </c>
      <c r="AR38" s="182">
        <f>IDF_1!CE203</f>
        <v>1.982002746828762</v>
      </c>
      <c r="AS38" s="179">
        <f t="shared" si="36"/>
        <v>33.859213591658126</v>
      </c>
      <c r="AT38" s="180">
        <f t="shared" si="16"/>
        <v>8.269767441860461</v>
      </c>
      <c r="AU38" s="181">
        <f t="shared" si="17"/>
        <v>15.807005946774822</v>
      </c>
      <c r="AV38" s="182">
        <f t="shared" si="18"/>
        <v>9.7824402030228441</v>
      </c>
      <c r="AW38" s="181">
        <f t="shared" si="19"/>
        <v>1.2026480909865604</v>
      </c>
      <c r="AY38" s="4"/>
      <c r="BA38" s="178">
        <v>14</v>
      </c>
      <c r="BB38" s="182">
        <f>IDF_1!CF203</f>
        <v>2.1285828941325278</v>
      </c>
      <c r="BC38" s="179">
        <f t="shared" si="37"/>
        <v>36.363291108097357</v>
      </c>
      <c r="BD38" s="180">
        <f t="shared" si="20"/>
        <v>8.269767441860461</v>
      </c>
      <c r="BE38" s="181">
        <f t="shared" si="21"/>
        <v>16.728039226559364</v>
      </c>
      <c r="BF38" s="182">
        <f t="shared" si="22"/>
        <v>11.365484439677534</v>
      </c>
      <c r="BG38" s="181">
        <f t="shared" si="23"/>
        <v>1.3500289190394188</v>
      </c>
      <c r="BI38" s="4"/>
      <c r="BK38" s="178">
        <v>14</v>
      </c>
      <c r="BL38" s="182">
        <f>IDF_1!CG203</f>
        <v>2.2106226406252603</v>
      </c>
      <c r="BM38" s="179">
        <f t="shared" si="38"/>
        <v>37.764803444014881</v>
      </c>
      <c r="BN38" s="180">
        <f t="shared" si="24"/>
        <v>8.269767441860461</v>
      </c>
      <c r="BO38" s="181">
        <f t="shared" si="25"/>
        <v>17.215115250620784</v>
      </c>
      <c r="BP38" s="182">
        <f t="shared" si="26"/>
        <v>12.279920751533638</v>
      </c>
      <c r="BQ38" s="181">
        <f t="shared" si="27"/>
        <v>1.4332945712027403</v>
      </c>
      <c r="BS38" s="4"/>
      <c r="BU38" s="178">
        <v>14</v>
      </c>
      <c r="BV38" s="182">
        <f>IDF_1!CH203</f>
        <v>2.4418194628623482</v>
      </c>
      <c r="BW38" s="179">
        <f t="shared" si="39"/>
        <v>41.714415823898477</v>
      </c>
      <c r="BX38" s="180">
        <f t="shared" si="28"/>
        <v>8.269767441860461</v>
      </c>
      <c r="BY38" s="181">
        <f t="shared" si="29"/>
        <v>18.489542378425522</v>
      </c>
      <c r="BZ38" s="182">
        <f t="shared" si="30"/>
        <v>14.955106003612496</v>
      </c>
      <c r="CA38" s="181">
        <f t="shared" si="31"/>
        <v>1.6703338287067417</v>
      </c>
      <c r="CC38" s="4"/>
    </row>
    <row r="39" spans="3:81" ht="12" customHeight="1" x14ac:dyDescent="0.3">
      <c r="C39" s="178">
        <v>15</v>
      </c>
      <c r="D39" s="182">
        <f>IDF_1!CA204</f>
        <v>0.65034722398118916</v>
      </c>
      <c r="E39" s="179">
        <f t="shared" si="32"/>
        <v>18.426504679466934</v>
      </c>
      <c r="F39" s="180">
        <f t="shared" si="0"/>
        <v>8.269767441860461</v>
      </c>
      <c r="G39" s="181">
        <f t="shared" si="1"/>
        <v>8.1538606087841465</v>
      </c>
      <c r="H39" s="182">
        <f t="shared" si="2"/>
        <v>2.0028766288223263</v>
      </c>
      <c r="I39" s="181">
        <f t="shared" si="3"/>
        <v>0.22584295841899227</v>
      </c>
      <c r="K39" s="4"/>
      <c r="M39" s="178">
        <v>15</v>
      </c>
      <c r="N39" s="182">
        <f>IDF_1!CB204</f>
        <v>0.87036379292850796</v>
      </c>
      <c r="O39" s="179">
        <f t="shared" si="33"/>
        <v>24.66030746630765</v>
      </c>
      <c r="P39" s="180">
        <f t="shared" si="4"/>
        <v>8.269767441860461</v>
      </c>
      <c r="Q39" s="181">
        <f t="shared" si="5"/>
        <v>11.737739541244618</v>
      </c>
      <c r="R39" s="182">
        <f t="shared" si="6"/>
        <v>4.6528004832025722</v>
      </c>
      <c r="S39" s="181">
        <f t="shared" si="7"/>
        <v>0.41717451251367343</v>
      </c>
      <c r="U39" s="4"/>
      <c r="W39" s="178">
        <v>15</v>
      </c>
      <c r="X39" s="182">
        <f>IDF_1!CC204</f>
        <v>0.99688397155704322</v>
      </c>
      <c r="Y39" s="179">
        <f t="shared" si="34"/>
        <v>28.245045860782902</v>
      </c>
      <c r="Z39" s="180">
        <f t="shared" si="8"/>
        <v>8.269767441860461</v>
      </c>
      <c r="AA39" s="181">
        <f t="shared" si="9"/>
        <v>13.468674225354237</v>
      </c>
      <c r="AB39" s="182">
        <f t="shared" si="10"/>
        <v>6.5066041935682062</v>
      </c>
      <c r="AC39" s="181">
        <f t="shared" si="11"/>
        <v>0.5361751533359147</v>
      </c>
      <c r="AE39" s="4"/>
      <c r="AG39" s="178">
        <v>15</v>
      </c>
      <c r="AH39" s="182">
        <f>IDF_1!CD204</f>
        <v>1.1074799148336183</v>
      </c>
      <c r="AI39" s="179">
        <f t="shared" si="35"/>
        <v>31.378597586952402</v>
      </c>
      <c r="AJ39" s="180">
        <f t="shared" si="12"/>
        <v>8.269767441860461</v>
      </c>
      <c r="AK39" s="181">
        <f t="shared" si="13"/>
        <v>14.824043360323122</v>
      </c>
      <c r="AL39" s="182">
        <f t="shared" si="14"/>
        <v>8.284786784768821</v>
      </c>
      <c r="AM39" s="181">
        <f t="shared" si="15"/>
        <v>0.64377684432774629</v>
      </c>
      <c r="AO39" s="4"/>
      <c r="AQ39" s="178">
        <v>15</v>
      </c>
      <c r="AR39" s="182">
        <f>IDF_1!CE204</f>
        <v>1.238751716767986</v>
      </c>
      <c r="AS39" s="179">
        <f t="shared" si="36"/>
        <v>35.097965308426112</v>
      </c>
      <c r="AT39" s="180">
        <f t="shared" si="16"/>
        <v>8.269767441860461</v>
      </c>
      <c r="AU39" s="181">
        <f t="shared" si="17"/>
        <v>16.271091650863376</v>
      </c>
      <c r="AV39" s="182">
        <f t="shared" si="18"/>
        <v>10.557106215702277</v>
      </c>
      <c r="AW39" s="181">
        <f t="shared" si="19"/>
        <v>0.77466601267943247</v>
      </c>
      <c r="AY39" s="4"/>
      <c r="BA39" s="178">
        <v>15</v>
      </c>
      <c r="BB39" s="182">
        <f>IDF_1!CF204</f>
        <v>1.3303643088328343</v>
      </c>
      <c r="BC39" s="179">
        <f t="shared" si="37"/>
        <v>37.693655416930191</v>
      </c>
      <c r="BD39" s="180">
        <f t="shared" si="20"/>
        <v>8.269767441860461</v>
      </c>
      <c r="BE39" s="181">
        <f t="shared" si="21"/>
        <v>17.190853549533287</v>
      </c>
      <c r="BF39" s="182">
        <f t="shared" si="22"/>
        <v>12.233034425536445</v>
      </c>
      <c r="BG39" s="181">
        <f t="shared" si="23"/>
        <v>0.8675499858589113</v>
      </c>
      <c r="BH39" t="s">
        <v>583</v>
      </c>
      <c r="BI39" s="4"/>
      <c r="BK39" s="178">
        <v>15</v>
      </c>
      <c r="BL39" s="182">
        <f>IDF_1!CG204</f>
        <v>1.3816391503907894</v>
      </c>
      <c r="BM39" s="179">
        <f t="shared" si="38"/>
        <v>39.14644259440567</v>
      </c>
      <c r="BN39" s="180">
        <f t="shared" si="24"/>
        <v>8.269767441860461</v>
      </c>
      <c r="BO39" s="181">
        <f t="shared" si="25"/>
        <v>17.676781689699919</v>
      </c>
      <c r="BP39" s="182">
        <f t="shared" si="26"/>
        <v>13.199893462845292</v>
      </c>
      <c r="BQ39" s="181">
        <f t="shared" si="27"/>
        <v>0.91997271131165448</v>
      </c>
      <c r="BS39" s="4"/>
      <c r="BU39" s="178">
        <v>15</v>
      </c>
      <c r="BV39" s="182">
        <f>IDF_1!CH204</f>
        <v>1.5261371642889685</v>
      </c>
      <c r="BW39" s="179">
        <f t="shared" si="39"/>
        <v>43.240552988187446</v>
      </c>
      <c r="BX39" s="180">
        <f t="shared" si="28"/>
        <v>8.269767441860461</v>
      </c>
      <c r="BY39" s="181">
        <f t="shared" si="29"/>
        <v>18.946651810197007</v>
      </c>
      <c r="BZ39" s="182">
        <f t="shared" si="30"/>
        <v>16.024133736129979</v>
      </c>
      <c r="CA39" s="181">
        <f t="shared" si="31"/>
        <v>1.0690277325174833</v>
      </c>
      <c r="CC39" s="4"/>
    </row>
    <row r="40" spans="3:81" ht="12" customHeight="1" x14ac:dyDescent="0.3">
      <c r="C40" s="178">
        <v>16</v>
      </c>
      <c r="D40" s="182">
        <f>IDF_1!CA205</f>
        <v>0.65034722398118561</v>
      </c>
      <c r="E40" s="179">
        <f t="shared" si="32"/>
        <v>19.076851903448119</v>
      </c>
      <c r="F40" s="180">
        <f t="shared" si="0"/>
        <v>8.269767441860461</v>
      </c>
      <c r="G40" s="181">
        <f t="shared" si="1"/>
        <v>8.567778342200727</v>
      </c>
      <c r="H40" s="182">
        <f t="shared" si="2"/>
        <v>2.2393061193869315</v>
      </c>
      <c r="I40" s="181">
        <f t="shared" si="3"/>
        <v>0.23642949056460516</v>
      </c>
      <c r="K40" s="4"/>
      <c r="M40" s="178">
        <v>16</v>
      </c>
      <c r="N40" s="182">
        <f>IDF_1!CB205</f>
        <v>0.87036379292850441</v>
      </c>
      <c r="O40" s="179">
        <f t="shared" si="33"/>
        <v>25.530671259236154</v>
      </c>
      <c r="P40" s="180">
        <f t="shared" si="4"/>
        <v>8.269767441860461</v>
      </c>
      <c r="Q40" s="181">
        <f t="shared" si="5"/>
        <v>12.177468958704692</v>
      </c>
      <c r="R40" s="182">
        <f t="shared" si="6"/>
        <v>5.0834348586709996</v>
      </c>
      <c r="S40" s="181">
        <f t="shared" si="7"/>
        <v>0.43063437546842742</v>
      </c>
      <c r="U40" s="4"/>
      <c r="W40" s="178">
        <v>16</v>
      </c>
      <c r="X40" s="182">
        <f>IDF_1!CC205</f>
        <v>0.99688397155704678</v>
      </c>
      <c r="Y40" s="179">
        <f t="shared" si="34"/>
        <v>29.241929832339949</v>
      </c>
      <c r="Z40" s="180">
        <f t="shared" si="8"/>
        <v>8.269767441860461</v>
      </c>
      <c r="AA40" s="181">
        <f t="shared" si="9"/>
        <v>13.914644087544849</v>
      </c>
      <c r="AB40" s="182">
        <f t="shared" si="10"/>
        <v>7.0575183029346409</v>
      </c>
      <c r="AC40" s="181">
        <f t="shared" si="11"/>
        <v>0.5509141093664347</v>
      </c>
      <c r="AE40" s="4"/>
      <c r="AG40" s="178">
        <v>16</v>
      </c>
      <c r="AH40" s="182">
        <f>IDF_1!CD205</f>
        <v>1.1074799148336112</v>
      </c>
      <c r="AI40" s="179">
        <f t="shared" si="35"/>
        <v>32.486077501786013</v>
      </c>
      <c r="AJ40" s="180">
        <f t="shared" si="12"/>
        <v>8.269767441860461</v>
      </c>
      <c r="AK40" s="181">
        <f t="shared" si="13"/>
        <v>15.272081344775781</v>
      </c>
      <c r="AL40" s="182">
        <f t="shared" si="14"/>
        <v>8.944228715149773</v>
      </c>
      <c r="AM40" s="181">
        <f t="shared" si="15"/>
        <v>0.659441930380952</v>
      </c>
      <c r="AO40" s="4"/>
      <c r="AQ40" s="178">
        <v>16</v>
      </c>
      <c r="AR40" s="182">
        <f>IDF_1!CE205</f>
        <v>1.2387517167679789</v>
      </c>
      <c r="AS40" s="179">
        <f t="shared" si="36"/>
        <v>36.336717025194091</v>
      </c>
      <c r="AT40" s="180">
        <f t="shared" si="16"/>
        <v>8.269767441860461</v>
      </c>
      <c r="AU40" s="181">
        <f t="shared" si="17"/>
        <v>16.718613775131541</v>
      </c>
      <c r="AV40" s="182">
        <f t="shared" si="18"/>
        <v>11.348335808202091</v>
      </c>
      <c r="AW40" s="181">
        <f t="shared" si="19"/>
        <v>0.79122959249981406</v>
      </c>
      <c r="AY40" s="4"/>
      <c r="BA40" s="178">
        <v>16</v>
      </c>
      <c r="BB40" s="182">
        <f>IDF_1!CF205</f>
        <v>1.3303643088328272</v>
      </c>
      <c r="BC40" s="179">
        <f t="shared" si="37"/>
        <v>39.024019725763019</v>
      </c>
      <c r="BD40" s="180">
        <f t="shared" si="20"/>
        <v>8.269767441860461</v>
      </c>
      <c r="BE40" s="181">
        <f t="shared" si="21"/>
        <v>17.636589224110065</v>
      </c>
      <c r="BF40" s="182">
        <f t="shared" si="22"/>
        <v>13.117663059792495</v>
      </c>
      <c r="BG40" s="181">
        <f t="shared" si="23"/>
        <v>0.88462863425604965</v>
      </c>
      <c r="BI40" s="4"/>
      <c r="BK40" s="178">
        <v>16</v>
      </c>
      <c r="BL40" s="182">
        <f>IDF_1!CG205</f>
        <v>1.3816391503907894</v>
      </c>
      <c r="BM40" s="179">
        <f t="shared" si="38"/>
        <v>40.528081744796459</v>
      </c>
      <c r="BN40" s="180">
        <f t="shared" si="24"/>
        <v>8.269767441860461</v>
      </c>
      <c r="BO40" s="181">
        <f t="shared" si="25"/>
        <v>18.121116757749238</v>
      </c>
      <c r="BP40" s="182">
        <f t="shared" si="26"/>
        <v>14.137197545186762</v>
      </c>
      <c r="BQ40" s="181">
        <f t="shared" si="27"/>
        <v>0.93730408234146978</v>
      </c>
      <c r="BS40" s="4"/>
      <c r="BU40" s="178">
        <v>16</v>
      </c>
      <c r="BV40" s="182">
        <f>IDF_1!CH205</f>
        <v>1.5261371642889685</v>
      </c>
      <c r="BW40" s="179">
        <f t="shared" si="39"/>
        <v>44.766690152476414</v>
      </c>
      <c r="BX40" s="180">
        <f t="shared" si="28"/>
        <v>8.269767441860461</v>
      </c>
      <c r="BY40" s="181">
        <f t="shared" si="29"/>
        <v>19.385838321241888</v>
      </c>
      <c r="BZ40" s="182">
        <f t="shared" si="30"/>
        <v>17.111084389374067</v>
      </c>
      <c r="CA40" s="181">
        <f t="shared" si="31"/>
        <v>1.086950653244088</v>
      </c>
      <c r="CC40" s="4"/>
    </row>
    <row r="41" spans="3:81" ht="12" customHeight="1" x14ac:dyDescent="0.3">
      <c r="C41" s="178">
        <v>17</v>
      </c>
      <c r="D41" s="182">
        <f>IDF_1!CA206</f>
        <v>0.39020833438870994</v>
      </c>
      <c r="E41" s="179">
        <f t="shared" si="32"/>
        <v>19.467060237836829</v>
      </c>
      <c r="F41" s="180">
        <f t="shared" si="0"/>
        <v>8.269767441860461</v>
      </c>
      <c r="G41" s="181">
        <f t="shared" si="1"/>
        <v>8.8112109675671419</v>
      </c>
      <c r="H41" s="182">
        <f t="shared" si="2"/>
        <v>2.3860818284092264</v>
      </c>
      <c r="I41" s="181">
        <f t="shared" si="3"/>
        <v>0.14677570902229498</v>
      </c>
      <c r="K41" s="4"/>
      <c r="M41" s="178">
        <v>17</v>
      </c>
      <c r="N41" s="182">
        <f>IDF_1!CB206</f>
        <v>0.52221827575710478</v>
      </c>
      <c r="O41" s="179">
        <f t="shared" si="33"/>
        <v>26.052889534993259</v>
      </c>
      <c r="P41" s="180">
        <f t="shared" si="4"/>
        <v>8.269767441860461</v>
      </c>
      <c r="Q41" s="181">
        <f t="shared" si="5"/>
        <v>12.435093123522028</v>
      </c>
      <c r="R41" s="182">
        <f t="shared" si="6"/>
        <v>5.3480289696107679</v>
      </c>
      <c r="S41" s="181">
        <f t="shared" si="7"/>
        <v>0.26459411093976826</v>
      </c>
      <c r="U41" s="4"/>
      <c r="W41" s="178">
        <v>17</v>
      </c>
      <c r="X41" s="182">
        <f>IDF_1!CC206</f>
        <v>0.59813038293422593</v>
      </c>
      <c r="Y41" s="179">
        <f t="shared" si="34"/>
        <v>29.840060215274175</v>
      </c>
      <c r="Z41" s="180">
        <f t="shared" si="8"/>
        <v>8.269767441860461</v>
      </c>
      <c r="AA41" s="181">
        <f t="shared" si="9"/>
        <v>14.175442741975001</v>
      </c>
      <c r="AB41" s="182">
        <f t="shared" si="10"/>
        <v>7.3948500314387111</v>
      </c>
      <c r="AC41" s="181">
        <f t="shared" si="11"/>
        <v>0.33733172850407023</v>
      </c>
      <c r="AE41" s="4"/>
      <c r="AG41" s="178">
        <v>17</v>
      </c>
      <c r="AH41" s="182">
        <f>IDF_1!CD206</f>
        <v>0.66448794890017382</v>
      </c>
      <c r="AI41" s="179">
        <f t="shared" si="35"/>
        <v>33.150565450686187</v>
      </c>
      <c r="AJ41" s="180">
        <f t="shared" si="12"/>
        <v>8.269767441860461</v>
      </c>
      <c r="AK41" s="181">
        <f t="shared" si="13"/>
        <v>15.53371180614433</v>
      </c>
      <c r="AL41" s="182">
        <f t="shared" si="14"/>
        <v>9.3470862026813979</v>
      </c>
      <c r="AM41" s="181">
        <f t="shared" si="15"/>
        <v>0.40285748753162487</v>
      </c>
      <c r="AO41" s="4"/>
      <c r="AQ41" s="178">
        <v>17</v>
      </c>
      <c r="AR41" s="182">
        <f>IDF_1!CE206</f>
        <v>0.74325103006079019</v>
      </c>
      <c r="AS41" s="179">
        <f t="shared" si="36"/>
        <v>37.079968055254881</v>
      </c>
      <c r="AT41" s="180">
        <f t="shared" si="16"/>
        <v>8.269767441860461</v>
      </c>
      <c r="AU41" s="181">
        <f t="shared" si="17"/>
        <v>16.979541511688286</v>
      </c>
      <c r="AV41" s="182">
        <f t="shared" si="18"/>
        <v>11.830659101706136</v>
      </c>
      <c r="AW41" s="181">
        <f t="shared" si="19"/>
        <v>0.48232329350404513</v>
      </c>
      <c r="AY41" s="4"/>
      <c r="BA41" s="178">
        <v>17</v>
      </c>
      <c r="BB41" s="182">
        <f>IDF_1!CF206</f>
        <v>0.79821858529970058</v>
      </c>
      <c r="BC41" s="179">
        <f t="shared" si="37"/>
        <v>39.822238311062719</v>
      </c>
      <c r="BD41" s="180">
        <f t="shared" si="20"/>
        <v>8.269767441860461</v>
      </c>
      <c r="BE41" s="181">
        <f t="shared" si="21"/>
        <v>17.896221836197537</v>
      </c>
      <c r="BF41" s="182">
        <f t="shared" si="22"/>
        <v>13.656249033004723</v>
      </c>
      <c r="BG41" s="181">
        <f t="shared" si="23"/>
        <v>0.53858597321222845</v>
      </c>
      <c r="BI41" s="4"/>
      <c r="BK41" s="178">
        <v>17</v>
      </c>
      <c r="BL41" s="182">
        <f>IDF_1!CG206</f>
        <v>0.82898349023447082</v>
      </c>
      <c r="BM41" s="179">
        <f t="shared" si="38"/>
        <v>41.35706523503093</v>
      </c>
      <c r="BN41" s="180">
        <f t="shared" si="24"/>
        <v>8.269767441860461</v>
      </c>
      <c r="BO41" s="181">
        <f t="shared" si="25"/>
        <v>18.379800215312951</v>
      </c>
      <c r="BP41" s="182">
        <f t="shared" si="26"/>
        <v>14.70749757785752</v>
      </c>
      <c r="BQ41" s="181">
        <f t="shared" si="27"/>
        <v>0.57030003267075813</v>
      </c>
      <c r="BS41" s="4"/>
      <c r="BU41" s="178">
        <v>17</v>
      </c>
      <c r="BV41" s="182">
        <f>IDF_1!CH206</f>
        <v>0.91568229857337968</v>
      </c>
      <c r="BW41" s="179">
        <f t="shared" si="39"/>
        <v>45.682372451049794</v>
      </c>
      <c r="BX41" s="180">
        <f t="shared" si="28"/>
        <v>8.269767441860461</v>
      </c>
      <c r="BY41" s="181">
        <f t="shared" si="29"/>
        <v>19.641180640261307</v>
      </c>
      <c r="BZ41" s="182">
        <f t="shared" si="30"/>
        <v>17.771424368928027</v>
      </c>
      <c r="CA41" s="181">
        <f t="shared" si="31"/>
        <v>0.66033997955396018</v>
      </c>
      <c r="CC41" s="4"/>
    </row>
    <row r="42" spans="3:81" ht="12" customHeight="1" x14ac:dyDescent="0.3">
      <c r="C42" s="178">
        <v>18</v>
      </c>
      <c r="D42" s="182">
        <f>IDF_1!CA207</f>
        <v>0.3902083343887135</v>
      </c>
      <c r="E42" s="179">
        <f t="shared" si="32"/>
        <v>19.857268572225543</v>
      </c>
      <c r="F42" s="180">
        <f t="shared" si="0"/>
        <v>8.269767441860461</v>
      </c>
      <c r="G42" s="181">
        <f t="shared" si="1"/>
        <v>9.0510547750341956</v>
      </c>
      <c r="H42" s="182">
        <f t="shared" si="2"/>
        <v>2.5364463553308862</v>
      </c>
      <c r="I42" s="181">
        <f t="shared" si="3"/>
        <v>0.1503645269216598</v>
      </c>
      <c r="K42" s="4"/>
      <c r="M42" s="178">
        <v>18</v>
      </c>
      <c r="N42" s="182">
        <f>IDF_1!CB207</f>
        <v>0.52221827575710122</v>
      </c>
      <c r="O42" s="179">
        <f t="shared" si="33"/>
        <v>26.57510781075036</v>
      </c>
      <c r="P42" s="180">
        <f t="shared" si="4"/>
        <v>8.269767441860461</v>
      </c>
      <c r="Q42" s="181">
        <f t="shared" si="5"/>
        <v>12.68820675604788</v>
      </c>
      <c r="R42" s="182">
        <f t="shared" si="6"/>
        <v>5.6171336128420215</v>
      </c>
      <c r="S42" s="181">
        <f t="shared" si="7"/>
        <v>0.2691046432312536</v>
      </c>
      <c r="U42" s="4"/>
      <c r="W42" s="178">
        <v>18</v>
      </c>
      <c r="X42" s="182">
        <f>IDF_1!CC207</f>
        <v>0.59813038293422593</v>
      </c>
      <c r="Y42" s="179">
        <f t="shared" si="34"/>
        <v>30.438190598208401</v>
      </c>
      <c r="Z42" s="180">
        <f t="shared" si="8"/>
        <v>8.269767441860461</v>
      </c>
      <c r="AA42" s="181">
        <f t="shared" si="9"/>
        <v>14.431329610281354</v>
      </c>
      <c r="AB42" s="182">
        <f t="shared" si="10"/>
        <v>7.7370935460665873</v>
      </c>
      <c r="AC42" s="181">
        <f t="shared" si="11"/>
        <v>0.34224351462787617</v>
      </c>
      <c r="AE42" s="4"/>
      <c r="AG42" s="178">
        <v>18</v>
      </c>
      <c r="AH42" s="182">
        <f>IDF_1!CD207</f>
        <v>0.66448794890016671</v>
      </c>
      <c r="AI42" s="179">
        <f t="shared" si="35"/>
        <v>33.815053399586354</v>
      </c>
      <c r="AJ42" s="180">
        <f t="shared" si="12"/>
        <v>8.269767441860461</v>
      </c>
      <c r="AK42" s="181">
        <f t="shared" si="13"/>
        <v>15.790144492868002</v>
      </c>
      <c r="AL42" s="182">
        <f t="shared" si="14"/>
        <v>9.7551414648578927</v>
      </c>
      <c r="AM42" s="181">
        <f t="shared" si="15"/>
        <v>0.40805526217649479</v>
      </c>
      <c r="AO42" s="4"/>
      <c r="AQ42" s="178">
        <v>18</v>
      </c>
      <c r="AR42" s="182">
        <f>IDF_1!CE207</f>
        <v>0.74325103006079019</v>
      </c>
      <c r="AS42" s="179">
        <f t="shared" si="36"/>
        <v>37.823219085315671</v>
      </c>
      <c r="AT42" s="180">
        <f t="shared" si="16"/>
        <v>8.269767441860461</v>
      </c>
      <c r="AU42" s="181">
        <f t="shared" si="17"/>
        <v>17.234998767330925</v>
      </c>
      <c r="AV42" s="182">
        <f t="shared" si="18"/>
        <v>12.318452876124287</v>
      </c>
      <c r="AW42" s="181">
        <f t="shared" si="19"/>
        <v>0.48779377441815086</v>
      </c>
      <c r="AY42" s="4"/>
      <c r="BA42" s="178">
        <v>18</v>
      </c>
      <c r="BB42" s="182">
        <f>IDF_1!CF207</f>
        <v>0.79821858529970058</v>
      </c>
      <c r="BC42" s="179">
        <f t="shared" si="37"/>
        <v>40.62045689636242</v>
      </c>
      <c r="BD42" s="180">
        <f t="shared" si="20"/>
        <v>8.269767441860461</v>
      </c>
      <c r="BE42" s="181">
        <f t="shared" si="21"/>
        <v>18.15023043451723</v>
      </c>
      <c r="BF42" s="182">
        <f t="shared" si="22"/>
        <v>14.200459019984731</v>
      </c>
      <c r="BG42" s="181">
        <f t="shared" si="23"/>
        <v>0.54420998698000744</v>
      </c>
      <c r="BI42" s="4"/>
      <c r="BK42" s="178">
        <v>18</v>
      </c>
      <c r="BL42" s="182">
        <f>IDF_1!CG207</f>
        <v>0.82898349023447082</v>
      </c>
      <c r="BM42" s="179">
        <f t="shared" si="38"/>
        <v>42.186048725265401</v>
      </c>
      <c r="BN42" s="180">
        <f t="shared" si="24"/>
        <v>8.269767441860461</v>
      </c>
      <c r="BO42" s="181">
        <f t="shared" si="25"/>
        <v>18.632785301046219</v>
      </c>
      <c r="BP42" s="182">
        <f t="shared" si="26"/>
        <v>15.283495982358723</v>
      </c>
      <c r="BQ42" s="181">
        <f t="shared" si="27"/>
        <v>0.57599840450120254</v>
      </c>
      <c r="BS42" s="4"/>
      <c r="BU42" s="178">
        <v>18</v>
      </c>
      <c r="BV42" s="182">
        <f>IDF_1!CH207</f>
        <v>0.91568229857338679</v>
      </c>
      <c r="BW42" s="179">
        <f t="shared" si="39"/>
        <v>46.598054749623181</v>
      </c>
      <c r="BX42" s="180">
        <f t="shared" si="28"/>
        <v>8.269767441860461</v>
      </c>
      <c r="BY42" s="181">
        <f t="shared" si="29"/>
        <v>19.890653961296181</v>
      </c>
      <c r="BZ42" s="182">
        <f t="shared" si="30"/>
        <v>18.437633346466541</v>
      </c>
      <c r="CA42" s="181">
        <f t="shared" si="31"/>
        <v>0.66620897753851338</v>
      </c>
      <c r="CC42" s="4"/>
    </row>
    <row r="43" spans="3:81" ht="12" customHeight="1" x14ac:dyDescent="0.3">
      <c r="C43" s="178">
        <v>19</v>
      </c>
      <c r="D43" s="182">
        <f>IDF_1!CA208</f>
        <v>0.39020833438870994</v>
      </c>
      <c r="E43" s="179">
        <f t="shared" si="32"/>
        <v>20.247476906614253</v>
      </c>
      <c r="F43" s="180">
        <f t="shared" si="0"/>
        <v>8.269767441860461</v>
      </c>
      <c r="G43" s="181">
        <f t="shared" si="1"/>
        <v>9.2873885463761923</v>
      </c>
      <c r="H43" s="182">
        <f t="shared" si="2"/>
        <v>2.6903209183775996</v>
      </c>
      <c r="I43" s="181">
        <f t="shared" si="3"/>
        <v>0.15387456304671332</v>
      </c>
      <c r="K43" s="4"/>
      <c r="M43" s="178">
        <v>19</v>
      </c>
      <c r="N43" s="182">
        <f>IDF_1!CB208</f>
        <v>0.52221827575710478</v>
      </c>
      <c r="O43" s="179">
        <f t="shared" si="33"/>
        <v>27.097326086507465</v>
      </c>
      <c r="P43" s="180">
        <f t="shared" si="4"/>
        <v>8.269767441860461</v>
      </c>
      <c r="Q43" s="181">
        <f t="shared" si="5"/>
        <v>12.936927285169229</v>
      </c>
      <c r="R43" s="182">
        <f t="shared" si="6"/>
        <v>5.8906313594777764</v>
      </c>
      <c r="S43" s="181">
        <f t="shared" si="7"/>
        <v>0.27349774663575488</v>
      </c>
      <c r="U43" s="4"/>
      <c r="W43" s="178">
        <v>19</v>
      </c>
      <c r="X43" s="182">
        <f>IDF_1!CC208</f>
        <v>0.59813038293422593</v>
      </c>
      <c r="Y43" s="179">
        <f t="shared" si="34"/>
        <v>31.036320981142627</v>
      </c>
      <c r="Z43" s="180">
        <f t="shared" si="8"/>
        <v>8.269767441860461</v>
      </c>
      <c r="AA43" s="181">
        <f t="shared" si="9"/>
        <v>14.682442158140114</v>
      </c>
      <c r="AB43" s="182">
        <f t="shared" si="10"/>
        <v>8.0841113811420495</v>
      </c>
      <c r="AC43" s="181">
        <f t="shared" si="11"/>
        <v>0.34701783507546224</v>
      </c>
      <c r="AE43" s="4"/>
      <c r="AG43" s="178">
        <v>19</v>
      </c>
      <c r="AH43" s="182">
        <f>IDF_1!CD208</f>
        <v>0.66448794890016671</v>
      </c>
      <c r="AI43" s="179">
        <f t="shared" si="35"/>
        <v>34.479541348486521</v>
      </c>
      <c r="AJ43" s="180">
        <f t="shared" si="12"/>
        <v>8.269767441860461</v>
      </c>
      <c r="AK43" s="181">
        <f t="shared" si="13"/>
        <v>16.041532776599446</v>
      </c>
      <c r="AL43" s="182">
        <f t="shared" si="14"/>
        <v>10.168241130026615</v>
      </c>
      <c r="AM43" s="181">
        <f t="shared" si="15"/>
        <v>0.41309966516872265</v>
      </c>
      <c r="AO43" s="4"/>
      <c r="AQ43" s="178">
        <v>19</v>
      </c>
      <c r="AR43" s="182">
        <f>IDF_1!CE208</f>
        <v>0.74325103006079019</v>
      </c>
      <c r="AS43" s="179">
        <f t="shared" si="36"/>
        <v>38.566470115376461</v>
      </c>
      <c r="AT43" s="180">
        <f t="shared" si="16"/>
        <v>8.269767441860461</v>
      </c>
      <c r="AU43" s="181">
        <f t="shared" si="17"/>
        <v>17.485155794412151</v>
      </c>
      <c r="AV43" s="182">
        <f t="shared" si="18"/>
        <v>12.811546879103851</v>
      </c>
      <c r="AW43" s="181">
        <f t="shared" si="19"/>
        <v>0.49309400297956429</v>
      </c>
      <c r="AY43" s="4"/>
      <c r="BA43" s="178">
        <v>19</v>
      </c>
      <c r="BB43" s="182">
        <f>IDF_1!CF208</f>
        <v>0.79821858529970058</v>
      </c>
      <c r="BC43" s="179">
        <f t="shared" si="37"/>
        <v>41.41867548166212</v>
      </c>
      <c r="BD43" s="180">
        <f t="shared" si="20"/>
        <v>8.269767441860461</v>
      </c>
      <c r="BE43" s="181">
        <f t="shared" si="21"/>
        <v>18.398795797385255</v>
      </c>
      <c r="BF43" s="182">
        <f t="shared" si="22"/>
        <v>14.750112242416407</v>
      </c>
      <c r="BG43" s="181">
        <f t="shared" si="23"/>
        <v>0.54965322243167591</v>
      </c>
      <c r="BI43" s="4"/>
      <c r="BK43" s="178">
        <v>19</v>
      </c>
      <c r="BL43" s="182">
        <f>IDF_1!CG208</f>
        <v>0.82898349023447793</v>
      </c>
      <c r="BM43" s="179">
        <f t="shared" si="38"/>
        <v>43.015032215499879</v>
      </c>
      <c r="BN43" s="180">
        <f t="shared" si="24"/>
        <v>8.269767441860461</v>
      </c>
      <c r="BO43" s="181">
        <f t="shared" si="25"/>
        <v>18.880258252359518</v>
      </c>
      <c r="BP43" s="182">
        <f t="shared" si="26"/>
        <v>15.865006521279902</v>
      </c>
      <c r="BQ43" s="181">
        <f t="shared" si="27"/>
        <v>0.58151053892117943</v>
      </c>
      <c r="BS43" s="4"/>
      <c r="BU43" s="178">
        <v>19</v>
      </c>
      <c r="BV43" s="182">
        <f>IDF_1!CH208</f>
        <v>0.91568229857337968</v>
      </c>
      <c r="BW43" s="179">
        <f t="shared" si="39"/>
        <v>47.51373704819656</v>
      </c>
      <c r="BX43" s="180">
        <f t="shared" si="28"/>
        <v>8.269767441860461</v>
      </c>
      <c r="BY43" s="181">
        <f t="shared" si="29"/>
        <v>20.134458332134031</v>
      </c>
      <c r="BZ43" s="182">
        <f t="shared" si="30"/>
        <v>19.10951127420207</v>
      </c>
      <c r="CA43" s="181">
        <f t="shared" si="31"/>
        <v>0.67187792773552957</v>
      </c>
      <c r="CC43" s="4"/>
    </row>
    <row r="44" spans="3:81" ht="12" customHeight="1" x14ac:dyDescent="0.3">
      <c r="C44" s="178">
        <v>20</v>
      </c>
      <c r="D44" s="182">
        <f>IDF_1!CA209</f>
        <v>0.39020833438870994</v>
      </c>
      <c r="E44" s="179">
        <f t="shared" si="32"/>
        <v>20.637685241002963</v>
      </c>
      <c r="F44" s="180">
        <f t="shared" si="0"/>
        <v>8.269767441860461</v>
      </c>
      <c r="G44" s="181">
        <f t="shared" si="1"/>
        <v>9.5202887742265663</v>
      </c>
      <c r="H44" s="182">
        <f t="shared" si="2"/>
        <v>2.8476290249159355</v>
      </c>
      <c r="I44" s="181">
        <f t="shared" si="3"/>
        <v>0.15730810653833593</v>
      </c>
      <c r="K44" s="4"/>
      <c r="M44" s="178">
        <v>20</v>
      </c>
      <c r="N44" s="182">
        <f>IDF_1!CB209</f>
        <v>0.52221827575710122</v>
      </c>
      <c r="O44" s="179">
        <f t="shared" si="33"/>
        <v>27.619544362264566</v>
      </c>
      <c r="P44" s="180">
        <f t="shared" si="4"/>
        <v>8.269767441860461</v>
      </c>
      <c r="Q44" s="181">
        <f t="shared" si="5"/>
        <v>13.181368098592765</v>
      </c>
      <c r="R44" s="182">
        <f t="shared" si="6"/>
        <v>6.1684088218113384</v>
      </c>
      <c r="S44" s="181">
        <f t="shared" si="7"/>
        <v>0.27777746233356204</v>
      </c>
      <c r="U44" s="4"/>
      <c r="W44" s="178">
        <v>20</v>
      </c>
      <c r="X44" s="182">
        <f>IDF_1!CC209</f>
        <v>0.59813038293422238</v>
      </c>
      <c r="Y44" s="179">
        <f t="shared" si="34"/>
        <v>31.634451364076849</v>
      </c>
      <c r="Z44" s="180">
        <f t="shared" si="8"/>
        <v>8.269767441860461</v>
      </c>
      <c r="AA44" s="181">
        <f t="shared" si="9"/>
        <v>14.928912768988372</v>
      </c>
      <c r="AB44" s="182">
        <f t="shared" si="10"/>
        <v>8.4357711532280142</v>
      </c>
      <c r="AC44" s="181">
        <f t="shared" si="11"/>
        <v>0.35165977208596466</v>
      </c>
      <c r="AE44" s="4"/>
      <c r="AG44" s="178">
        <v>20</v>
      </c>
      <c r="AH44" s="182">
        <f>IDF_1!CD209</f>
        <v>0.66448794890016671</v>
      </c>
      <c r="AI44" s="179">
        <f t="shared" si="35"/>
        <v>35.144029297386687</v>
      </c>
      <c r="AJ44" s="180">
        <f t="shared" si="12"/>
        <v>8.269767441860461</v>
      </c>
      <c r="AK44" s="181">
        <f t="shared" si="13"/>
        <v>16.288024053677006</v>
      </c>
      <c r="AL44" s="182">
        <f t="shared" si="14"/>
        <v>10.586237801849222</v>
      </c>
      <c r="AM44" s="181">
        <f t="shared" si="15"/>
        <v>0.41799667182260691</v>
      </c>
      <c r="AO44" s="4"/>
      <c r="AQ44" s="178">
        <v>20</v>
      </c>
      <c r="AR44" s="182">
        <f>IDF_1!CE209</f>
        <v>0.74325103006078308</v>
      </c>
      <c r="AS44" s="179">
        <f t="shared" si="36"/>
        <v>39.309721145437244</v>
      </c>
      <c r="AT44" s="180">
        <f t="shared" si="16"/>
        <v>8.269767441860461</v>
      </c>
      <c r="AU44" s="181">
        <f t="shared" si="17"/>
        <v>17.730175853028761</v>
      </c>
      <c r="AV44" s="182">
        <f t="shared" si="18"/>
        <v>13.309777850548024</v>
      </c>
      <c r="AW44" s="181">
        <f t="shared" si="19"/>
        <v>0.49823097144417261</v>
      </c>
      <c r="AY44" s="4"/>
      <c r="BA44" s="178">
        <v>20</v>
      </c>
      <c r="BB44" s="182">
        <f>IDF_1!CF209</f>
        <v>0.79821858529969347</v>
      </c>
      <c r="BC44" s="179">
        <f t="shared" si="37"/>
        <v>42.216894066961814</v>
      </c>
      <c r="BD44" s="180">
        <f t="shared" si="20"/>
        <v>8.269767441860461</v>
      </c>
      <c r="BE44" s="181">
        <f t="shared" si="21"/>
        <v>18.642091037335675</v>
      </c>
      <c r="BF44" s="182">
        <f t="shared" si="22"/>
        <v>15.30503558776568</v>
      </c>
      <c r="BG44" s="181">
        <f t="shared" si="23"/>
        <v>0.55492334534927323</v>
      </c>
      <c r="BI44" s="4"/>
      <c r="BK44" s="178">
        <v>20</v>
      </c>
      <c r="BL44" s="182">
        <f>IDF_1!CG209</f>
        <v>0.82898349023447082</v>
      </c>
      <c r="BM44" s="179">
        <f t="shared" si="38"/>
        <v>43.84401570573435</v>
      </c>
      <c r="BN44" s="180">
        <f t="shared" si="24"/>
        <v>8.269767441860461</v>
      </c>
      <c r="BO44" s="181">
        <f t="shared" si="25"/>
        <v>19.122397278501808</v>
      </c>
      <c r="BP44" s="182">
        <f t="shared" si="26"/>
        <v>16.451850985372083</v>
      </c>
      <c r="BQ44" s="181">
        <f t="shared" si="27"/>
        <v>0.58684446409218083</v>
      </c>
      <c r="BS44" s="4"/>
      <c r="BU44" s="178">
        <v>20</v>
      </c>
      <c r="BV44" s="182">
        <f>IDF_1!CH209</f>
        <v>0.91568229857337258</v>
      </c>
      <c r="BW44" s="179">
        <f t="shared" si="39"/>
        <v>48.429419346769933</v>
      </c>
      <c r="BX44" s="180">
        <f t="shared" si="28"/>
        <v>8.269767441860461</v>
      </c>
      <c r="BY44" s="181">
        <f t="shared" si="29"/>
        <v>20.372784811058597</v>
      </c>
      <c r="BZ44" s="182">
        <f t="shared" si="30"/>
        <v>19.786867093850876</v>
      </c>
      <c r="CA44" s="181">
        <f t="shared" si="31"/>
        <v>0.67735581964880609</v>
      </c>
      <c r="CC44" s="4"/>
    </row>
    <row r="45" spans="3:81" ht="12" customHeight="1" x14ac:dyDescent="0.3">
      <c r="C45" s="178">
        <v>21</v>
      </c>
      <c r="D45" s="182">
        <f>IDF_1!CA210</f>
        <v>0.26013888959247566</v>
      </c>
      <c r="E45" s="179">
        <f t="shared" si="32"/>
        <v>20.897824130595438</v>
      </c>
      <c r="F45" s="180">
        <f t="shared" si="0"/>
        <v>8.269767441860461</v>
      </c>
      <c r="G45" s="181">
        <f t="shared" si="1"/>
        <v>9.6736848414934524</v>
      </c>
      <c r="H45" s="182">
        <f t="shared" si="2"/>
        <v>2.954371847241525</v>
      </c>
      <c r="I45" s="181">
        <f t="shared" si="3"/>
        <v>0.10674282232558951</v>
      </c>
      <c r="K45" s="4"/>
      <c r="M45" s="178">
        <v>21</v>
      </c>
      <c r="N45" s="182">
        <f>IDF_1!CB210</f>
        <v>0.34814551717140318</v>
      </c>
      <c r="O45" s="179">
        <f t="shared" si="33"/>
        <v>27.967689879435969</v>
      </c>
      <c r="P45" s="180">
        <f t="shared" si="4"/>
        <v>8.269767441860461</v>
      </c>
      <c r="Q45" s="181">
        <f t="shared" si="5"/>
        <v>13.342005258659608</v>
      </c>
      <c r="R45" s="182">
        <f t="shared" si="6"/>
        <v>6.3559171789158988</v>
      </c>
      <c r="S45" s="181">
        <f t="shared" si="7"/>
        <v>0.18750835710456037</v>
      </c>
      <c r="U45" s="4"/>
      <c r="W45" s="178">
        <v>21</v>
      </c>
      <c r="X45" s="182">
        <f>IDF_1!CC210</f>
        <v>0.39875358862282084</v>
      </c>
      <c r="Y45" s="179">
        <f t="shared" si="34"/>
        <v>32.03320495269967</v>
      </c>
      <c r="Z45" s="180">
        <f t="shared" si="8"/>
        <v>8.269767441860461</v>
      </c>
      <c r="AA45" s="181">
        <f t="shared" si="9"/>
        <v>15.090710828217597</v>
      </c>
      <c r="AB45" s="182">
        <f t="shared" si="10"/>
        <v>8.6727266826216134</v>
      </c>
      <c r="AC45" s="181">
        <f t="shared" si="11"/>
        <v>0.23695552939359921</v>
      </c>
      <c r="AE45" s="4"/>
      <c r="AG45" s="178">
        <v>21</v>
      </c>
      <c r="AH45" s="182">
        <f>IDF_1!CD210</f>
        <v>0.44299196593344448</v>
      </c>
      <c r="AI45" s="179">
        <f t="shared" si="35"/>
        <v>35.587021263320132</v>
      </c>
      <c r="AJ45" s="180">
        <f t="shared" si="12"/>
        <v>8.269767441860461</v>
      </c>
      <c r="AK45" s="181">
        <f t="shared" si="13"/>
        <v>16.449701218068494</v>
      </c>
      <c r="AL45" s="182">
        <f t="shared" si="14"/>
        <v>10.867552603391179</v>
      </c>
      <c r="AM45" s="181">
        <f t="shared" si="15"/>
        <v>0.28131480154195643</v>
      </c>
      <c r="AO45" s="4"/>
      <c r="AQ45" s="178">
        <v>21</v>
      </c>
      <c r="AR45" s="182">
        <f>IDF_1!CE210</f>
        <v>0.49550068670718872</v>
      </c>
      <c r="AS45" s="179">
        <f t="shared" si="36"/>
        <v>39.805221832144433</v>
      </c>
      <c r="AT45" s="180">
        <f t="shared" si="16"/>
        <v>8.269767441860461</v>
      </c>
      <c r="AU45" s="181">
        <f t="shared" si="17"/>
        <v>17.890746295085503</v>
      </c>
      <c r="AV45" s="182">
        <f t="shared" si="18"/>
        <v>13.644708095198471</v>
      </c>
      <c r="AW45" s="181">
        <f t="shared" si="19"/>
        <v>0.33493024465044741</v>
      </c>
      <c r="AY45" s="4"/>
      <c r="BA45" s="178">
        <v>21</v>
      </c>
      <c r="BB45" s="182">
        <f>IDF_1!CF210</f>
        <v>0.53214572353312661</v>
      </c>
      <c r="BC45" s="179">
        <f t="shared" si="37"/>
        <v>42.74903979049494</v>
      </c>
      <c r="BD45" s="180">
        <f t="shared" si="20"/>
        <v>8.269767441860461</v>
      </c>
      <c r="BE45" s="181">
        <f t="shared" si="21"/>
        <v>18.801442205935391</v>
      </c>
      <c r="BF45" s="182">
        <f t="shared" si="22"/>
        <v>15.67783014269909</v>
      </c>
      <c r="BG45" s="181">
        <f t="shared" si="23"/>
        <v>0.37279455493341018</v>
      </c>
      <c r="BI45" s="4"/>
      <c r="BK45" s="178">
        <v>21</v>
      </c>
      <c r="BL45" s="182">
        <f>IDF_1!CG210</f>
        <v>0.55265566015631151</v>
      </c>
      <c r="BM45" s="179">
        <f t="shared" si="38"/>
        <v>44.396671365890661</v>
      </c>
      <c r="BN45" s="180">
        <f t="shared" si="24"/>
        <v>8.269767441860461</v>
      </c>
      <c r="BO45" s="181">
        <f t="shared" si="25"/>
        <v>19.280944556052106</v>
      </c>
      <c r="BP45" s="182">
        <f t="shared" si="26"/>
        <v>16.845959367978097</v>
      </c>
      <c r="BQ45" s="181">
        <f t="shared" si="27"/>
        <v>0.39410838260601366</v>
      </c>
      <c r="BS45" s="4"/>
      <c r="BU45" s="178">
        <v>21</v>
      </c>
      <c r="BV45" s="182">
        <f>IDF_1!CH210</f>
        <v>0.61045486571558882</v>
      </c>
      <c r="BW45" s="179">
        <f t="shared" si="39"/>
        <v>49.039874212485522</v>
      </c>
      <c r="BX45" s="180">
        <f t="shared" si="28"/>
        <v>8.269767441860461</v>
      </c>
      <c r="BY45" s="181">
        <f t="shared" si="29"/>
        <v>20.528716349256936</v>
      </c>
      <c r="BZ45" s="182">
        <f t="shared" si="30"/>
        <v>20.241390421368127</v>
      </c>
      <c r="CA45" s="181">
        <f t="shared" si="31"/>
        <v>0.45452332751725066</v>
      </c>
      <c r="CC45" s="4"/>
    </row>
    <row r="46" spans="3:81" ht="12" customHeight="1" x14ac:dyDescent="0.3">
      <c r="C46" s="178">
        <v>22</v>
      </c>
      <c r="D46" s="182">
        <f>IDF_1!CA211</f>
        <v>0.26013888959247566</v>
      </c>
      <c r="E46" s="179">
        <f t="shared" si="32"/>
        <v>21.157963020187914</v>
      </c>
      <c r="F46" s="180">
        <f t="shared" si="0"/>
        <v>8.269767441860461</v>
      </c>
      <c r="G46" s="181">
        <f t="shared" si="1"/>
        <v>9.8256094314115359</v>
      </c>
      <c r="H46" s="182">
        <f t="shared" si="2"/>
        <v>3.0625861469159172</v>
      </c>
      <c r="I46" s="181">
        <f t="shared" si="3"/>
        <v>0.10821429967439222</v>
      </c>
      <c r="K46" s="4"/>
      <c r="M46" s="178">
        <v>22</v>
      </c>
      <c r="N46" s="182">
        <f>IDF_1!CB211</f>
        <v>0.34814551717139963</v>
      </c>
      <c r="O46" s="179">
        <f t="shared" si="33"/>
        <v>28.315835396607369</v>
      </c>
      <c r="P46" s="180">
        <f t="shared" si="4"/>
        <v>8.269767441860461</v>
      </c>
      <c r="Q46" s="181">
        <f t="shared" si="5"/>
        <v>13.500820602827588</v>
      </c>
      <c r="R46" s="182">
        <f t="shared" si="6"/>
        <v>6.5452473519193219</v>
      </c>
      <c r="S46" s="181">
        <f t="shared" si="7"/>
        <v>0.18933017300342314</v>
      </c>
      <c r="U46" s="4"/>
      <c r="W46" s="178">
        <v>22</v>
      </c>
      <c r="X46" s="182">
        <f>IDF_1!CC211</f>
        <v>0.39875358862281729</v>
      </c>
      <c r="Y46" s="179">
        <f t="shared" si="34"/>
        <v>32.431958541322487</v>
      </c>
      <c r="Z46" s="180">
        <f t="shared" si="8"/>
        <v>8.269767441860461</v>
      </c>
      <c r="AA46" s="181">
        <f t="shared" si="9"/>
        <v>15.250539217349569</v>
      </c>
      <c r="AB46" s="182">
        <f t="shared" si="10"/>
        <v>8.9116518821124586</v>
      </c>
      <c r="AC46" s="181">
        <f t="shared" si="11"/>
        <v>0.23892519949084523</v>
      </c>
      <c r="AE46" s="4"/>
      <c r="AG46" s="178">
        <v>22</v>
      </c>
      <c r="AH46" s="182">
        <f>IDF_1!CD211</f>
        <v>0.44299196593345158</v>
      </c>
      <c r="AI46" s="179">
        <f t="shared" si="35"/>
        <v>36.030013229253584</v>
      </c>
      <c r="AJ46" s="180">
        <f t="shared" si="12"/>
        <v>8.269767441860461</v>
      </c>
      <c r="AK46" s="181">
        <f t="shared" si="13"/>
        <v>16.609305668373938</v>
      </c>
      <c r="AL46" s="182">
        <f t="shared" si="14"/>
        <v>11.150940119019186</v>
      </c>
      <c r="AM46" s="181">
        <f t="shared" si="15"/>
        <v>0.28338751562800724</v>
      </c>
      <c r="AO46" s="4"/>
      <c r="AQ46" s="178">
        <v>22</v>
      </c>
      <c r="AR46" s="182">
        <f>IDF_1!CE211</f>
        <v>0.49550068670719583</v>
      </c>
      <c r="AS46" s="179">
        <f t="shared" si="36"/>
        <v>40.300722518851629</v>
      </c>
      <c r="AT46" s="180">
        <f t="shared" si="16"/>
        <v>8.269767441860461</v>
      </c>
      <c r="AU46" s="181">
        <f t="shared" si="17"/>
        <v>18.049148217395185</v>
      </c>
      <c r="AV46" s="182">
        <f t="shared" si="18"/>
        <v>13.981806859595984</v>
      </c>
      <c r="AW46" s="181">
        <f t="shared" si="19"/>
        <v>0.33709876439751341</v>
      </c>
      <c r="AY46" s="4"/>
      <c r="BA46" s="178">
        <v>22</v>
      </c>
      <c r="BB46" s="182">
        <f>IDF_1!CF211</f>
        <v>0.53214572353313372</v>
      </c>
      <c r="BC46" s="179">
        <f t="shared" si="37"/>
        <v>43.281185514028074</v>
      </c>
      <c r="BD46" s="180">
        <f t="shared" si="20"/>
        <v>8.269767441860461</v>
      </c>
      <c r="BE46" s="181">
        <f t="shared" si="21"/>
        <v>18.95857237507412</v>
      </c>
      <c r="BF46" s="182">
        <f t="shared" si="22"/>
        <v>16.052845697093495</v>
      </c>
      <c r="BG46" s="181">
        <f t="shared" si="23"/>
        <v>0.37501555439440537</v>
      </c>
      <c r="BI46" s="4"/>
      <c r="BK46" s="178">
        <v>22</v>
      </c>
      <c r="BL46" s="182">
        <f>IDF_1!CG211</f>
        <v>0.55265566015631862</v>
      </c>
      <c r="BM46" s="179">
        <f t="shared" si="38"/>
        <v>44.94932702604698</v>
      </c>
      <c r="BN46" s="180">
        <f t="shared" si="24"/>
        <v>8.269767441860461</v>
      </c>
      <c r="BO46" s="181">
        <f t="shared" si="25"/>
        <v>19.437245932009098</v>
      </c>
      <c r="BP46" s="182">
        <f t="shared" si="26"/>
        <v>17.242313652177423</v>
      </c>
      <c r="BQ46" s="181">
        <f t="shared" si="27"/>
        <v>0.39635428419932595</v>
      </c>
      <c r="BS46" s="4"/>
      <c r="BU46" s="178">
        <v>22</v>
      </c>
      <c r="BV46" s="182">
        <f>IDF_1!CH211</f>
        <v>0.61045486571558882</v>
      </c>
      <c r="BW46" s="179">
        <f t="shared" si="39"/>
        <v>49.650329078201111</v>
      </c>
      <c r="BX46" s="180">
        <f t="shared" si="28"/>
        <v>8.269767441860461</v>
      </c>
      <c r="BY46" s="181">
        <f t="shared" si="29"/>
        <v>20.682346670051547</v>
      </c>
      <c r="BZ46" s="182">
        <f t="shared" si="30"/>
        <v>20.698214966289104</v>
      </c>
      <c r="CA46" s="181">
        <f t="shared" si="31"/>
        <v>0.4568245449209769</v>
      </c>
      <c r="CC46" s="4"/>
    </row>
    <row r="47" spans="3:81" ht="12" customHeight="1" x14ac:dyDescent="0.3">
      <c r="C47" s="178">
        <v>23</v>
      </c>
      <c r="D47" s="182">
        <f>IDF_1!CA212</f>
        <v>0.26013888959247211</v>
      </c>
      <c r="E47" s="179">
        <f t="shared" si="32"/>
        <v>21.418101909780386</v>
      </c>
      <c r="F47" s="180">
        <f t="shared" si="0"/>
        <v>8.269767441860461</v>
      </c>
      <c r="G47" s="181">
        <f t="shared" si="1"/>
        <v>9.9760836160000643</v>
      </c>
      <c r="H47" s="182">
        <f t="shared" si="2"/>
        <v>3.1722508519198609</v>
      </c>
      <c r="I47" s="181">
        <f t="shared" si="3"/>
        <v>0.10966470500394365</v>
      </c>
      <c r="K47" s="4"/>
      <c r="M47" s="178">
        <v>23</v>
      </c>
      <c r="N47" s="182">
        <f>IDF_1!CB212</f>
        <v>0.34814551717140318</v>
      </c>
      <c r="O47" s="179">
        <f t="shared" si="33"/>
        <v>28.663980913778772</v>
      </c>
      <c r="P47" s="180">
        <f t="shared" si="4"/>
        <v>8.269767441860461</v>
      </c>
      <c r="Q47" s="181">
        <f t="shared" si="5"/>
        <v>13.657844948672032</v>
      </c>
      <c r="R47" s="182">
        <f t="shared" si="6"/>
        <v>6.7363685232462807</v>
      </c>
      <c r="S47" s="181">
        <f t="shared" si="7"/>
        <v>0.19112117132695872</v>
      </c>
      <c r="U47" s="4"/>
      <c r="W47" s="178">
        <v>23</v>
      </c>
      <c r="X47" s="182">
        <f>IDF_1!CC212</f>
        <v>0.39875358862281729</v>
      </c>
      <c r="Y47" s="179">
        <f t="shared" si="34"/>
        <v>32.830712129945304</v>
      </c>
      <c r="Z47" s="180">
        <f t="shared" si="8"/>
        <v>8.269767441860461</v>
      </c>
      <c r="AA47" s="181">
        <f t="shared" si="9"/>
        <v>15.408433685843503</v>
      </c>
      <c r="AB47" s="182">
        <f t="shared" si="10"/>
        <v>9.1525110022413418</v>
      </c>
      <c r="AC47" s="181">
        <f t="shared" si="11"/>
        <v>0.24085912012888322</v>
      </c>
      <c r="AE47" s="4"/>
      <c r="AG47" s="178">
        <v>23</v>
      </c>
      <c r="AH47" s="182">
        <f>IDF_1!CD212</f>
        <v>0.44299196593344448</v>
      </c>
      <c r="AI47" s="179">
        <f t="shared" si="35"/>
        <v>36.473005195187028</v>
      </c>
      <c r="AJ47" s="180">
        <f t="shared" si="12"/>
        <v>8.269767441860461</v>
      </c>
      <c r="AK47" s="181">
        <f t="shared" si="13"/>
        <v>16.766877009264586</v>
      </c>
      <c r="AL47" s="182">
        <f t="shared" si="14"/>
        <v>11.436360744061982</v>
      </c>
      <c r="AM47" s="181">
        <f t="shared" si="15"/>
        <v>0.28542062504279642</v>
      </c>
      <c r="AO47" s="4"/>
      <c r="AQ47" s="178">
        <v>23</v>
      </c>
      <c r="AR47" s="182">
        <f>IDF_1!CE212</f>
        <v>0.49550068670718872</v>
      </c>
      <c r="AS47" s="179">
        <f t="shared" si="36"/>
        <v>40.796223205558817</v>
      </c>
      <c r="AT47" s="180">
        <f t="shared" si="16"/>
        <v>8.269767441860461</v>
      </c>
      <c r="AU47" s="181">
        <f t="shared" si="17"/>
        <v>18.205425254425325</v>
      </c>
      <c r="AV47" s="182">
        <f t="shared" si="18"/>
        <v>14.321030509273033</v>
      </c>
      <c r="AW47" s="181">
        <f t="shared" si="19"/>
        <v>0.33922364967704866</v>
      </c>
      <c r="AY47" s="4"/>
      <c r="BA47" s="178">
        <v>23</v>
      </c>
      <c r="BB47" s="182">
        <f>IDF_1!CF212</f>
        <v>0.53214572353313372</v>
      </c>
      <c r="BC47" s="179">
        <f t="shared" si="37"/>
        <v>43.813331237561208</v>
      </c>
      <c r="BD47" s="180">
        <f t="shared" si="20"/>
        <v>8.269767441860461</v>
      </c>
      <c r="BE47" s="181">
        <f t="shared" si="21"/>
        <v>19.113527657060096</v>
      </c>
      <c r="BF47" s="182">
        <f t="shared" si="22"/>
        <v>16.430036138640652</v>
      </c>
      <c r="BG47" s="181">
        <f t="shared" si="23"/>
        <v>0.37719044154715675</v>
      </c>
      <c r="BI47" s="4"/>
      <c r="BK47" s="178">
        <v>23</v>
      </c>
      <c r="BL47" s="182">
        <f>IDF_1!CG212</f>
        <v>0.55265566015631151</v>
      </c>
      <c r="BM47" s="179">
        <f t="shared" si="38"/>
        <v>45.501982686203291</v>
      </c>
      <c r="BN47" s="180">
        <f t="shared" si="24"/>
        <v>8.269767441860461</v>
      </c>
      <c r="BO47" s="181">
        <f t="shared" si="25"/>
        <v>19.59134879223194</v>
      </c>
      <c r="BP47" s="182">
        <f t="shared" si="26"/>
        <v>17.640866452110892</v>
      </c>
      <c r="BQ47" s="181">
        <f t="shared" si="27"/>
        <v>0.39855279993346926</v>
      </c>
      <c r="BS47" s="4"/>
      <c r="BU47" s="178">
        <v>23</v>
      </c>
      <c r="BV47" s="182">
        <f>IDF_1!CH212</f>
        <v>0.61045486571558882</v>
      </c>
      <c r="BW47" s="179">
        <f t="shared" si="39"/>
        <v>50.260783943916699</v>
      </c>
      <c r="BX47" s="180">
        <f t="shared" si="28"/>
        <v>8.269767441860461</v>
      </c>
      <c r="BY47" s="181">
        <f t="shared" si="29"/>
        <v>20.833726341902725</v>
      </c>
      <c r="BZ47" s="182">
        <f t="shared" si="30"/>
        <v>21.157290160153515</v>
      </c>
      <c r="CA47" s="181">
        <f t="shared" si="31"/>
        <v>0.45907519386441109</v>
      </c>
      <c r="CC47" s="4"/>
    </row>
    <row r="48" spans="3:81" ht="12" customHeight="1" thickBot="1" x14ac:dyDescent="0.35">
      <c r="C48" s="183">
        <v>24</v>
      </c>
      <c r="D48" s="187">
        <f>IDF_1!CA213</f>
        <v>0.26013888959247566</v>
      </c>
      <c r="E48" s="184">
        <f t="shared" si="32"/>
        <v>21.678240799372862</v>
      </c>
      <c r="F48" s="185">
        <f t="shared" si="0"/>
        <v>8.269767441860461</v>
      </c>
      <c r="G48" s="186">
        <f t="shared" si="1"/>
        <v>10.125128066845795</v>
      </c>
      <c r="H48" s="187">
        <f t="shared" si="2"/>
        <v>3.2833452906666061</v>
      </c>
      <c r="I48" s="186">
        <f t="shared" si="3"/>
        <v>0.11109443874674518</v>
      </c>
      <c r="K48" s="4"/>
      <c r="M48" s="183">
        <v>24</v>
      </c>
      <c r="N48" s="187">
        <f>IDF_1!CB213</f>
        <v>0.34814551717140318</v>
      </c>
      <c r="O48" s="184">
        <f t="shared" si="33"/>
        <v>29.012126430950175</v>
      </c>
      <c r="P48" s="185">
        <f t="shared" si="4"/>
        <v>8.269767441860461</v>
      </c>
      <c r="Q48" s="186">
        <f t="shared" si="5"/>
        <v>13.81310842259132</v>
      </c>
      <c r="R48" s="187">
        <f t="shared" si="6"/>
        <v>6.9292505664983963</v>
      </c>
      <c r="S48" s="186">
        <f t="shared" si="7"/>
        <v>0.19288204325211566</v>
      </c>
      <c r="U48" s="4"/>
      <c r="W48" s="183">
        <v>24</v>
      </c>
      <c r="X48" s="187">
        <f>IDF_1!CC213</f>
        <v>0.39875358862281729</v>
      </c>
      <c r="Y48" s="184">
        <f t="shared" si="34"/>
        <v>33.229465718568122</v>
      </c>
      <c r="Z48" s="185">
        <f t="shared" si="8"/>
        <v>8.269767441860461</v>
      </c>
      <c r="AA48" s="186">
        <f t="shared" si="9"/>
        <v>15.564429123225551</v>
      </c>
      <c r="AB48" s="187">
        <f t="shared" si="10"/>
        <v>9.3952691534821113</v>
      </c>
      <c r="AC48" s="186">
        <f t="shared" si="11"/>
        <v>0.24275815124076949</v>
      </c>
      <c r="AE48" s="4"/>
      <c r="AG48" s="183">
        <v>24</v>
      </c>
      <c r="AH48" s="187">
        <f>IDF_1!CD213</f>
        <v>0.44299196593344448</v>
      </c>
      <c r="AI48" s="184">
        <f t="shared" si="35"/>
        <v>36.915997161120472</v>
      </c>
      <c r="AJ48" s="185">
        <f t="shared" si="12"/>
        <v>8.269767441860461</v>
      </c>
      <c r="AK48" s="186">
        <f t="shared" si="13"/>
        <v>16.922453842795246</v>
      </c>
      <c r="AL48" s="187">
        <f t="shared" si="14"/>
        <v>11.723775876464767</v>
      </c>
      <c r="AM48" s="186">
        <f t="shared" si="15"/>
        <v>0.28741513240278493</v>
      </c>
      <c r="AO48" s="4"/>
      <c r="AQ48" s="183">
        <v>24</v>
      </c>
      <c r="AR48" s="187">
        <f>IDF_1!CE213</f>
        <v>0.49550068670719583</v>
      </c>
      <c r="AS48" s="184">
        <f t="shared" si="36"/>
        <v>41.291723892266013</v>
      </c>
      <c r="AT48" s="185">
        <f t="shared" si="16"/>
        <v>8.269767441860461</v>
      </c>
      <c r="AU48" s="186">
        <f t="shared" si="17"/>
        <v>18.359619877772499</v>
      </c>
      <c r="AV48" s="187">
        <f t="shared" si="18"/>
        <v>14.662336572633055</v>
      </c>
      <c r="AW48" s="186">
        <f t="shared" si="19"/>
        <v>0.34130606336002245</v>
      </c>
      <c r="AY48" s="4"/>
      <c r="BA48" s="183">
        <v>24</v>
      </c>
      <c r="BB48" s="187">
        <f>IDF_1!CF213</f>
        <v>0.53214572353313372</v>
      </c>
      <c r="BC48" s="184">
        <f t="shared" si="37"/>
        <v>44.345476961094342</v>
      </c>
      <c r="BD48" s="185">
        <f t="shared" si="20"/>
        <v>8.269767441860461</v>
      </c>
      <c r="BE48" s="186">
        <f t="shared" si="21"/>
        <v>19.266352896465726</v>
      </c>
      <c r="BF48" s="187">
        <f t="shared" si="22"/>
        <v>16.809356622768156</v>
      </c>
      <c r="BG48" s="186">
        <f t="shared" si="23"/>
        <v>0.37932048412750419</v>
      </c>
      <c r="BI48" s="4"/>
      <c r="BK48" s="183">
        <v>24</v>
      </c>
      <c r="BL48" s="187">
        <f>IDF_1!CG213</f>
        <v>0.55265566015631862</v>
      </c>
      <c r="BM48" s="184">
        <f t="shared" si="38"/>
        <v>46.05463834635961</v>
      </c>
      <c r="BN48" s="185">
        <f t="shared" si="24"/>
        <v>8.269767441860461</v>
      </c>
      <c r="BO48" s="186">
        <f t="shared" si="25"/>
        <v>19.743299198842326</v>
      </c>
      <c r="BP48" s="187">
        <f t="shared" si="26"/>
        <v>18.041571705656825</v>
      </c>
      <c r="BQ48" s="186">
        <f t="shared" si="27"/>
        <v>0.400705253545933</v>
      </c>
      <c r="BS48" s="4"/>
      <c r="BU48" s="183">
        <v>24</v>
      </c>
      <c r="BV48" s="187">
        <f>IDF_1!CH213</f>
        <v>0.61045486571558882</v>
      </c>
      <c r="BW48" s="184">
        <f t="shared" si="39"/>
        <v>50.871238809632288</v>
      </c>
      <c r="BX48" s="185">
        <f t="shared" si="28"/>
        <v>8.269767441860461</v>
      </c>
      <c r="BY48" s="186">
        <f t="shared" si="29"/>
        <v>20.982904462411966</v>
      </c>
      <c r="BZ48" s="187">
        <f t="shared" si="30"/>
        <v>21.618566905359863</v>
      </c>
      <c r="CA48" s="186">
        <f t="shared" si="31"/>
        <v>0.46127674520634798</v>
      </c>
      <c r="CC48" s="4"/>
    </row>
    <row r="49" spans="11:81" x14ac:dyDescent="0.3">
      <c r="K49" s="4"/>
      <c r="U49" s="4"/>
      <c r="AE49" s="4"/>
      <c r="AO49" s="4"/>
      <c r="AY49" s="4"/>
      <c r="BI49" s="4"/>
      <c r="BS49" s="4"/>
      <c r="CC49" s="4"/>
    </row>
    <row r="50" spans="11:81" x14ac:dyDescent="0.3">
      <c r="K50" s="4"/>
      <c r="U50" s="4"/>
      <c r="AE50" s="4"/>
      <c r="AO50" s="4"/>
      <c r="AY50" s="4"/>
      <c r="BI50" s="4"/>
      <c r="BS50" s="4"/>
      <c r="CC50" s="4"/>
    </row>
    <row r="51" spans="11:81" x14ac:dyDescent="0.3">
      <c r="K51" s="4"/>
      <c r="U51" s="4"/>
      <c r="AE51" s="4"/>
      <c r="AO51" s="4"/>
      <c r="AY51" s="4"/>
      <c r="BI51" s="4"/>
      <c r="BS51" s="4"/>
      <c r="CC51" s="4"/>
    </row>
    <row r="52" spans="11:81" x14ac:dyDescent="0.3">
      <c r="K52" s="4"/>
      <c r="U52" s="4"/>
      <c r="AE52" s="4"/>
      <c r="AO52" s="4"/>
      <c r="AY52" s="4"/>
      <c r="BI52" s="4"/>
      <c r="BS52" s="4"/>
      <c r="CC52" s="4"/>
    </row>
  </sheetData>
  <mergeCells count="72">
    <mergeCell ref="CA22:CA23"/>
    <mergeCell ref="BK22:BK23"/>
    <mergeCell ref="BL22:BL23"/>
    <mergeCell ref="BM22:BM23"/>
    <mergeCell ref="BN22:BO22"/>
    <mergeCell ref="BP22:BP23"/>
    <mergeCell ref="BQ22:BQ23"/>
    <mergeCell ref="BU22:BU23"/>
    <mergeCell ref="BV22:BV23"/>
    <mergeCell ref="BW22:BW23"/>
    <mergeCell ref="BX22:BY22"/>
    <mergeCell ref="BZ22:BZ23"/>
    <mergeCell ref="BG22:BG23"/>
    <mergeCell ref="AQ22:AQ23"/>
    <mergeCell ref="AR22:AR23"/>
    <mergeCell ref="AS22:AS23"/>
    <mergeCell ref="AT22:AU22"/>
    <mergeCell ref="AV22:AV23"/>
    <mergeCell ref="AW22:AW23"/>
    <mergeCell ref="BA22:BA23"/>
    <mergeCell ref="BB22:BB23"/>
    <mergeCell ref="BC22:BC23"/>
    <mergeCell ref="BD22:BE22"/>
    <mergeCell ref="BF22:BF23"/>
    <mergeCell ref="AM22:AM23"/>
    <mergeCell ref="W22:W23"/>
    <mergeCell ref="X22:X23"/>
    <mergeCell ref="Y22:Y23"/>
    <mergeCell ref="Z22:AA22"/>
    <mergeCell ref="AB22:AB23"/>
    <mergeCell ref="AC22:AC23"/>
    <mergeCell ref="AG22:AG23"/>
    <mergeCell ref="AH22:AH23"/>
    <mergeCell ref="AI22:AI23"/>
    <mergeCell ref="AJ22:AK22"/>
    <mergeCell ref="AL22:AL23"/>
    <mergeCell ref="S22:S23"/>
    <mergeCell ref="C22:C23"/>
    <mergeCell ref="D22:D23"/>
    <mergeCell ref="E22:E23"/>
    <mergeCell ref="F22:G22"/>
    <mergeCell ref="H22:H23"/>
    <mergeCell ref="I22:I23"/>
    <mergeCell ref="M22:M23"/>
    <mergeCell ref="N22:N23"/>
    <mergeCell ref="O22:O23"/>
    <mergeCell ref="P22:Q22"/>
    <mergeCell ref="R22:R23"/>
    <mergeCell ref="BJ1:BS1"/>
    <mergeCell ref="BT1:CC1"/>
    <mergeCell ref="B1:K1"/>
    <mergeCell ref="L1:U1"/>
    <mergeCell ref="V1:AE1"/>
    <mergeCell ref="AF1:AO1"/>
    <mergeCell ref="AP1:AY1"/>
    <mergeCell ref="AZ1:BI1"/>
    <mergeCell ref="D21:F21"/>
    <mergeCell ref="H21:I21"/>
    <mergeCell ref="N21:P21"/>
    <mergeCell ref="R21:S21"/>
    <mergeCell ref="X21:Z21"/>
    <mergeCell ref="AB21:AC21"/>
    <mergeCell ref="AH21:AJ21"/>
    <mergeCell ref="AL21:AM21"/>
    <mergeCell ref="AR21:AT21"/>
    <mergeCell ref="AV21:AW21"/>
    <mergeCell ref="BZ21:CA21"/>
    <mergeCell ref="BB21:BD21"/>
    <mergeCell ref="BF21:BG21"/>
    <mergeCell ref="BL21:BN21"/>
    <mergeCell ref="BP21:BQ21"/>
    <mergeCell ref="BV21:BX21"/>
  </mergeCells>
  <printOptions horizontalCentered="1"/>
  <pageMargins left="0.78740157480314965" right="0.39370078740157483" top="0.86614173228346458" bottom="0.86614173228346458" header="0.31496062992125984" footer="0.31496062992125984"/>
  <pageSetup paperSize="9" scale="80" pageOrder="overThenDown" orientation="portrait" r:id="rId1"/>
  <headerFooter scaleWithDoc="0">
    <oddHeader xml:space="preserve">&amp;R&amp;"Arial Narrow,Negrita"&amp;9Ing. Aquiles Berrocal Rodríguez
&amp;"Arial Narrow,Normal"Ing. Civil – CIP: 196696
Especialista Hidrología, Hidráulica y Drenaje </oddHeader>
    <oddFooter>&amp;L&amp;"Arial Narrow,Normal"&amp;9Rev.:B - Marzo 2018
Proyecto: Rehabilitación de Defensa Izquierda Existente y Diseño de
Nuevas Defensas Ribereñas en ambas márgenes del Río Pisco - Ica&amp;R&amp;"Arial Narrow,Negrita"&amp;9ANEXO A: HIDROLOGIA</oddFooter>
  </headerFooter>
  <colBreaks count="7" manualBreakCount="7">
    <brk id="11" max="64" man="1"/>
    <brk id="21" max="64" man="1"/>
    <brk id="31" max="64" man="1"/>
    <brk id="41" max="64" man="1"/>
    <brk id="51" max="64" man="1"/>
    <brk id="61" max="64" man="1"/>
    <brk id="71" max="64" man="1"/>
  </col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8">
    <tabColor rgb="FF0070C0"/>
  </sheetPr>
  <dimension ref="A1:BX193"/>
  <sheetViews>
    <sheetView showGridLines="0" view="pageBreakPreview" topLeftCell="A58" zoomScaleNormal="100" zoomScaleSheetLayoutView="100" workbookViewId="0">
      <selection activeCell="J23" sqref="J23"/>
    </sheetView>
  </sheetViews>
  <sheetFormatPr baseColWidth="10" defaultColWidth="11.44140625" defaultRowHeight="14.4" x14ac:dyDescent="0.3"/>
  <cols>
    <col min="1" max="1" width="7.6640625" customWidth="1"/>
    <col min="2" max="2" width="13.33203125" customWidth="1"/>
    <col min="3" max="3" width="9.5546875" customWidth="1"/>
    <col min="4" max="4" width="11.33203125" customWidth="1"/>
    <col min="5" max="5" width="13.6640625" customWidth="1"/>
    <col min="6" max="6" width="12.6640625" customWidth="1"/>
    <col min="7" max="7" width="12.5546875" customWidth="1"/>
    <col min="9" max="9" width="10.33203125" customWidth="1"/>
    <col min="10" max="10" width="9.6640625" customWidth="1"/>
    <col min="11" max="11" width="13.44140625" customWidth="1"/>
    <col min="12" max="12" width="10.33203125" customWidth="1"/>
    <col min="13" max="13" width="15.5546875" customWidth="1"/>
    <col min="14" max="14" width="14.44140625" customWidth="1"/>
    <col min="15" max="15" width="12.33203125" customWidth="1"/>
    <col min="16" max="16" width="12.5546875" customWidth="1"/>
    <col min="17" max="17" width="13.5546875" customWidth="1"/>
    <col min="18" max="18" width="11.6640625" customWidth="1"/>
    <col min="19" max="19" width="11.33203125" customWidth="1"/>
    <col min="20" max="20" width="10.6640625" customWidth="1"/>
    <col min="21" max="21" width="11.6640625" customWidth="1"/>
    <col min="22" max="28" width="11.33203125" customWidth="1"/>
    <col min="29" max="29" width="9.6640625" customWidth="1"/>
    <col min="30" max="30" width="10.6640625" customWidth="1"/>
    <col min="31" max="31" width="11.6640625" customWidth="1"/>
    <col min="32" max="38" width="11.33203125" customWidth="1"/>
    <col min="39" max="39" width="9.6640625" customWidth="1"/>
    <col min="40" max="40" width="10.6640625" customWidth="1"/>
    <col min="41" max="41" width="11.6640625" customWidth="1"/>
    <col min="42" max="48" width="11.33203125" customWidth="1"/>
    <col min="49" max="50" width="9.6640625" customWidth="1"/>
    <col min="51" max="51" width="9.44140625" customWidth="1"/>
    <col min="52" max="52" width="10.6640625" customWidth="1"/>
    <col min="53" max="53" width="5.6640625" customWidth="1"/>
    <col min="54" max="55" width="11.33203125" customWidth="1"/>
    <col min="56" max="56" width="3" customWidth="1"/>
    <col min="57" max="59" width="11.33203125" customWidth="1"/>
    <col min="60" max="60" width="6.6640625" customWidth="1"/>
    <col min="61" max="63" width="11.33203125" customWidth="1"/>
    <col min="64" max="64" width="3" customWidth="1"/>
    <col min="65" max="67" width="11.33203125" customWidth="1"/>
    <col min="68" max="68" width="6.33203125" customWidth="1"/>
    <col min="70" max="71" width="11.33203125" customWidth="1"/>
    <col min="72" max="72" width="3" customWidth="1"/>
    <col min="73" max="74" width="11.33203125" customWidth="1"/>
    <col min="76" max="76" width="6" customWidth="1"/>
  </cols>
  <sheetData>
    <row r="1" spans="2:76" ht="15" customHeight="1" thickBot="1" x14ac:dyDescent="0.35">
      <c r="B1" s="598" t="s">
        <v>356</v>
      </c>
      <c r="C1" s="598"/>
      <c r="D1" s="598"/>
      <c r="E1" s="598"/>
      <c r="F1" s="598"/>
      <c r="G1" s="598"/>
      <c r="H1" s="598"/>
      <c r="I1" s="598"/>
      <c r="J1" s="598"/>
      <c r="K1" s="598" t="s">
        <v>356</v>
      </c>
      <c r="L1" s="598"/>
      <c r="M1" s="598"/>
      <c r="N1" s="598"/>
      <c r="O1" s="598"/>
      <c r="P1" s="598"/>
      <c r="Q1" s="598"/>
      <c r="R1" s="598"/>
      <c r="S1" s="598"/>
      <c r="T1" s="598" t="s">
        <v>356</v>
      </c>
      <c r="U1" s="598"/>
      <c r="V1" s="598"/>
      <c r="W1" s="598"/>
      <c r="X1" s="598"/>
      <c r="Y1" s="598"/>
      <c r="Z1" s="598"/>
      <c r="AA1" s="598"/>
      <c r="AB1" s="598"/>
      <c r="AC1" s="598"/>
      <c r="AD1" s="598" t="s">
        <v>356</v>
      </c>
      <c r="AE1" s="598"/>
      <c r="AF1" s="598"/>
      <c r="AG1" s="598"/>
      <c r="AH1" s="598"/>
      <c r="AI1" s="598"/>
      <c r="AJ1" s="598"/>
      <c r="AK1" s="598"/>
      <c r="AL1" s="598"/>
      <c r="AM1" s="598"/>
      <c r="AN1" s="598" t="s">
        <v>356</v>
      </c>
      <c r="AO1" s="598"/>
      <c r="AP1" s="598"/>
      <c r="AQ1" s="598"/>
      <c r="AR1" s="598"/>
      <c r="AS1" s="598"/>
      <c r="AT1" s="598"/>
      <c r="AU1" s="598"/>
      <c r="AV1" s="598"/>
      <c r="AW1" s="598"/>
      <c r="AX1" s="201"/>
      <c r="AY1" s="611" t="s">
        <v>195</v>
      </c>
      <c r="AZ1" s="613" t="s">
        <v>394</v>
      </c>
      <c r="BA1" s="132"/>
      <c r="BB1" s="611" t="s">
        <v>195</v>
      </c>
      <c r="BC1" s="613" t="s">
        <v>394</v>
      </c>
      <c r="BD1" s="132"/>
      <c r="BE1" s="203" t="s">
        <v>151</v>
      </c>
      <c r="BF1" s="230">
        <f>Pefect_1!BE21</f>
        <v>100</v>
      </c>
      <c r="BG1" s="205"/>
      <c r="BH1" s="205"/>
      <c r="BI1" s="132"/>
      <c r="BJ1" s="611" t="s">
        <v>195</v>
      </c>
      <c r="BK1" s="613" t="s">
        <v>394</v>
      </c>
      <c r="BL1" s="132"/>
      <c r="BM1" s="203" t="s">
        <v>151</v>
      </c>
      <c r="BN1" s="230">
        <f>Pefect_1!BO21</f>
        <v>150</v>
      </c>
      <c r="BO1" s="205"/>
      <c r="BP1" s="205"/>
      <c r="BQ1" s="132"/>
      <c r="BR1" s="611" t="s">
        <v>195</v>
      </c>
      <c r="BS1" s="613" t="s">
        <v>394</v>
      </c>
      <c r="BT1" s="132"/>
      <c r="BU1" s="203" t="s">
        <v>151</v>
      </c>
      <c r="BV1" s="230">
        <f>Pefect_1!BY21</f>
        <v>500</v>
      </c>
      <c r="BW1" s="191"/>
    </row>
    <row r="2" spans="2:76" ht="15" customHeight="1" thickBot="1" x14ac:dyDescent="0.35">
      <c r="AY2" s="612"/>
      <c r="AZ2" s="614"/>
      <c r="BA2" s="132"/>
      <c r="BB2" s="612"/>
      <c r="BC2" s="614"/>
      <c r="BD2" s="132"/>
      <c r="BE2" s="203" t="s">
        <v>419</v>
      </c>
      <c r="BF2" s="204" t="s">
        <v>397</v>
      </c>
      <c r="BG2" s="204" t="s">
        <v>426</v>
      </c>
      <c r="BH2" s="205"/>
      <c r="BI2" s="132"/>
      <c r="BJ2" s="612"/>
      <c r="BK2" s="614"/>
      <c r="BL2" s="132"/>
      <c r="BM2" s="203" t="s">
        <v>419</v>
      </c>
      <c r="BN2" s="204" t="s">
        <v>397</v>
      </c>
      <c r="BO2" s="204" t="s">
        <v>426</v>
      </c>
      <c r="BP2" s="205"/>
      <c r="BQ2" s="132"/>
      <c r="BR2" s="612"/>
      <c r="BS2" s="614"/>
      <c r="BT2" s="132"/>
      <c r="BU2" s="203" t="s">
        <v>419</v>
      </c>
      <c r="BV2" s="204" t="s">
        <v>397</v>
      </c>
      <c r="BW2" s="204" t="s">
        <v>426</v>
      </c>
    </row>
    <row r="3" spans="2:76" ht="15" customHeight="1" x14ac:dyDescent="0.3">
      <c r="B3" s="70" t="s">
        <v>82</v>
      </c>
      <c r="C3" s="31" t="s">
        <v>357</v>
      </c>
      <c r="D3" s="31"/>
      <c r="K3" s="70" t="s">
        <v>82</v>
      </c>
      <c r="L3" s="31" t="s">
        <v>357</v>
      </c>
      <c r="T3" s="70" t="s">
        <v>82</v>
      </c>
      <c r="U3" s="31" t="s">
        <v>357</v>
      </c>
      <c r="AD3" s="70" t="s">
        <v>82</v>
      </c>
      <c r="AE3" s="31" t="s">
        <v>357</v>
      </c>
      <c r="AN3" s="70" t="s">
        <v>82</v>
      </c>
      <c r="AO3" s="31" t="s">
        <v>357</v>
      </c>
      <c r="AY3" s="134">
        <f t="shared" ref="AY3:AZ9" si="0">N35</f>
        <v>0</v>
      </c>
      <c r="AZ3" s="134">
        <f t="shared" si="0"/>
        <v>0</v>
      </c>
      <c r="BA3" s="132"/>
      <c r="BB3" s="132">
        <v>0</v>
      </c>
      <c r="BC3" s="132">
        <v>0</v>
      </c>
      <c r="BD3" s="132"/>
      <c r="BE3" s="228">
        <f>Pefect_1!BG24/10</f>
        <v>0</v>
      </c>
      <c r="BF3" s="134">
        <v>0</v>
      </c>
      <c r="BG3" s="134">
        <f>BF3+$AB$40</f>
        <v>1</v>
      </c>
      <c r="BH3" s="206">
        <f>BB3</f>
        <v>0</v>
      </c>
      <c r="BI3" s="132"/>
      <c r="BJ3" s="132">
        <v>0</v>
      </c>
      <c r="BK3" s="132">
        <v>0</v>
      </c>
      <c r="BL3" s="132"/>
      <c r="BM3" s="228">
        <f>Pefect_1!BQ24/10</f>
        <v>0</v>
      </c>
      <c r="BN3" s="134">
        <v>0</v>
      </c>
      <c r="BO3" s="134">
        <f>BN3+$AL$40</f>
        <v>1</v>
      </c>
      <c r="BP3" s="206">
        <f>BJ3</f>
        <v>0</v>
      </c>
      <c r="BQ3" s="132"/>
      <c r="BR3" s="132">
        <v>0</v>
      </c>
      <c r="BS3" s="132">
        <v>0</v>
      </c>
      <c r="BT3" s="132"/>
      <c r="BU3" s="228">
        <f>Pefect_1!CA24/10</f>
        <v>0</v>
      </c>
      <c r="BV3" s="134">
        <v>0</v>
      </c>
      <c r="BW3" s="134">
        <f>BV3+$AV$40</f>
        <v>1</v>
      </c>
      <c r="BX3" s="132">
        <f>BR3</f>
        <v>0</v>
      </c>
    </row>
    <row r="4" spans="2:76" ht="15" customHeight="1" x14ac:dyDescent="0.3">
      <c r="D4" s="16"/>
      <c r="E4" s="16"/>
      <c r="F4" s="16"/>
      <c r="AY4" s="134">
        <f t="shared" si="0"/>
        <v>4.7631816386903623</v>
      </c>
      <c r="AZ4" s="134">
        <f t="shared" si="0"/>
        <v>186.00396410958385</v>
      </c>
      <c r="BA4" s="132"/>
      <c r="BB4" s="132">
        <v>1</v>
      </c>
      <c r="BC4" s="134">
        <f>IF(BB4&lt;$AY$4,($AZ$4*(BB4-$AY$3)+$AZ$3*($AY$4-BB4))/($AY$4-$AY$3),IF(BB4&lt;$AY$5,($AZ$5*(BB4-$AY$4)+$AZ$4*($AY$5-BB4))/($AY$5-$AY$4),IF(BB4&lt;$AY$6,($AZ$6*(BB4-$AY$5)+$AZ$5*($AY$6-BB4))/($AY$6-$AY$5),IF(BB4&lt;$AY$7,($AZ$7*(BB4-$AY$6)+$AZ$6*($AY$7-BB4))/($AY$7-$AY$6),IF(BB4&lt;$AY$8,($AZ$8*(BB4-$AY$7)+$AZ$7*($AY$8-BB4))/($AY$8-$AY$7),IF(BB4&lt;$AY$9,($AZ$9*(BB4-$AY$8)+$AZ$8*($AY$9-BB4))/($AY$9-$AY$8),0))))))</f>
        <v>39.050361338041618</v>
      </c>
      <c r="BD4" s="132"/>
      <c r="BE4" s="229">
        <f>Pefect_1!BG25/10</f>
        <v>0</v>
      </c>
      <c r="BF4" s="134">
        <f>BE4*BC4</f>
        <v>0</v>
      </c>
      <c r="BG4" s="134">
        <f t="shared" ref="BG4:BG33" si="1">BF4+$AB$40</f>
        <v>1</v>
      </c>
      <c r="BH4" s="206">
        <f t="shared" ref="BH4:BH33" si="2">BB4</f>
        <v>1</v>
      </c>
      <c r="BI4" s="132"/>
      <c r="BJ4" s="132">
        <v>1</v>
      </c>
      <c r="BK4" s="134">
        <f>IF(BJ4&lt;$AY$4,($AZ$4*(BJ4-$AY$3)+$AZ$3*($AY$4-BJ4))/($AY$4-$AY$3),IF(BJ4&lt;$AY$5,($AZ$5*(BJ4-$AY$4)+$AZ$4*($AY$5-BJ4))/($AY$5-$AY$4),IF(BJ4&lt;$AY$6,($AZ$6*(BJ4-$AY$5)+$AZ$5*($AY$6-BJ4))/($AY$6-$AY$5),IF(BJ4&lt;$AY$7,($AZ$7*(BJ4-$AY$6)+$AZ$6*($AY$7-BJ4))/($AY$7-$AY$6),IF(BJ4&lt;$AY$8,($AZ$8*(BJ4-$AY$7)+$AZ$7*($AY$8-BJ4))/($AY$8-$AY$7),IF(BJ4&lt;$AY$9,($AZ$9*(BJ4-$AY$8)+$AZ$8*($AY$9-BJ4))/($AY$9-$AY$8),0))))))</f>
        <v>39.050361338041618</v>
      </c>
      <c r="BL4" s="132"/>
      <c r="BM4" s="229">
        <f>Pefect_1!BQ25/10</f>
        <v>0</v>
      </c>
      <c r="BN4" s="134">
        <f>BM4*BK4</f>
        <v>0</v>
      </c>
      <c r="BO4" s="134">
        <f t="shared" ref="BO4:BO33" si="3">BN4+$AL$40</f>
        <v>1</v>
      </c>
      <c r="BP4" s="206">
        <f t="shared" ref="BP4:BP33" si="4">BJ4</f>
        <v>1</v>
      </c>
      <c r="BQ4" s="132"/>
      <c r="BR4" s="132">
        <v>1</v>
      </c>
      <c r="BS4" s="134">
        <f>IF(BR4&lt;$AY$4,($AZ$4*(BR4-$AY$3)+$AZ$3*($AY$4-BR4))/($AY$4-$AY$3),IF(BR4&lt;$AY$5,($AZ$5*(BR4-$AY$4)+$AZ$4*($AY$5-BR4))/($AY$5-$AY$4),IF(BR4&lt;$AY$6,($AZ$6*(BR4-$AY$5)+$AZ$5*($AY$6-BR4))/($AY$6-$AY$5),IF(BR4&lt;$AY$7,($AZ$7*(BR4-$AY$6)+$AZ$6*($AY$7-BR4))/($AY$7-$AY$6),IF(BR4&lt;$AY$8,($AZ$8*(BR4-$AY$7)+$AZ$7*($AY$8-BR4))/($AY$8-$AY$7),IF(BR4&lt;$AY$9,($AZ$9*(BR4-$AY$8)+$AZ$8*($AY$9-BR4))/($AY$9-$AY$8),0))))))</f>
        <v>39.050361338041618</v>
      </c>
      <c r="BT4" s="132"/>
      <c r="BU4" s="229">
        <f>Pefect_1!CA25/10</f>
        <v>0</v>
      </c>
      <c r="BV4" s="134">
        <f>BU4*BS4</f>
        <v>0</v>
      </c>
      <c r="BW4" s="134">
        <f t="shared" ref="BW4:BW33" si="5">BV4+$AV$40</f>
        <v>1</v>
      </c>
      <c r="BX4" s="132">
        <f t="shared" ref="BX4:BX33" si="6">BR4</f>
        <v>1</v>
      </c>
    </row>
    <row r="5" spans="2:76" ht="15" customHeight="1" x14ac:dyDescent="0.3">
      <c r="B5" s="169" t="s">
        <v>414</v>
      </c>
      <c r="D5" s="16"/>
      <c r="E5" s="16"/>
      <c r="F5" s="16"/>
      <c r="K5" s="169" t="s">
        <v>428</v>
      </c>
      <c r="AY5" s="134">
        <f t="shared" si="0"/>
        <v>6.6895207038088635</v>
      </c>
      <c r="AZ5" s="134">
        <f t="shared" si="0"/>
        <v>279.00594616437576</v>
      </c>
      <c r="BA5" s="132"/>
      <c r="BB5" s="132">
        <v>2</v>
      </c>
      <c r="BC5" s="134">
        <f t="shared" ref="BC5:BC33" si="7">IF(BB5&lt;$AY$4,($AZ$4*(BB5-$AY$3)+$AZ$3*($AY$4-BB5))/($AY$4-$AY$3),IF(BB5&lt;$AY$5,($AZ$5*(BB5-$AY$4)+$AZ$4*($AY$5-BB5))/($AY$5-$AY$4),IF(BB5&lt;$AY$6,($AZ$6*(BB5-$AY$5)+$AZ$5*($AY$6-BB5))/($AY$6-$AY$5),IF(BB5&lt;$AY$7,($AZ$7*(BB5-$AY$6)+$AZ$6*($AY$7-BB5))/($AY$7-$AY$6),IF(BB5&lt;$AY$8,($AZ$8*(BB5-$AY$7)+$AZ$7*($AY$8-BB5))/($AY$8-$AY$7),IF(BB5&lt;$AY$9,($AZ$9*(BB5-$AY$8)+$AZ$8*($AY$9-BB5))/($AY$9-$AY$8),0))))))</f>
        <v>78.100722676083237</v>
      </c>
      <c r="BD5" s="132"/>
      <c r="BE5" s="229">
        <f>Pefect_1!BG26/10</f>
        <v>0</v>
      </c>
      <c r="BF5" s="134">
        <f>BE4*BC5+BE5*BC4</f>
        <v>0</v>
      </c>
      <c r="BG5" s="134">
        <f t="shared" si="1"/>
        <v>1</v>
      </c>
      <c r="BH5" s="206">
        <f t="shared" si="2"/>
        <v>2</v>
      </c>
      <c r="BI5" s="132"/>
      <c r="BJ5" s="132">
        <v>2</v>
      </c>
      <c r="BK5" s="134">
        <f t="shared" ref="BK5:BK33" si="8">IF(BJ5&lt;$AY$4,($AZ$4*(BJ5-$AY$3)+$AZ$3*($AY$4-BJ5))/($AY$4-$AY$3),IF(BJ5&lt;$AY$5,($AZ$5*(BJ5-$AY$4)+$AZ$4*($AY$5-BJ5))/($AY$5-$AY$4),IF(BJ5&lt;$AY$6,($AZ$6*(BJ5-$AY$5)+$AZ$5*($AY$6-BJ5))/($AY$6-$AY$5),IF(BJ5&lt;$AY$7,($AZ$7*(BJ5-$AY$6)+$AZ$6*($AY$7-BJ5))/($AY$7-$AY$6),IF(BJ5&lt;$AY$8,($AZ$8*(BJ5-$AY$7)+$AZ$7*($AY$8-BJ5))/($AY$8-$AY$7),IF(BJ5&lt;$AY$9,($AZ$9*(BJ5-$AY$8)+$AZ$8*($AY$9-BJ5))/($AY$9-$AY$8),0))))))</f>
        <v>78.100722676083237</v>
      </c>
      <c r="BL5" s="132"/>
      <c r="BM5" s="229">
        <f>Pefect_1!BQ26/10</f>
        <v>0</v>
      </c>
      <c r="BN5" s="134">
        <f>BM4*BK5+BM5*BK4</f>
        <v>0</v>
      </c>
      <c r="BO5" s="134">
        <f t="shared" si="3"/>
        <v>1</v>
      </c>
      <c r="BP5" s="206">
        <f t="shared" si="4"/>
        <v>2</v>
      </c>
      <c r="BQ5" s="132"/>
      <c r="BR5" s="132">
        <v>2</v>
      </c>
      <c r="BS5" s="134">
        <f t="shared" ref="BS5:BS33" si="9">IF(BR5&lt;$AY$4,($AZ$4*(BR5-$AY$3)+$AZ$3*($AY$4-BR5))/($AY$4-$AY$3),IF(BR5&lt;$AY$5,($AZ$5*(BR5-$AY$4)+$AZ$4*($AY$5-BR5))/($AY$5-$AY$4),IF(BR5&lt;$AY$6,($AZ$6*(BR5-$AY$5)+$AZ$5*($AY$6-BR5))/($AY$6-$AY$5),IF(BR5&lt;$AY$7,($AZ$7*(BR5-$AY$6)+$AZ$6*($AY$7-BR5))/($AY$7-$AY$6),IF(BR5&lt;$AY$8,($AZ$8*(BR5-$AY$7)+$AZ$7*($AY$8-BR5))/($AY$8-$AY$7),IF(BR5&lt;$AY$9,($AZ$9*(BR5-$AY$8)+$AZ$8*($AY$9-BR5))/($AY$9-$AY$8),0))))))</f>
        <v>78.100722676083237</v>
      </c>
      <c r="BT5" s="132"/>
      <c r="BU5" s="229">
        <f>Pefect_1!CA26/10</f>
        <v>0</v>
      </c>
      <c r="BV5" s="134">
        <f>BU4*BS5+BU5*BS4</f>
        <v>0</v>
      </c>
      <c r="BW5" s="134">
        <f t="shared" si="5"/>
        <v>1</v>
      </c>
      <c r="BX5" s="132">
        <f t="shared" si="6"/>
        <v>2</v>
      </c>
    </row>
    <row r="6" spans="2:76" ht="15" customHeight="1" x14ac:dyDescent="0.3">
      <c r="B6" s="169"/>
      <c r="D6" s="16"/>
      <c r="E6" s="16"/>
      <c r="F6" s="16"/>
      <c r="K6" s="169" t="s">
        <v>429</v>
      </c>
      <c r="AY6" s="134">
        <f t="shared" si="0"/>
        <v>9.2440138119007891</v>
      </c>
      <c r="AZ6" s="134">
        <f t="shared" si="0"/>
        <v>372.0079282191677</v>
      </c>
      <c r="BA6" s="132"/>
      <c r="BB6" s="132">
        <v>3</v>
      </c>
      <c r="BC6" s="134">
        <f t="shared" si="7"/>
        <v>117.15108401412485</v>
      </c>
      <c r="BD6" s="132"/>
      <c r="BE6" s="229">
        <f>Pefect_1!BG27/10</f>
        <v>0</v>
      </c>
      <c r="BF6" s="134">
        <f>BE4*BC6+BE5*BC5+BE6*BC4</f>
        <v>0</v>
      </c>
      <c r="BG6" s="134">
        <f t="shared" si="1"/>
        <v>1</v>
      </c>
      <c r="BH6" s="206">
        <f t="shared" si="2"/>
        <v>3</v>
      </c>
      <c r="BI6" s="132"/>
      <c r="BJ6" s="132">
        <v>3</v>
      </c>
      <c r="BK6" s="134">
        <f t="shared" si="8"/>
        <v>117.15108401412485</v>
      </c>
      <c r="BL6" s="132"/>
      <c r="BM6" s="229">
        <f>Pefect_1!BQ27/10</f>
        <v>0</v>
      </c>
      <c r="BN6" s="134">
        <f>BM4*BK6+BM5*BK5+BM6*BK4</f>
        <v>0</v>
      </c>
      <c r="BO6" s="134">
        <f t="shared" si="3"/>
        <v>1</v>
      </c>
      <c r="BP6" s="206">
        <f t="shared" si="4"/>
        <v>3</v>
      </c>
      <c r="BQ6" s="132"/>
      <c r="BR6" s="132">
        <v>3</v>
      </c>
      <c r="BS6" s="134">
        <f t="shared" si="9"/>
        <v>117.15108401412485</v>
      </c>
      <c r="BT6" s="132"/>
      <c r="BU6" s="229">
        <f>Pefect_1!CA27/10</f>
        <v>0</v>
      </c>
      <c r="BV6" s="134">
        <f>BU4*BS6+BU5*BS5+BU6*BS4</f>
        <v>0</v>
      </c>
      <c r="BW6" s="134">
        <f t="shared" si="5"/>
        <v>1</v>
      </c>
      <c r="BX6" s="132">
        <f t="shared" si="6"/>
        <v>3</v>
      </c>
    </row>
    <row r="7" spans="2:76" ht="15" customHeight="1" x14ac:dyDescent="0.3">
      <c r="B7" s="24" t="s">
        <v>335</v>
      </c>
      <c r="D7" s="16"/>
      <c r="E7" s="16"/>
      <c r="F7" s="16"/>
      <c r="K7" s="24" t="s">
        <v>335</v>
      </c>
      <c r="M7" s="16"/>
      <c r="N7" s="16"/>
      <c r="AY7" s="134">
        <f t="shared" si="0"/>
        <v>14.35300002808464</v>
      </c>
      <c r="AZ7" s="134">
        <f t="shared" si="0"/>
        <v>279.00594616437576</v>
      </c>
      <c r="BA7" s="132"/>
      <c r="BB7" s="132">
        <v>4</v>
      </c>
      <c r="BC7" s="134">
        <f t="shared" si="7"/>
        <v>156.20144535216647</v>
      </c>
      <c r="BD7" s="132"/>
      <c r="BE7" s="229">
        <f>Pefect_1!BG28/10</f>
        <v>0</v>
      </c>
      <c r="BF7" s="134">
        <f>BE4*BC7+BE5*BC6+BE6*BC5+BE7*BC4</f>
        <v>0</v>
      </c>
      <c r="BG7" s="134">
        <f t="shared" si="1"/>
        <v>1</v>
      </c>
      <c r="BH7" s="206">
        <f t="shared" si="2"/>
        <v>4</v>
      </c>
      <c r="BI7" s="132"/>
      <c r="BJ7" s="132">
        <v>4</v>
      </c>
      <c r="BK7" s="134">
        <f t="shared" si="8"/>
        <v>156.20144535216647</v>
      </c>
      <c r="BL7" s="132"/>
      <c r="BM7" s="229">
        <f>Pefect_1!BQ28/10</f>
        <v>0</v>
      </c>
      <c r="BN7" s="134">
        <f>BM4*BK7+BM5*BK6+BM6*BK5+BM7*BK4</f>
        <v>0</v>
      </c>
      <c r="BO7" s="134">
        <f t="shared" si="3"/>
        <v>1</v>
      </c>
      <c r="BP7" s="206">
        <f t="shared" si="4"/>
        <v>4</v>
      </c>
      <c r="BQ7" s="132"/>
      <c r="BR7" s="132">
        <v>4</v>
      </c>
      <c r="BS7" s="134">
        <f t="shared" si="9"/>
        <v>156.20144535216647</v>
      </c>
      <c r="BT7" s="132"/>
      <c r="BU7" s="229">
        <f>Pefect_1!CA28/10</f>
        <v>0</v>
      </c>
      <c r="BV7" s="134">
        <f>BU4*BS7+BU5*BS6+BU6*BS5+BU7*BS4</f>
        <v>0</v>
      </c>
      <c r="BW7" s="134">
        <f t="shared" si="5"/>
        <v>1</v>
      </c>
      <c r="BX7" s="132">
        <f t="shared" si="6"/>
        <v>4</v>
      </c>
    </row>
    <row r="8" spans="2:76" ht="15" customHeight="1" x14ac:dyDescent="0.3">
      <c r="D8" s="16"/>
      <c r="E8" s="16"/>
      <c r="F8" s="16"/>
      <c r="M8" s="16"/>
      <c r="N8" s="16"/>
      <c r="AY8" s="134">
        <f t="shared" si="0"/>
        <v>18.205678158321643</v>
      </c>
      <c r="AZ8" s="134">
        <f t="shared" si="0"/>
        <v>186.00396410958385</v>
      </c>
      <c r="BA8" s="132"/>
      <c r="BB8" s="132">
        <v>5</v>
      </c>
      <c r="BC8" s="134">
        <f t="shared" si="7"/>
        <v>197.43734953356127</v>
      </c>
      <c r="BD8" s="132"/>
      <c r="BE8" s="229">
        <f>Pefect_1!BG29/10</f>
        <v>0</v>
      </c>
      <c r="BF8" s="134">
        <f>BE4*BC8+BE5*BC7+BE6*BC6+BE7*BC5+BE8*BC4</f>
        <v>0</v>
      </c>
      <c r="BG8" s="134">
        <f t="shared" si="1"/>
        <v>1</v>
      </c>
      <c r="BH8" s="206">
        <f t="shared" si="2"/>
        <v>5</v>
      </c>
      <c r="BI8" s="132"/>
      <c r="BJ8" s="132">
        <v>5</v>
      </c>
      <c r="BK8" s="134">
        <f t="shared" si="8"/>
        <v>197.43734953356127</v>
      </c>
      <c r="BL8" s="132"/>
      <c r="BM8" s="229">
        <f>Pefect_1!BQ29/10</f>
        <v>0</v>
      </c>
      <c r="BN8" s="134">
        <f>BM4*BK8+BM5*BK7+BM6*BK6+BM7*BK5+BM8*BK4</f>
        <v>0</v>
      </c>
      <c r="BO8" s="134">
        <f t="shared" si="3"/>
        <v>1</v>
      </c>
      <c r="BP8" s="206">
        <f t="shared" si="4"/>
        <v>5</v>
      </c>
      <c r="BQ8" s="132"/>
      <c r="BR8" s="132">
        <v>5</v>
      </c>
      <c r="BS8" s="134">
        <f t="shared" si="9"/>
        <v>197.43734953356127</v>
      </c>
      <c r="BT8" s="132"/>
      <c r="BU8" s="229">
        <f>Pefect_1!CA29/10</f>
        <v>0</v>
      </c>
      <c r="BV8" s="134">
        <f>BU4*BS8+BU5*BS7+BU6*BS6+BU7*BS5+BU8*BS4</f>
        <v>0</v>
      </c>
      <c r="BW8" s="134">
        <f t="shared" si="5"/>
        <v>1</v>
      </c>
      <c r="BX8" s="132">
        <f t="shared" si="6"/>
        <v>5</v>
      </c>
    </row>
    <row r="9" spans="2:76" ht="15" customHeight="1" x14ac:dyDescent="0.35">
      <c r="B9" s="23" t="s">
        <v>358</v>
      </c>
      <c r="C9" s="189">
        <f>Cuadros!D9</f>
        <v>2039.3996629999999</v>
      </c>
      <c r="D9" s="169" t="s">
        <v>359</v>
      </c>
      <c r="E9" s="21" t="s">
        <v>360</v>
      </c>
      <c r="K9" s="23" t="s">
        <v>361</v>
      </c>
      <c r="L9" s="190">
        <v>1</v>
      </c>
      <c r="M9" s="21" t="s">
        <v>288</v>
      </c>
      <c r="N9" s="21" t="s">
        <v>362</v>
      </c>
      <c r="AY9" s="134">
        <f t="shared" si="0"/>
        <v>30.480700184431591</v>
      </c>
      <c r="AZ9" s="134">
        <f t="shared" si="0"/>
        <v>0</v>
      </c>
      <c r="BA9" s="132"/>
      <c r="BB9" s="132">
        <v>6</v>
      </c>
      <c r="BC9" s="134">
        <f t="shared" si="7"/>
        <v>245.71648363764524</v>
      </c>
      <c r="BD9" s="132"/>
      <c r="BE9" s="229">
        <f>Pefect_1!BG30/10</f>
        <v>0</v>
      </c>
      <c r="BF9" s="134">
        <f>BE4*BC9+BE5*BC8+BE6*BC7+BE7*BC6+BE8*BC5+BE9*BC4</f>
        <v>0</v>
      </c>
      <c r="BG9" s="134">
        <f t="shared" si="1"/>
        <v>1</v>
      </c>
      <c r="BH9" s="206">
        <f t="shared" si="2"/>
        <v>6</v>
      </c>
      <c r="BI9" s="132"/>
      <c r="BJ9" s="132">
        <v>6</v>
      </c>
      <c r="BK9" s="134">
        <f t="shared" si="8"/>
        <v>245.71648363764524</v>
      </c>
      <c r="BL9" s="132"/>
      <c r="BM9" s="229">
        <f>Pefect_1!BQ30/10</f>
        <v>0</v>
      </c>
      <c r="BN9" s="134">
        <f>BM4*BK9+BM5*BK8+BM6*BK7+BM7*BK6+BM8*BK5+BM9*BK4</f>
        <v>0</v>
      </c>
      <c r="BO9" s="134">
        <f t="shared" si="3"/>
        <v>1</v>
      </c>
      <c r="BP9" s="206">
        <f t="shared" si="4"/>
        <v>6</v>
      </c>
      <c r="BQ9" s="132"/>
      <c r="BR9" s="132">
        <v>6</v>
      </c>
      <c r="BS9" s="134">
        <f t="shared" si="9"/>
        <v>245.71648363764524</v>
      </c>
      <c r="BT9" s="132"/>
      <c r="BU9" s="229">
        <f>Pefect_1!CA30/10</f>
        <v>0</v>
      </c>
      <c r="BV9" s="134">
        <f>BU4*BS9+BU5*BS8+BU6*BS7+BU7*BS6+BU8*BS5+BU9*BS4</f>
        <v>0</v>
      </c>
      <c r="BW9" s="134">
        <f t="shared" si="5"/>
        <v>1</v>
      </c>
      <c r="BX9" s="132">
        <f t="shared" si="6"/>
        <v>6</v>
      </c>
    </row>
    <row r="10" spans="2:76" ht="15" customHeight="1" x14ac:dyDescent="0.3">
      <c r="B10" s="23" t="s">
        <v>363</v>
      </c>
      <c r="C10" s="189">
        <f>Cuadros!E9</f>
        <v>83.9</v>
      </c>
      <c r="D10" s="21" t="s">
        <v>267</v>
      </c>
      <c r="E10" s="21" t="s">
        <v>364</v>
      </c>
      <c r="F10" s="76"/>
      <c r="AY10" s="134"/>
      <c r="AZ10" s="132"/>
      <c r="BA10" s="132"/>
      <c r="BB10" s="132">
        <v>7</v>
      </c>
      <c r="BC10" s="134">
        <f t="shared" si="7"/>
        <v>290.30963292762596</v>
      </c>
      <c r="BD10" s="132"/>
      <c r="BE10" s="229">
        <f>Pefect_1!BG31/10</f>
        <v>0</v>
      </c>
      <c r="BF10" s="134">
        <f>BE4*BC10+BE5*BC9+BE6*BC8+BE7*BC7+BE8*BC6+BE9*BC5+BE10*BC4</f>
        <v>0</v>
      </c>
      <c r="BG10" s="134">
        <f t="shared" si="1"/>
        <v>1</v>
      </c>
      <c r="BH10" s="206">
        <f t="shared" si="2"/>
        <v>7</v>
      </c>
      <c r="BI10" s="132"/>
      <c r="BJ10" s="132">
        <v>7</v>
      </c>
      <c r="BK10" s="134">
        <f t="shared" si="8"/>
        <v>290.30963292762596</v>
      </c>
      <c r="BL10" s="132"/>
      <c r="BM10" s="229">
        <f>Pefect_1!BQ31/10</f>
        <v>0</v>
      </c>
      <c r="BN10" s="134">
        <f>BM4*BK10+BM5*BK9+BM6*BK8+BM7*BK7+BM8*BK6+BM9*BK5+BM10*BK4</f>
        <v>0</v>
      </c>
      <c r="BO10" s="134">
        <f t="shared" si="3"/>
        <v>1</v>
      </c>
      <c r="BP10" s="206">
        <f t="shared" si="4"/>
        <v>7</v>
      </c>
      <c r="BQ10" s="132"/>
      <c r="BR10" s="132">
        <v>7</v>
      </c>
      <c r="BS10" s="134">
        <f t="shared" si="9"/>
        <v>290.30963292762596</v>
      </c>
      <c r="BT10" s="132"/>
      <c r="BU10" s="229">
        <f>Pefect_1!CA31/10</f>
        <v>0</v>
      </c>
      <c r="BV10" s="134">
        <f>BU4*BS10+BU5*BS9+BU6*BS8+BU7*BS7+BU8*BS6+BU9*BS5+BU10*BS4</f>
        <v>0</v>
      </c>
      <c r="BW10" s="134">
        <f t="shared" si="5"/>
        <v>1</v>
      </c>
      <c r="BX10" s="132">
        <f t="shared" si="6"/>
        <v>7</v>
      </c>
    </row>
    <row r="11" spans="2:76" ht="15" customHeight="1" x14ac:dyDescent="0.3">
      <c r="B11" s="23" t="s">
        <v>365</v>
      </c>
      <c r="C11" s="189">
        <v>6.4</v>
      </c>
      <c r="D11" s="21" t="s">
        <v>267</v>
      </c>
      <c r="E11" s="21" t="s">
        <v>366</v>
      </c>
      <c r="F11" s="76"/>
      <c r="I11" s="1"/>
      <c r="K11" s="24" t="s">
        <v>340</v>
      </c>
      <c r="AY11" s="134"/>
      <c r="AZ11" s="132"/>
      <c r="BA11" s="132"/>
      <c r="BB11" s="132">
        <v>8</v>
      </c>
      <c r="BC11" s="134">
        <f t="shared" si="7"/>
        <v>326.71684880939421</v>
      </c>
      <c r="BD11" s="132"/>
      <c r="BE11" s="229">
        <f>Pefect_1!BG32/10</f>
        <v>0</v>
      </c>
      <c r="BF11" s="134">
        <f>BE4*BC11+BE5*BC10+BE6*BC9+BE7*BC8+BE8*BC7+BE9*BC6+BE10*BC5+BE11*BC4</f>
        <v>0</v>
      </c>
      <c r="BG11" s="134">
        <f t="shared" si="1"/>
        <v>1</v>
      </c>
      <c r="BH11" s="206">
        <f t="shared" si="2"/>
        <v>8</v>
      </c>
      <c r="BI11" s="132"/>
      <c r="BJ11" s="132">
        <v>8</v>
      </c>
      <c r="BK11" s="134">
        <f t="shared" si="8"/>
        <v>326.71684880939421</v>
      </c>
      <c r="BL11" s="132"/>
      <c r="BM11" s="229">
        <f>Pefect_1!BQ32/10</f>
        <v>0</v>
      </c>
      <c r="BN11" s="134">
        <f>BM4*BK11+BM5*BK10+BM6*BK9+BM7*BK8+BM8*BK7+BM9*BK6+BM10*BK5+BM11*BK4</f>
        <v>0</v>
      </c>
      <c r="BO11" s="134">
        <f t="shared" si="3"/>
        <v>1</v>
      </c>
      <c r="BP11" s="206">
        <f t="shared" si="4"/>
        <v>8</v>
      </c>
      <c r="BQ11" s="132"/>
      <c r="BR11" s="132">
        <v>8</v>
      </c>
      <c r="BS11" s="134">
        <f t="shared" si="9"/>
        <v>326.71684880939421</v>
      </c>
      <c r="BT11" s="132"/>
      <c r="BU11" s="229">
        <f>Pefect_1!CA32/10</f>
        <v>0</v>
      </c>
      <c r="BV11" s="134">
        <f>BU4*BS11+BU5*BS10+BU6*BS9+BU7*BS8+BU8*BS7+BU9*BS6+BU10*BS5+BU11*BS4</f>
        <v>0</v>
      </c>
      <c r="BW11" s="134">
        <f t="shared" si="5"/>
        <v>1</v>
      </c>
      <c r="BX11" s="132">
        <f t="shared" si="6"/>
        <v>8</v>
      </c>
    </row>
    <row r="12" spans="2:76" ht="15" customHeight="1" x14ac:dyDescent="0.3">
      <c r="B12" s="23" t="s">
        <v>367</v>
      </c>
      <c r="C12" s="189">
        <v>1.8</v>
      </c>
      <c r="D12" s="21"/>
      <c r="E12" s="36" t="s">
        <v>368</v>
      </c>
      <c r="F12" s="76"/>
      <c r="I12" s="1"/>
      <c r="AY12" s="134"/>
      <c r="AZ12" s="132"/>
      <c r="BA12" s="132"/>
      <c r="BB12" s="132">
        <v>9</v>
      </c>
      <c r="BC12" s="134">
        <f t="shared" si="7"/>
        <v>363.12406469116252</v>
      </c>
      <c r="BD12" s="132"/>
      <c r="BE12" s="229">
        <f>Pefect_1!BG33/10</f>
        <v>0</v>
      </c>
      <c r="BF12" s="134">
        <f>BE4*BC12+BE5*BC11+BE6*BC10+BE7*BC9+BE8*BC8+BE9*BC7+BE10*BC6+BE11*BC5+BE12*BC4</f>
        <v>0</v>
      </c>
      <c r="BG12" s="134">
        <f t="shared" si="1"/>
        <v>1</v>
      </c>
      <c r="BH12" s="206">
        <f t="shared" si="2"/>
        <v>9</v>
      </c>
      <c r="BI12" s="132"/>
      <c r="BJ12" s="132">
        <v>9</v>
      </c>
      <c r="BK12" s="134">
        <f t="shared" si="8"/>
        <v>363.12406469116252</v>
      </c>
      <c r="BL12" s="132"/>
      <c r="BM12" s="229">
        <f>Pefect_1!BQ33/10</f>
        <v>0</v>
      </c>
      <c r="BN12" s="134">
        <f>BM4*BK12+BM5*BK11+BM6*BK10+BM7*BK9+BM8*BK8+BM9*BK7+BM10*BK6+BM11*BK5+BM12*BK4</f>
        <v>0</v>
      </c>
      <c r="BO12" s="134">
        <f t="shared" si="3"/>
        <v>1</v>
      </c>
      <c r="BP12" s="206">
        <f t="shared" si="4"/>
        <v>9</v>
      </c>
      <c r="BQ12" s="132"/>
      <c r="BR12" s="132">
        <v>9</v>
      </c>
      <c r="BS12" s="134">
        <f t="shared" si="9"/>
        <v>363.12406469116252</v>
      </c>
      <c r="BT12" s="132"/>
      <c r="BU12" s="229">
        <f>Pefect_1!CA33/10</f>
        <v>0</v>
      </c>
      <c r="BV12" s="134">
        <f>BU4*BS12+BU5*BS11+BU6*BS10+BU7*BS9+BU8*BS8+BU9*BS7+BU10*BS6+BU11*BS5+BU12*BS4</f>
        <v>0</v>
      </c>
      <c r="BW12" s="134">
        <f t="shared" si="5"/>
        <v>1</v>
      </c>
      <c r="BX12" s="132">
        <f t="shared" si="6"/>
        <v>9</v>
      </c>
    </row>
    <row r="13" spans="2:76" ht="15" customHeight="1" x14ac:dyDescent="0.35">
      <c r="B13" s="23" t="s">
        <v>369</v>
      </c>
      <c r="C13" s="189">
        <v>0.57999999999999996</v>
      </c>
      <c r="E13" s="24" t="s">
        <v>370</v>
      </c>
      <c r="F13" s="76"/>
      <c r="I13" s="1"/>
      <c r="K13" s="23" t="s">
        <v>371</v>
      </c>
      <c r="L13" s="190">
        <f>C19-((C22-L9)/4)</f>
        <v>8.7440138119007891</v>
      </c>
      <c r="M13" s="21" t="s">
        <v>288</v>
      </c>
      <c r="N13" s="24" t="s">
        <v>372</v>
      </c>
      <c r="AY13" s="134"/>
      <c r="AZ13" s="132"/>
      <c r="BA13" s="132"/>
      <c r="BB13" s="132">
        <v>10</v>
      </c>
      <c r="BC13" s="134">
        <f t="shared" si="7"/>
        <v>358.24625204228613</v>
      </c>
      <c r="BD13" s="132"/>
      <c r="BE13" s="229">
        <f>Pefect_1!BG34/10</f>
        <v>0</v>
      </c>
      <c r="BF13" s="134">
        <f>BE4*BC13+BE5*BC12+BE6*BC11+BE7*BC10+BE8*BC9+BE9*BC8+BE10*BC7+BE11*BC6+BE12*BC5+BE13*BC4</f>
        <v>0</v>
      </c>
      <c r="BG13" s="134">
        <f t="shared" si="1"/>
        <v>1</v>
      </c>
      <c r="BH13" s="206">
        <f t="shared" si="2"/>
        <v>10</v>
      </c>
      <c r="BI13" s="132"/>
      <c r="BJ13" s="132">
        <v>10</v>
      </c>
      <c r="BK13" s="134">
        <f t="shared" si="8"/>
        <v>358.24625204228613</v>
      </c>
      <c r="BL13" s="132"/>
      <c r="BM13" s="229">
        <f>Pefect_1!BQ34/10</f>
        <v>1.0556890618287907E-5</v>
      </c>
      <c r="BN13" s="134">
        <f>BM4*BK13+BM5*BK12+BM6*BK11+BM7*BK10+BM8*BK9+BM9*BK8+BM10*BK7+BM11*BK6+BM12*BK5+BM13*BK4</f>
        <v>4.1225039325032436E-4</v>
      </c>
      <c r="BO13" s="134">
        <f t="shared" si="3"/>
        <v>1.0004122503932504</v>
      </c>
      <c r="BP13" s="206">
        <f t="shared" si="4"/>
        <v>10</v>
      </c>
      <c r="BQ13" s="132"/>
      <c r="BR13" s="132">
        <v>10</v>
      </c>
      <c r="BS13" s="134">
        <f t="shared" si="9"/>
        <v>358.24625204228613</v>
      </c>
      <c r="BT13" s="132"/>
      <c r="BU13" s="229">
        <f>Pefect_1!CA34/10</f>
        <v>2.0803357046682014E-3</v>
      </c>
      <c r="BV13" s="134">
        <f>BU4*BS13+BU5*BS12+BU6*BS11+BU7*BS10+BU8*BS9+BU9*BS8+BU10*BS7+BU11*BS6+BU12*BS5+BU13*BS4</f>
        <v>8.1237860971722697E-2</v>
      </c>
      <c r="BW13" s="134">
        <f t="shared" si="5"/>
        <v>1.0812378609717226</v>
      </c>
      <c r="BX13" s="132">
        <f t="shared" si="6"/>
        <v>10</v>
      </c>
    </row>
    <row r="14" spans="2:76" ht="15" customHeight="1" x14ac:dyDescent="0.3">
      <c r="B14" s="23"/>
      <c r="E14" s="24"/>
      <c r="F14" s="76"/>
      <c r="I14" s="1"/>
      <c r="AY14" s="134"/>
      <c r="AZ14" s="132"/>
      <c r="BA14" s="132"/>
      <c r="BB14" s="132">
        <v>11</v>
      </c>
      <c r="BC14" s="134">
        <f t="shared" si="7"/>
        <v>340.04264410140206</v>
      </c>
      <c r="BD14" s="132"/>
      <c r="BE14" s="229">
        <f>Pefect_1!BG35/10</f>
        <v>1.0640411849025444E-2</v>
      </c>
      <c r="BF14" s="134">
        <f>BE4*BC14+BE5*BC13+BE6*BC12+BE7*BC11+BE8*BC10+BE9*BC9+BE10*BC8+BE11*BC7+BE12*BC6+BE13*BC5+BE14*BC4</f>
        <v>0.41551192749002314</v>
      </c>
      <c r="BG14" s="134">
        <f t="shared" si="1"/>
        <v>1.4155119274900232</v>
      </c>
      <c r="BH14" s="206">
        <f t="shared" si="2"/>
        <v>11</v>
      </c>
      <c r="BI14" s="132"/>
      <c r="BJ14" s="132">
        <v>11</v>
      </c>
      <c r="BK14" s="134">
        <f t="shared" si="8"/>
        <v>340.04264410140206</v>
      </c>
      <c r="BL14" s="132"/>
      <c r="BM14" s="229">
        <f>Pefect_1!BQ35/10</f>
        <v>1.4836586612121502E-2</v>
      </c>
      <c r="BN14" s="134">
        <f>BM4*BK14+BM5*BK13+BM6*BK12+BM7*BK11+BM8*BK10+BM9*BK9+BM10*BK8+BM11*BK7+BM12*BK6+BM13*BK5+BM14*BK4</f>
        <v>0.58019856901299605</v>
      </c>
      <c r="BO14" s="134">
        <f t="shared" si="3"/>
        <v>1.580198569012996</v>
      </c>
      <c r="BP14" s="206">
        <f t="shared" si="4"/>
        <v>11</v>
      </c>
      <c r="BQ14" s="132"/>
      <c r="BR14" s="132">
        <v>11</v>
      </c>
      <c r="BS14" s="134">
        <f t="shared" si="9"/>
        <v>340.04264410140206</v>
      </c>
      <c r="BT14" s="132"/>
      <c r="BU14" s="229">
        <f>Pefect_1!CA35/10</f>
        <v>2.8072633237676069E-2</v>
      </c>
      <c r="BV14" s="134">
        <f>BU4*BS14+BU5*BS13+BU6*BS12+BU7*BS11+BU8*BS10+BU9*BS9+BU10*BS8+BU11*BS7+BU12*BS6+BU13*BS5+BU14*BS4</f>
        <v>1.258722193585013</v>
      </c>
      <c r="BW14" s="134">
        <f t="shared" si="5"/>
        <v>2.258722193585013</v>
      </c>
      <c r="BX14" s="132">
        <f t="shared" si="6"/>
        <v>11</v>
      </c>
    </row>
    <row r="15" spans="2:76" ht="15" customHeight="1" x14ac:dyDescent="0.35">
      <c r="B15" s="24" t="s">
        <v>340</v>
      </c>
      <c r="F15" s="76"/>
      <c r="I15" s="4"/>
      <c r="K15" s="23" t="s">
        <v>373</v>
      </c>
      <c r="L15" s="190">
        <f>C26*C19/L13</f>
        <v>0.18241050784128118</v>
      </c>
      <c r="M15" s="169" t="s">
        <v>374</v>
      </c>
      <c r="N15" s="24" t="s">
        <v>375</v>
      </c>
      <c r="AY15" s="132"/>
      <c r="AZ15" s="132"/>
      <c r="BA15" s="132"/>
      <c r="BB15" s="132">
        <v>12</v>
      </c>
      <c r="BC15" s="134">
        <f t="shared" si="7"/>
        <v>321.83903616051788</v>
      </c>
      <c r="BD15" s="132"/>
      <c r="BE15" s="229">
        <f>Pefect_1!BG36/10</f>
        <v>0.70403674824291884</v>
      </c>
      <c r="BF15" s="134">
        <f>BE4*BC15+BE5*BC14+BE6*BC13+BE7*BC12+BE8*BC11+BE9*BC10+BE10*BC9+BE11*BC8+BE12*BC7+BE13*BC6+BE14*BC5+BE15*BC4</f>
        <v>28.323913269125864</v>
      </c>
      <c r="BG15" s="134">
        <f t="shared" si="1"/>
        <v>29.323913269125864</v>
      </c>
      <c r="BH15" s="206">
        <f t="shared" si="2"/>
        <v>12</v>
      </c>
      <c r="BI15" s="132"/>
      <c r="BJ15" s="132">
        <v>12</v>
      </c>
      <c r="BK15" s="134">
        <f t="shared" si="8"/>
        <v>321.83903616051788</v>
      </c>
      <c r="BL15" s="132"/>
      <c r="BM15" s="229">
        <f>Pefect_1!BQ36/10</f>
        <v>0.7644020376409294</v>
      </c>
      <c r="BN15" s="134">
        <f>BM4*BK15+BM5*BK14+BM6*BK13+BM7*BK12+BM8*BK11+BM9*BK10+BM10*BK9+BM11*BK8+BM12*BK7+BM13*BK6+BM14*BK5+BM15*BK4</f>
        <v>31.010160665046325</v>
      </c>
      <c r="BO15" s="134">
        <f t="shared" si="3"/>
        <v>32.010160665046328</v>
      </c>
      <c r="BP15" s="206">
        <f t="shared" si="4"/>
        <v>12</v>
      </c>
      <c r="BQ15" s="132"/>
      <c r="BR15" s="132">
        <v>12</v>
      </c>
      <c r="BS15" s="134">
        <f t="shared" si="9"/>
        <v>321.83903616051788</v>
      </c>
      <c r="BT15" s="132"/>
      <c r="BU15" s="229">
        <f>Pefect_1!CA36/10</f>
        <v>0.93996353603841065</v>
      </c>
      <c r="BV15" s="134">
        <f>BU4*BS15+BU5*BS14+BU6*BS13+BU7*BS12+BU8*BS11+BU9*BS10+BU10*BS9+BU11*BS8+BU12*BS7+BU13*BS6+BU14*BS5+BU15*BS4</f>
        <v>39.142122253081546</v>
      </c>
      <c r="BW15" s="134">
        <f t="shared" si="5"/>
        <v>40.142122253081546</v>
      </c>
      <c r="BX15" s="132">
        <f t="shared" si="6"/>
        <v>12</v>
      </c>
    </row>
    <row r="16" spans="2:76" ht="15" customHeight="1" x14ac:dyDescent="0.3">
      <c r="B16" s="24"/>
      <c r="F16" s="76"/>
      <c r="I16" s="4"/>
      <c r="AY16" s="231" t="s">
        <v>470</v>
      </c>
      <c r="AZ16" s="132"/>
      <c r="BA16" s="132"/>
      <c r="BB16" s="132">
        <v>13</v>
      </c>
      <c r="BC16" s="134">
        <f t="shared" si="7"/>
        <v>303.63542821963375</v>
      </c>
      <c r="BD16" s="132"/>
      <c r="BE16" s="229">
        <f>Pefect_1!BG37/10</f>
        <v>0.2868683919718672</v>
      </c>
      <c r="BF16" s="134">
        <f>BE4*BC16+BE5*BC15+BE6*BC14+BE7*BC13+BE8*BC12+BE9*BC11+BE10*BC10+BE11*BC9+BE12*BC8+BE13*BC7+BE14*BC6+BE15*BC5+BE16*BC4</f>
        <v>67.434628973726078</v>
      </c>
      <c r="BG16" s="134">
        <f t="shared" si="1"/>
        <v>68.434628973726078</v>
      </c>
      <c r="BH16" s="206">
        <f t="shared" si="2"/>
        <v>13</v>
      </c>
      <c r="BI16" s="132"/>
      <c r="BJ16" s="132">
        <v>13</v>
      </c>
      <c r="BK16" s="134">
        <f t="shared" si="8"/>
        <v>303.63542821963375</v>
      </c>
      <c r="BL16" s="132"/>
      <c r="BM16" s="229">
        <f>Pefect_1!BQ37/10</f>
        <v>0.30541343688942052</v>
      </c>
      <c r="BN16" s="134">
        <f>BM4*BK16+BM5*BK15+BM6*BK14+BM7*BK13+BM8*BK12+BM9*BK11+BM10*BK10+BM11*BK9+BM12*BK8+BM13*BK7+BM14*BK6+BM15*BK5+BM16*BK4</f>
        <v>73.366627829104686</v>
      </c>
      <c r="BO16" s="134">
        <f t="shared" si="3"/>
        <v>74.366627829104686</v>
      </c>
      <c r="BP16" s="206">
        <f t="shared" si="4"/>
        <v>13</v>
      </c>
      <c r="BQ16" s="132"/>
      <c r="BR16" s="132">
        <v>13</v>
      </c>
      <c r="BS16" s="134">
        <f t="shared" si="9"/>
        <v>303.63542821963375</v>
      </c>
      <c r="BT16" s="132"/>
      <c r="BU16" s="229">
        <f>Pefect_1!CA37/10</f>
        <v>0.35836071250982043</v>
      </c>
      <c r="BV16" s="134">
        <f>BU4*BS16+BU5*BS15+BU6*BS14+BU7*BS13+BU8*BS12+BU9*BS11+BU10*BS10+BU11*BS9+BU12*BS8+BU13*BS7+BU14*BS6+BU15*BS5+BU16*BS4</f>
        <v>91.019637625444616</v>
      </c>
      <c r="BW16" s="134">
        <f t="shared" si="5"/>
        <v>92.019637625444616</v>
      </c>
      <c r="BX16" s="132">
        <f t="shared" si="6"/>
        <v>13</v>
      </c>
    </row>
    <row r="17" spans="2:76" ht="15" customHeight="1" x14ac:dyDescent="0.3">
      <c r="B17" s="36" t="s">
        <v>415</v>
      </c>
      <c r="F17" s="76"/>
      <c r="I17" s="4"/>
      <c r="K17" s="23" t="s">
        <v>376</v>
      </c>
      <c r="L17" s="190">
        <f>5.56/L15</f>
        <v>30.480700184431591</v>
      </c>
      <c r="M17" s="21" t="s">
        <v>288</v>
      </c>
      <c r="N17" s="24" t="s">
        <v>377</v>
      </c>
      <c r="AY17" s="231" t="s">
        <v>471</v>
      </c>
      <c r="AZ17" s="132"/>
      <c r="BA17" s="132"/>
      <c r="BB17" s="132">
        <v>14</v>
      </c>
      <c r="BC17" s="134">
        <f t="shared" si="7"/>
        <v>285.43182027874968</v>
      </c>
      <c r="BD17" s="132"/>
      <c r="BE17" s="229">
        <f>Pefect_1!BG38/10</f>
        <v>0.13500289190394188</v>
      </c>
      <c r="BF17" s="134">
        <f>BE4*BC17+BE5*BC16+BE6*BC15+BE7*BC14+BE8*BC13+BE9*BC12+BE10*BC11+BE11*BC10+BE12*BC9+BE13*BC8+BE14*BC7+BE15*BC6+BE16*BC5+BE17*BC4</f>
        <v>111.8172563888558</v>
      </c>
      <c r="BG17" s="134">
        <f t="shared" si="1"/>
        <v>112.8172563888558</v>
      </c>
      <c r="BH17" s="206">
        <f t="shared" si="2"/>
        <v>14</v>
      </c>
      <c r="BI17" s="132"/>
      <c r="BJ17" s="132">
        <v>14</v>
      </c>
      <c r="BK17" s="134">
        <f t="shared" si="8"/>
        <v>285.43182027874968</v>
      </c>
      <c r="BL17" s="132"/>
      <c r="BM17" s="229">
        <f>Pefect_1!BQ38/10</f>
        <v>0.14332945712027403</v>
      </c>
      <c r="BN17" s="134">
        <f>BM4*BK17+BM5*BK16+BM6*BK15+BM7*BK14+BM8*BK13+BM9*BK12+BM10*BK11+BM11*BK10+BM12*BK9+BM13*BK8+BM14*BK7+BM15*BK6+BM16*BK5+BM17*BK4</f>
        <v>121.32018515663184</v>
      </c>
      <c r="BO17" s="134">
        <f t="shared" si="3"/>
        <v>122.32018515663184</v>
      </c>
      <c r="BP17" s="206">
        <f t="shared" si="4"/>
        <v>14</v>
      </c>
      <c r="BQ17" s="132"/>
      <c r="BR17" s="132">
        <v>14</v>
      </c>
      <c r="BS17" s="134">
        <f t="shared" si="9"/>
        <v>285.43182027874968</v>
      </c>
      <c r="BT17" s="132"/>
      <c r="BU17" s="229">
        <f>Pefect_1!CA38/10</f>
        <v>0.16703338287067418</v>
      </c>
      <c r="BV17" s="134">
        <f>BU4*BS17+BU5*BS16+BU6*BS15+BU7*BS14+BU8*BS13+BU9*BS12+BU10*BS11+BU11*BS10+BU12*BS9+BU13*BS8+BU14*BS7+BU15*BS6+BU16*BS5+BU17*BS4</f>
        <v>149.42441361723408</v>
      </c>
      <c r="BW17" s="134">
        <f t="shared" si="5"/>
        <v>150.42441361723408</v>
      </c>
      <c r="BX17" s="132">
        <f t="shared" si="6"/>
        <v>14</v>
      </c>
    </row>
    <row r="18" spans="2:76" ht="15" customHeight="1" x14ac:dyDescent="0.3">
      <c r="B18" s="36"/>
      <c r="F18" s="76"/>
      <c r="I18" s="4"/>
      <c r="AY18" s="132"/>
      <c r="AZ18" s="132"/>
      <c r="BA18" s="132"/>
      <c r="BB18" s="132">
        <v>15</v>
      </c>
      <c r="BC18" s="134">
        <f t="shared" si="7"/>
        <v>263.38764695965563</v>
      </c>
      <c r="BD18" s="132"/>
      <c r="BE18" s="229">
        <f>Pefect_1!BG39/10</f>
        <v>8.6754998585891127E-2</v>
      </c>
      <c r="BF18" s="134">
        <f>BE4*BC18+BE5*BC17+BE6*BC16+BE7*BC15+BE8*BC14+BE9*BC13+BE10*BC12+BE11*BC11+BE12*BC10+BE13*BC9+BE14*BC8+BE15*BC7+BE16*BC6+BE17*BC5+BE18*BC4</f>
        <v>159.6109529226128</v>
      </c>
      <c r="BG18" s="134">
        <f t="shared" si="1"/>
        <v>160.6109529226128</v>
      </c>
      <c r="BH18" s="206">
        <f t="shared" si="2"/>
        <v>15</v>
      </c>
      <c r="BI18" s="132"/>
      <c r="BJ18" s="132">
        <v>15</v>
      </c>
      <c r="BK18" s="134">
        <f t="shared" si="8"/>
        <v>263.38764695965563</v>
      </c>
      <c r="BL18" s="132"/>
      <c r="BM18" s="229">
        <f>Pefect_1!BQ39/10</f>
        <v>9.1997271131165445E-2</v>
      </c>
      <c r="BN18" s="134">
        <f>BM4*BK18+BM5*BK17+BM6*BK16+BM7*BK15+BM8*BK14+BM9*BK13+BM10*BK12+BM11*BK11+BM12*BK10+BM13*BK9+BM14*BK8+BM15*BK7+BM16*BK6+BM17*BK5+BM18*BK4</f>
        <v>172.89876951424259</v>
      </c>
      <c r="BO18" s="134">
        <f t="shared" si="3"/>
        <v>173.89876951424259</v>
      </c>
      <c r="BP18" s="206">
        <f t="shared" si="4"/>
        <v>15</v>
      </c>
      <c r="BQ18" s="132"/>
      <c r="BR18" s="132">
        <v>15</v>
      </c>
      <c r="BS18" s="134">
        <f t="shared" si="9"/>
        <v>263.38764695965563</v>
      </c>
      <c r="BT18" s="132"/>
      <c r="BU18" s="229">
        <f>Pefect_1!CA39/10</f>
        <v>0.10690277325174832</v>
      </c>
      <c r="BV18" s="134">
        <f>BU4*BS18+BU5*BS17+BU6*BS16+BU7*BS15+BU8*BS14+BU9*BS13+BU10*BS12+BU11*BS11+BU12*BS10+BU13*BS9+BU14*BS8+BU15*BS7+BU16*BS6+BU17*BS5+BU18*BS4</f>
        <v>212.07978775789408</v>
      </c>
      <c r="BW18" s="134">
        <f t="shared" si="5"/>
        <v>213.07978775789408</v>
      </c>
      <c r="BX18" s="132">
        <f t="shared" si="6"/>
        <v>15</v>
      </c>
    </row>
    <row r="19" spans="2:76" ht="15" customHeight="1" x14ac:dyDescent="0.3">
      <c r="B19" s="23" t="s">
        <v>378</v>
      </c>
      <c r="C19" s="190">
        <f>0.75*C12*(C10*C11)^0.3</f>
        <v>8.8984906600865408</v>
      </c>
      <c r="D19" s="21" t="s">
        <v>288</v>
      </c>
      <c r="E19" s="36" t="s">
        <v>379</v>
      </c>
      <c r="F19" s="21"/>
      <c r="I19" s="4"/>
      <c r="K19" s="23" t="s">
        <v>380</v>
      </c>
      <c r="L19" s="190">
        <f>2.14/(L15)^1.08</f>
        <v>13.44249651963128</v>
      </c>
      <c r="M19" s="21" t="s">
        <v>288</v>
      </c>
      <c r="N19" s="24" t="s">
        <v>381</v>
      </c>
      <c r="O19" s="191"/>
      <c r="P19" s="191"/>
      <c r="Q19" s="191"/>
      <c r="AY19" s="132"/>
      <c r="AZ19" s="132"/>
      <c r="BA19" s="132"/>
      <c r="BB19" s="132">
        <v>16</v>
      </c>
      <c r="BC19" s="134">
        <f t="shared" si="7"/>
        <v>239.24807990761363</v>
      </c>
      <c r="BD19" s="132"/>
      <c r="BE19" s="229">
        <f>Pefect_1!BG40/10</f>
        <v>8.8462863425604971E-2</v>
      </c>
      <c r="BF19" s="134">
        <f>BE4*BC19+BE5*BC18+BE6*BC17+BE7*BC16+BE8*BC15+BE9*BC14+BE10*BC13+BE11*BC12+BE12*BC11+BE13*BC10+BE14*BC9+BE15*BC8+BE16*BC7+BE17*BC6+BE18*BC5+BE19*BC4</f>
        <v>212.47280158184228</v>
      </c>
      <c r="BG19" s="134">
        <f t="shared" si="1"/>
        <v>213.47280158184228</v>
      </c>
      <c r="BH19" s="206">
        <f t="shared" si="2"/>
        <v>16</v>
      </c>
      <c r="BI19" s="132"/>
      <c r="BJ19" s="132">
        <v>16</v>
      </c>
      <c r="BK19" s="134">
        <f t="shared" si="8"/>
        <v>239.24807990761363</v>
      </c>
      <c r="BL19" s="132"/>
      <c r="BM19" s="229">
        <f>Pefect_1!BQ40/10</f>
        <v>9.3730408234146981E-2</v>
      </c>
      <c r="BN19" s="134">
        <f>BM4*BK19+BM5*BK18+BM6*BK17+BM7*BK16+BM8*BK15+BM9*BK14+BM10*BK13+BM11*BK12+BM12*BK11+BM13*BK10+BM14*BK9+BM15*BK8+BM16*BK7+BM17*BK6+BM18*BK5+BM19*BK4</f>
        <v>229.91265216280823</v>
      </c>
      <c r="BO19" s="134">
        <f t="shared" si="3"/>
        <v>230.91265216280823</v>
      </c>
      <c r="BP19" s="206">
        <f t="shared" si="4"/>
        <v>16</v>
      </c>
      <c r="BQ19" s="132"/>
      <c r="BR19" s="132">
        <v>16</v>
      </c>
      <c r="BS19" s="134">
        <f t="shared" si="9"/>
        <v>239.24807990761363</v>
      </c>
      <c r="BT19" s="132"/>
      <c r="BU19" s="229">
        <f>Pefect_1!CA40/10</f>
        <v>0.1086950653244088</v>
      </c>
      <c r="BV19" s="134">
        <f>BU4*BS19+BU5*BS18+BU6*BS17+BU7*BS16+BU8*BS15+BU9*BS14+BU10*BS13+BU11*BS12+BU12*BS11+BU13*BS10+BU14*BS9+BU15*BS8+BU16*BS7+BU17*BS6+BU18*BS5+BU19*BS4</f>
        <v>281.22412797894862</v>
      </c>
      <c r="BW19" s="134">
        <f t="shared" si="5"/>
        <v>282.22412797894862</v>
      </c>
      <c r="BX19" s="132">
        <f t="shared" si="6"/>
        <v>16</v>
      </c>
    </row>
    <row r="20" spans="2:76" ht="15" customHeight="1" x14ac:dyDescent="0.3">
      <c r="B20" s="23" t="s">
        <v>378</v>
      </c>
      <c r="C20" s="192">
        <f>C19*60</f>
        <v>533.90943960519246</v>
      </c>
      <c r="D20" s="21" t="s">
        <v>382</v>
      </c>
      <c r="E20" s="23" t="s">
        <v>343</v>
      </c>
      <c r="F20" s="21"/>
      <c r="G20" s="193"/>
      <c r="I20" s="4"/>
      <c r="AY20" s="132"/>
      <c r="AZ20" s="132"/>
      <c r="BA20" s="132"/>
      <c r="BB20" s="132">
        <v>17</v>
      </c>
      <c r="BC20" s="134">
        <f t="shared" si="7"/>
        <v>215.10851285557166</v>
      </c>
      <c r="BD20" s="132"/>
      <c r="BE20" s="229">
        <f>Pefect_1!BG41/10</f>
        <v>5.3858597321222848E-2</v>
      </c>
      <c r="BF20" s="134">
        <f>BE4*BC20+BE5*BC19+BE6*BC18+BE7*BC17+BE8*BC16+BE9*BC15+BE10*BC14+BE11*BC13+BE12*BC12+BE13*BC11+BE14*BC10+BE15*BC9+BE16*BC8+BE17*BC7+BE18*BC6+BE19*BC5+BE20*BC4</f>
        <v>272.98428338408991</v>
      </c>
      <c r="BG20" s="134">
        <f t="shared" si="1"/>
        <v>273.98428338408991</v>
      </c>
      <c r="BH20" s="206">
        <f t="shared" si="2"/>
        <v>17</v>
      </c>
      <c r="BI20" s="132"/>
      <c r="BJ20" s="132">
        <v>17</v>
      </c>
      <c r="BK20" s="134">
        <f t="shared" si="8"/>
        <v>215.10851285557166</v>
      </c>
      <c r="BL20" s="132"/>
      <c r="BM20" s="229">
        <f>Pefect_1!BQ41/10</f>
        <v>5.7030003267075816E-2</v>
      </c>
      <c r="BN20" s="134">
        <f>BM4*BK20+BM5*BK19+BM6*BK18+BM7*BK17+BM8*BK16+BM9*BK15+BM10*BK14+BM11*BK13+BM12*BK12+BM13*BK11+BM14*BK10+BM15*BK9+BM16*BK8+BM17*BK7+BM18*BK6+BM19*BK5+BM20*BK4</f>
        <v>295.1501566508486</v>
      </c>
      <c r="BO20" s="134">
        <f t="shared" si="3"/>
        <v>296.1501566508486</v>
      </c>
      <c r="BP20" s="206">
        <f t="shared" si="4"/>
        <v>17</v>
      </c>
      <c r="BQ20" s="132"/>
      <c r="BR20" s="132">
        <v>17</v>
      </c>
      <c r="BS20" s="134">
        <f t="shared" si="9"/>
        <v>215.10851285557166</v>
      </c>
      <c r="BT20" s="132"/>
      <c r="BU20" s="229">
        <f>Pefect_1!CA41/10</f>
        <v>6.6033997955396023E-2</v>
      </c>
      <c r="BV20" s="134">
        <f>BU4*BS20+BU5*BS19+BU6*BS18+BU7*BS17+BU8*BS16+BU9*BS15+BU10*BS14+BU11*BS13+BU12*BS12+BU13*BS11+BU14*BS10+BU15*BS9+BU16*BS8+BU17*BS7+BU18*BS6+BU19*BS5+BU20*BS4</f>
        <v>360.23020688523303</v>
      </c>
      <c r="BW20" s="134">
        <f t="shared" si="5"/>
        <v>361.23020688523303</v>
      </c>
      <c r="BX20" s="132">
        <f t="shared" si="6"/>
        <v>17</v>
      </c>
    </row>
    <row r="21" spans="2:76" ht="15" customHeight="1" x14ac:dyDescent="0.3">
      <c r="B21" s="23"/>
      <c r="C21" s="192"/>
      <c r="D21" s="21"/>
      <c r="E21" s="36"/>
      <c r="F21" s="21"/>
      <c r="G21" s="193"/>
      <c r="I21" s="4"/>
      <c r="K21" s="23" t="s">
        <v>383</v>
      </c>
      <c r="L21" s="190">
        <f>1.22/(L15)^1.08</f>
        <v>7.6634793242757757</v>
      </c>
      <c r="M21" s="21" t="s">
        <v>288</v>
      </c>
      <c r="N21" s="24" t="s">
        <v>384</v>
      </c>
      <c r="O21" s="191"/>
      <c r="P21" s="191"/>
      <c r="Q21" s="191"/>
      <c r="R21" s="194"/>
      <c r="AY21" s="132"/>
      <c r="AZ21" s="132"/>
      <c r="BA21" s="132"/>
      <c r="BB21" s="132">
        <v>18</v>
      </c>
      <c r="BC21" s="134">
        <f t="shared" si="7"/>
        <v>190.96894580352966</v>
      </c>
      <c r="BD21" s="132"/>
      <c r="BE21" s="229">
        <f>Pefect_1!BG42/10</f>
        <v>5.4420998698000746E-2</v>
      </c>
      <c r="BF21" s="134">
        <f>BE4*BC21+BE5*BC20+BE6*BC19+BE7*BC18+BE8*BC17+BE9*BC16+BE10*BC15+BE11*BC14+BE12*BC13+BE13*BC12+BE14*BC11+BE15*BC10+BE16*BC9+BE17*BC8+BE18*BC7+BE19*BC6+BE20*BC5+BE21*BC4</f>
        <v>335.25428903088806</v>
      </c>
      <c r="BG21" s="134">
        <f t="shared" si="1"/>
        <v>336.25428903088806</v>
      </c>
      <c r="BH21" s="206">
        <f t="shared" si="2"/>
        <v>18</v>
      </c>
      <c r="BI21" s="132"/>
      <c r="BJ21" s="132">
        <v>18</v>
      </c>
      <c r="BK21" s="134">
        <f t="shared" si="8"/>
        <v>190.96894580352966</v>
      </c>
      <c r="BL21" s="132"/>
      <c r="BM21" s="229">
        <f>Pefect_1!BQ42/10</f>
        <v>5.7599840450120253E-2</v>
      </c>
      <c r="BN21" s="134">
        <f>BM4*BK21+BM5*BK20+BM6*BK19+BM7*BK18+BM8*BK17+BM9*BK16+BM10*BK15+BM11*BK14+BM12*BK13+BM13*BK12+BM14*BK11+BM15*BK10+BM16*BK9+BM17*BK8+BM18*BK7+BM19*BK6+BM20*BK5+BM21*BK4</f>
        <v>362.16227983559548</v>
      </c>
      <c r="BO21" s="134">
        <f t="shared" si="3"/>
        <v>363.16227983559548</v>
      </c>
      <c r="BP21" s="206">
        <f t="shared" si="4"/>
        <v>18</v>
      </c>
      <c r="BQ21" s="132"/>
      <c r="BR21" s="132">
        <v>18</v>
      </c>
      <c r="BS21" s="134">
        <f t="shared" si="9"/>
        <v>190.96894580352966</v>
      </c>
      <c r="BT21" s="132"/>
      <c r="BU21" s="229">
        <f>Pefect_1!CA42/10</f>
        <v>6.6620897753851341E-2</v>
      </c>
      <c r="BV21" s="134">
        <f>BU4*BS21+BU5*BS20+BU6*BS19+BU7*BS18+BU8*BS17+BU9*BS16+BU10*BS15+BU11*BS14+BU12*BS13+BU13*BS12+BU14*BS11+BU15*BS10+BU16*BS9+BU17*BS8+BU18*BS7+BU19*BS6+BU20*BS5+BU21*BS4</f>
        <v>441.03243940354417</v>
      </c>
      <c r="BW21" s="134">
        <f t="shared" si="5"/>
        <v>442.03243940354417</v>
      </c>
      <c r="BX21" s="132">
        <f t="shared" si="6"/>
        <v>18</v>
      </c>
    </row>
    <row r="22" spans="2:76" ht="15" customHeight="1" x14ac:dyDescent="0.3">
      <c r="B22" s="23" t="s">
        <v>385</v>
      </c>
      <c r="C22" s="190">
        <f>C19/5.5</f>
        <v>1.6179073927430074</v>
      </c>
      <c r="D22" s="21" t="s">
        <v>288</v>
      </c>
      <c r="E22" s="36" t="s">
        <v>417</v>
      </c>
      <c r="F22" s="21"/>
      <c r="G22" s="193"/>
      <c r="I22" s="4"/>
      <c r="L22" s="21"/>
      <c r="M22" s="21"/>
      <c r="N22" s="193"/>
      <c r="O22" s="191"/>
      <c r="P22" s="191"/>
      <c r="Q22" s="191"/>
      <c r="R22" s="194"/>
      <c r="AY22" s="132"/>
      <c r="AZ22" s="132"/>
      <c r="BA22" s="132"/>
      <c r="BB22" s="132">
        <v>19</v>
      </c>
      <c r="BC22" s="134">
        <f t="shared" si="7"/>
        <v>173.9675693058328</v>
      </c>
      <c r="BD22" s="132"/>
      <c r="BE22" s="229">
        <f>Pefect_1!BG43/10</f>
        <v>5.4965322243167594E-2</v>
      </c>
      <c r="BF22" s="134">
        <f>BE4*BC22+BE5*BC21+BE6*BC20+BE7*BC19+BE8*BC18+BE9*BC17+BE10*BC16+BE11*BC15+BE12*BC14+BE13*BC13+BE14*BC12+BE15*BC11+BE16*BC10+BE17*BC9+BE18*BC8+BE19*BC7+BE20*BC6+BE21*BC5+BE22*BC4</f>
        <v>393.99058307203035</v>
      </c>
      <c r="BG22" s="134">
        <f t="shared" si="1"/>
        <v>394.99058307203035</v>
      </c>
      <c r="BH22" s="206">
        <f t="shared" si="2"/>
        <v>19</v>
      </c>
      <c r="BI22" s="132"/>
      <c r="BJ22" s="132">
        <v>19</v>
      </c>
      <c r="BK22" s="134">
        <f t="shared" si="8"/>
        <v>173.9675693058328</v>
      </c>
      <c r="BL22" s="132"/>
      <c r="BM22" s="229">
        <f>Pefect_1!BQ43/10</f>
        <v>5.8151053892117943E-2</v>
      </c>
      <c r="BN22" s="134">
        <f>BM4*BK22+BM5*BK21+BM6*BK20+BM7*BK19+BM8*BK18+BM9*BK17+BM10*BK16+BM11*BK15+BM12*BK14+BM13*BK13+BM14*BK12+BM15*BK11+BM16*BK10+BM17*BK9+BM18*BK8+BM19*BK7+BM20*BK6+BM21*BK5+BM22*BK4</f>
        <v>425.27225967658012</v>
      </c>
      <c r="BO22" s="134">
        <f t="shared" si="3"/>
        <v>426.27225967658012</v>
      </c>
      <c r="BP22" s="206">
        <f t="shared" si="4"/>
        <v>19</v>
      </c>
      <c r="BQ22" s="132"/>
      <c r="BR22" s="132">
        <v>19</v>
      </c>
      <c r="BS22" s="134">
        <f t="shared" si="9"/>
        <v>173.9675693058328</v>
      </c>
      <c r="BT22" s="132"/>
      <c r="BU22" s="229">
        <f>Pefect_1!CA43/10</f>
        <v>6.7187792773552954E-2</v>
      </c>
      <c r="BV22" s="134">
        <f>BU4*BS22+BU5*BS21+BU6*BS20+BU7*BS19+BU8*BS18+BU9*BS17+BU10*BS16+BU11*BS15+BU12*BS14+BU13*BS13+BU14*BS12+BU15*BS11+BU16*BS10+BU17*BS9+BU18*BS8+BU19*BS7+BU20*BS6+BU21*BS5+BU22*BS4</f>
        <v>516.76719684314469</v>
      </c>
      <c r="BW22" s="134">
        <f t="shared" si="5"/>
        <v>517.76719684314469</v>
      </c>
      <c r="BX22" s="132">
        <f t="shared" si="6"/>
        <v>19</v>
      </c>
    </row>
    <row r="23" spans="2:76" ht="15" customHeight="1" x14ac:dyDescent="0.35">
      <c r="B23" s="23" t="s">
        <v>386</v>
      </c>
      <c r="C23" s="190">
        <f>C22/2</f>
        <v>0.80895369637150372</v>
      </c>
      <c r="D23" s="21" t="s">
        <v>288</v>
      </c>
      <c r="E23" s="23" t="s">
        <v>343</v>
      </c>
      <c r="F23" s="21"/>
      <c r="G23" s="193"/>
      <c r="I23" s="4"/>
      <c r="K23" s="23" t="s">
        <v>387</v>
      </c>
      <c r="L23" s="190">
        <f>L13+L9/2</f>
        <v>9.2440138119007891</v>
      </c>
      <c r="M23" s="21" t="s">
        <v>288</v>
      </c>
      <c r="N23" s="24" t="s">
        <v>388</v>
      </c>
      <c r="R23" s="194"/>
      <c r="AY23" s="132"/>
      <c r="AZ23" s="132"/>
      <c r="BA23" s="132"/>
      <c r="BB23" s="132">
        <v>20</v>
      </c>
      <c r="BC23" s="134">
        <f t="shared" si="7"/>
        <v>158.81452406371929</v>
      </c>
      <c r="BD23" s="132"/>
      <c r="BE23" s="229">
        <f>Pefect_1!BG44/10</f>
        <v>5.5492334534927322E-2</v>
      </c>
      <c r="BF23" s="134">
        <f>BE4*BC23+BE5*BC22+BE6*BC21+BE7*BC20+BE8*BC19+BE9*BC18+BE10*BC17+BE11*BC16+BE12*BC15+BE13*BC14+BE14*BC13+BE15*BC12+BE16*BC11+BE17*BC10+BE18*BC9+BE19*BC8+BE20*BC7+BE21*BC6+BE22*BC5+BE23*BC4</f>
        <v>452.41305373851282</v>
      </c>
      <c r="BG23" s="134">
        <f t="shared" si="1"/>
        <v>453.41305373851282</v>
      </c>
      <c r="BH23" s="206">
        <f t="shared" si="2"/>
        <v>20</v>
      </c>
      <c r="BI23" s="132"/>
      <c r="BJ23" s="132">
        <v>20</v>
      </c>
      <c r="BK23" s="134">
        <f t="shared" si="8"/>
        <v>158.81452406371929</v>
      </c>
      <c r="BL23" s="132"/>
      <c r="BM23" s="229">
        <f>Pefect_1!BQ44/10</f>
        <v>5.8684446409218084E-2</v>
      </c>
      <c r="BN23" s="134">
        <f>BM4*BK23+BM5*BK22+BM6*BK21+BM7*BK20+BM8*BK19+BM9*BK18+BM10*BK17+BM11*BK16+BM12*BK15+BM13*BK14+BM14*BK13+BM15*BK12+BM16*BK11+BM17*BK10+BM18*BK9+BM19*BK8+BM20*BK7+BM21*BK6+BM22*BK5+BM23*BK4</f>
        <v>487.88562427127391</v>
      </c>
      <c r="BO23" s="134">
        <f t="shared" si="3"/>
        <v>488.88562427127391</v>
      </c>
      <c r="BP23" s="206">
        <f t="shared" si="4"/>
        <v>20</v>
      </c>
      <c r="BQ23" s="132"/>
      <c r="BR23" s="132">
        <v>20</v>
      </c>
      <c r="BS23" s="134">
        <f t="shared" si="9"/>
        <v>158.81452406371929</v>
      </c>
      <c r="BT23" s="132"/>
      <c r="BU23" s="229">
        <f>Pefect_1!CA44/10</f>
        <v>6.7735581964880609E-2</v>
      </c>
      <c r="BV23" s="134">
        <f>BU4*BS23+BU5*BS22+BU6*BS21+BU7*BS20+BU8*BS19+BU9*BS18+BU10*BS17+BU11*BS16+BU12*BS15+BU13*BS14+BU14*BS13+BU15*BS12+BU16*BS11+BU17*BS10+BU18*BS9+BU19*BS8+BU20*BS7+BU21*BS6+BU22*BS5+BU23*BS4</f>
        <v>591.40165073410765</v>
      </c>
      <c r="BW23" s="134">
        <f t="shared" si="5"/>
        <v>592.40165073410765</v>
      </c>
      <c r="BX23" s="132">
        <f t="shared" si="6"/>
        <v>20</v>
      </c>
    </row>
    <row r="24" spans="2:76" ht="15" customHeight="1" x14ac:dyDescent="0.3">
      <c r="B24" s="23" t="s">
        <v>385</v>
      </c>
      <c r="C24" s="192">
        <f>C22*60</f>
        <v>97.074443564580449</v>
      </c>
      <c r="D24" s="21" t="s">
        <v>382</v>
      </c>
      <c r="E24" s="36"/>
      <c r="F24" s="21"/>
      <c r="G24" s="193"/>
      <c r="I24" s="4"/>
      <c r="K24" s="23"/>
      <c r="O24" s="191"/>
      <c r="P24" s="191"/>
      <c r="Q24" s="191"/>
      <c r="R24" s="194"/>
      <c r="AY24" s="132"/>
      <c r="AZ24" s="132"/>
      <c r="BA24" s="132"/>
      <c r="BB24" s="132">
        <v>21</v>
      </c>
      <c r="BC24" s="134">
        <f t="shared" si="7"/>
        <v>143.66147882160578</v>
      </c>
      <c r="BD24" s="132"/>
      <c r="BE24" s="229">
        <f>Pefect_1!BG45/10</f>
        <v>3.7279455493341017E-2</v>
      </c>
      <c r="BF24" s="134">
        <f>BE4*BC24+BE5*BC23+BE6*BC22+BE7*BC21+BE8*BC20+BE9*BC19+BE10*BC18+BE11*BC17+BE12*BC16+BE13*BC15+BE14*BC14+BE15*BC13+BE16*BC12+BE17*BC11+BE18*BC10+BE19*BC9+BE20*BC8+BE21*BC7+BE22*BC6+BE23*BC5+BE24*BC4</f>
        <v>482.39920369281936</v>
      </c>
      <c r="BG24" s="134">
        <f t="shared" si="1"/>
        <v>483.39920369281936</v>
      </c>
      <c r="BH24" s="206">
        <f t="shared" si="2"/>
        <v>21</v>
      </c>
      <c r="BI24" s="132"/>
      <c r="BJ24" s="132">
        <v>21</v>
      </c>
      <c r="BK24" s="134">
        <f t="shared" si="8"/>
        <v>143.66147882160578</v>
      </c>
      <c r="BL24" s="132"/>
      <c r="BM24" s="229">
        <f>Pefect_1!BQ45/10</f>
        <v>3.9410838260601364E-2</v>
      </c>
      <c r="BN24" s="134">
        <f>BM4*BK24+BM5*BK23+BM6*BK22+BM7*BK21+BM8*BK20+BM9*BK19+BM10*BK18+BM11*BK17+BM12*BK16+BM13*BK15+BM14*BK14+BM15*BK13+BM16*BK12+BM17*BK11+BM18*BK10+BM19*BK9+BM20*BK8+BM21*BK7+BM22*BK6+BM23*BK5+BM24*BK4</f>
        <v>519.55434748745267</v>
      </c>
      <c r="BO24" s="134">
        <f t="shared" si="3"/>
        <v>520.55434748745267</v>
      </c>
      <c r="BP24" s="206">
        <f t="shared" si="4"/>
        <v>21</v>
      </c>
      <c r="BQ24" s="132"/>
      <c r="BR24" s="132">
        <v>21</v>
      </c>
      <c r="BS24" s="134">
        <f t="shared" si="9"/>
        <v>143.66147882160578</v>
      </c>
      <c r="BT24" s="132"/>
      <c r="BU24" s="229">
        <f>Pefect_1!CA45/10</f>
        <v>4.5452332751725069E-2</v>
      </c>
      <c r="BV24" s="134">
        <f>BU4*BS24+BU5*BS23+BU6*BS22+BU7*BS21+BU8*BS20+BU9*BS19+BU10*BS18+BU11*BS17+BU12*BS16+BU13*BS15+BU14*BS14+BU15*BS13+BU16*BS12+BU17*BS11+BU18*BS10+BU19*BS9+BU20*BS8+BU21*BS7+BU22*BS6+BU23*BS5+BU24*BS4</f>
        <v>627.77904139600957</v>
      </c>
      <c r="BW24" s="134">
        <f t="shared" si="5"/>
        <v>628.77904139600957</v>
      </c>
      <c r="BX24" s="132">
        <f t="shared" si="6"/>
        <v>21</v>
      </c>
    </row>
    <row r="25" spans="2:76" ht="15" customHeight="1" x14ac:dyDescent="0.3">
      <c r="C25" s="21"/>
      <c r="D25" s="21"/>
      <c r="F25" s="21"/>
      <c r="I25" s="4"/>
      <c r="K25" s="23" t="s">
        <v>389</v>
      </c>
      <c r="L25" s="190">
        <f>L15*C9</f>
        <v>372.0079282191677</v>
      </c>
      <c r="M25" s="169" t="s">
        <v>374</v>
      </c>
      <c r="N25" s="24" t="s">
        <v>390</v>
      </c>
      <c r="AY25" s="132"/>
      <c r="AZ25" s="132"/>
      <c r="BA25" s="132"/>
      <c r="BB25" s="132">
        <v>22</v>
      </c>
      <c r="BC25" s="134">
        <f t="shared" si="7"/>
        <v>128.50843357949225</v>
      </c>
      <c r="BD25" s="132"/>
      <c r="BE25" s="229">
        <f>Pefect_1!BG46/10</f>
        <v>3.7501555439440538E-2</v>
      </c>
      <c r="BF25" s="134">
        <f>BE4*BC25+BE5*BC24+BE6*BC23+BE7*BC22+BE8*BC21+BE9*BC20+BE10*BC19+BE11*BC18+BE12*BC17+BE13*BC16+BE14*BC15+BE15*BC14+BE16*BC13+BE17*BC12+BE18*BC11+BE19*BC10+BE20*BC9+BE21*BC8+BE22*BC7+BE23*BC6+BE24*BC5+BE25*BC4</f>
        <v>492.08661810156684</v>
      </c>
      <c r="BG25" s="134">
        <f t="shared" si="1"/>
        <v>493.08661810156684</v>
      </c>
      <c r="BH25" s="206">
        <f t="shared" si="2"/>
        <v>22</v>
      </c>
      <c r="BI25" s="132"/>
      <c r="BJ25" s="132">
        <v>22</v>
      </c>
      <c r="BK25" s="134">
        <f t="shared" si="8"/>
        <v>128.50843357949225</v>
      </c>
      <c r="BL25" s="132"/>
      <c r="BM25" s="229">
        <f>Pefect_1!BQ46/10</f>
        <v>3.9635428419932596E-2</v>
      </c>
      <c r="BN25" s="134">
        <f>BM4*BK25+BM5*BK24+BM6*BK23+BM7*BK22+BM8*BK21+BM9*BK20+BM10*BK19+BM11*BK18+BM12*BK17+BM13*BK16+BM14*BK15+BM15*BK14+BM16*BK13+BM17*BK12+BM18*BK11+BM19*BK10+BM20*BK9+BM21*BK8+BM22*BK7+BM23*BK6+BM24*BK5+BM25*BK4</f>
        <v>529.40457092318718</v>
      </c>
      <c r="BO25" s="134">
        <f t="shared" si="3"/>
        <v>530.40457092318718</v>
      </c>
      <c r="BP25" s="206">
        <f t="shared" si="4"/>
        <v>22</v>
      </c>
      <c r="BQ25" s="132"/>
      <c r="BR25" s="132">
        <v>22</v>
      </c>
      <c r="BS25" s="134">
        <f t="shared" si="9"/>
        <v>128.50843357949225</v>
      </c>
      <c r="BT25" s="132"/>
      <c r="BU25" s="229">
        <f>Pefect_1!CA46/10</f>
        <v>4.5682454492097693E-2</v>
      </c>
      <c r="BV25" s="134">
        <f>BU4*BS25+BU5*BS24+BU6*BS23+BU7*BS22+BU8*BS21+BU9*BS20+BU10*BS19+BU11*BS18+BU12*BS17+BU13*BS16+BU14*BS15+BU15*BS14+BU16*BS13+BU17*BS12+BU18*BS11+BU19*BS10+BU20*BS9+BU21*BS8+BU22*BS7+BU23*BS6+BU24*BS5+BU25*BS4</f>
        <v>637.9546026226792</v>
      </c>
      <c r="BW25" s="134">
        <f t="shared" si="5"/>
        <v>638.9546026226792</v>
      </c>
      <c r="BX25" s="132">
        <f t="shared" si="6"/>
        <v>22</v>
      </c>
    </row>
    <row r="26" spans="2:76" ht="15" customHeight="1" x14ac:dyDescent="0.35">
      <c r="B26" s="23" t="s">
        <v>391</v>
      </c>
      <c r="C26" s="190">
        <f>2.75*(C13/C19)</f>
        <v>0.17924388089254767</v>
      </c>
      <c r="D26" s="169" t="s">
        <v>374</v>
      </c>
      <c r="E26" s="24" t="s">
        <v>418</v>
      </c>
      <c r="F26" s="21"/>
      <c r="I26" s="4"/>
      <c r="AY26" s="132"/>
      <c r="AZ26" s="132"/>
      <c r="BA26" s="132"/>
      <c r="BB26" s="132">
        <v>23</v>
      </c>
      <c r="BC26" s="134">
        <f t="shared" si="7"/>
        <v>113.35538833737876</v>
      </c>
      <c r="BD26" s="132"/>
      <c r="BE26" s="229">
        <f>Pefect_1!BG47/10</f>
        <v>3.7719044154715678E-2</v>
      </c>
      <c r="BF26" s="134">
        <f>BE4*BC26+BE5*BC25+BE6*BC24+BE7*BC23+BE8*BC22+BE9*BC21+BE10*BC20+BE11*BC19+BE12*BC18+BE13*BC17+BE14*BC16+BE15*BC15+BE16*BC14+BE17*BC13+BE18*BC12+BE19*BC11+BE20*BC10+BE21*BC9+BE22*BC8+BE23*BC7+BE24*BC6+BE25*BC5+BE26*BC4</f>
        <v>493.4313826949201</v>
      </c>
      <c r="BG26" s="134">
        <f t="shared" si="1"/>
        <v>494.4313826949201</v>
      </c>
      <c r="BH26" s="206">
        <f t="shared" si="2"/>
        <v>23</v>
      </c>
      <c r="BI26" s="132"/>
      <c r="BJ26" s="132">
        <v>23</v>
      </c>
      <c r="BK26" s="134">
        <f t="shared" si="8"/>
        <v>113.35538833737876</v>
      </c>
      <c r="BL26" s="132"/>
      <c r="BM26" s="229">
        <f>Pefect_1!BQ47/10</f>
        <v>3.9855279993346926E-2</v>
      </c>
      <c r="BN26" s="134">
        <f>BM4*BK26+BM5*BK25+BM6*BK24+BM7*BK23+BM8*BK22+BM9*BK21+BM10*BK20+BM11*BK19+BM12*BK18+BM13*BK17+BM14*BK16+BM15*BK15+BM16*BK14+BM17*BK13+BM18*BK12+BM19*BK11+BM20*BK10+BM21*BK9+BM22*BK8+BM23*BK7+BM24*BK6+BM25*BK5+BM26*BK4</f>
        <v>530.37921771132926</v>
      </c>
      <c r="BO26" s="134">
        <f t="shared" si="3"/>
        <v>531.37921771132926</v>
      </c>
      <c r="BP26" s="206">
        <f t="shared" si="4"/>
        <v>23</v>
      </c>
      <c r="BQ26" s="132"/>
      <c r="BR26" s="132">
        <v>23</v>
      </c>
      <c r="BS26" s="134">
        <f t="shared" si="9"/>
        <v>113.35538833737876</v>
      </c>
      <c r="BT26" s="132"/>
      <c r="BU26" s="229">
        <f>Pefect_1!CA47/10</f>
        <v>4.5907519386441109E-2</v>
      </c>
      <c r="BV26" s="134">
        <f>BU4*BS26+BU5*BS25+BU6*BS24+BU7*BS23+BU8*BS22+BU9*BS21+BU10*BS20+BU11*BS19+BU12*BS18+BU13*BS17+BU14*BS16+BU15*BS15+BU16*BS14+BU17*BS13+BU18*BS12+BU19*BS11+BU20*BS10+BU21*BS9+BU22*BS8+BU23*BS7+BU24*BS6+BU25*BS5+BU26*BS4</f>
        <v>637.73434681650087</v>
      </c>
      <c r="BW26" s="134">
        <f t="shared" si="5"/>
        <v>638.73434681650087</v>
      </c>
      <c r="BX26" s="132">
        <f t="shared" si="6"/>
        <v>23</v>
      </c>
    </row>
    <row r="27" spans="2:76" ht="15" customHeight="1" thickBot="1" x14ac:dyDescent="0.35">
      <c r="B27" s="23"/>
      <c r="C27" s="190"/>
      <c r="D27" s="21"/>
      <c r="E27" s="23" t="s">
        <v>343</v>
      </c>
      <c r="F27" s="21"/>
      <c r="I27" s="4"/>
      <c r="K27" s="24" t="s">
        <v>392</v>
      </c>
      <c r="AY27" s="132"/>
      <c r="AZ27" s="132"/>
      <c r="BA27" s="132"/>
      <c r="BB27" s="132">
        <v>24</v>
      </c>
      <c r="BC27" s="134">
        <f t="shared" si="7"/>
        <v>98.202343095265235</v>
      </c>
      <c r="BD27" s="132"/>
      <c r="BE27" s="229">
        <f>Pefect_1!BG48/10</f>
        <v>3.793204841275042E-2</v>
      </c>
      <c r="BF27" s="134">
        <f>BE4*BC27+BE5*BC26+BE6*BC25+BE7*BC24+BE8*BC23+BE9*BC22+BE10*BC21+BE11*BC20+BE12*BC19+BE13*BC18+BE14*BC17+BE15*BC16+BE16*BC15+BE17*BC14+BE18*BC13+BE19*BC12+BE20*BC11+BE21*BC10+BE22*BC9+BE23*BC8+BE24*BC7+BE25*BC6+BE26*BC5+BE27*BC4</f>
        <v>490.74364040298434</v>
      </c>
      <c r="BG27" s="134">
        <f t="shared" si="1"/>
        <v>491.74364040298434</v>
      </c>
      <c r="BH27" s="206">
        <f t="shared" si="2"/>
        <v>24</v>
      </c>
      <c r="BI27" s="132"/>
      <c r="BJ27" s="132">
        <v>24</v>
      </c>
      <c r="BK27" s="134">
        <f t="shared" si="8"/>
        <v>98.202343095265235</v>
      </c>
      <c r="BL27" s="132"/>
      <c r="BM27" s="229">
        <f>Pefect_1!BQ48/10</f>
        <v>4.0070525354593302E-2</v>
      </c>
      <c r="BN27" s="134">
        <f>BM4*BK27+BM5*BK26+BM6*BK25+BM7*BK24+BM8*BK23+BM9*BK22+BM10*BK21+BM11*BK20+BM12*BK19+BM13*BK18+BM14*BK17+BM15*BK16+BM16*BK15+BM17*BK14+BM18*BK13+BM19*BK12+BM20*BK11+BM21*BK10+BM22*BK9+BM23*BK8+BM24*BK7+BM25*BK6+BM26*BK5+BM27*BK4</f>
        <v>527.06917614932013</v>
      </c>
      <c r="BO27" s="134">
        <f t="shared" si="3"/>
        <v>528.06917614932013</v>
      </c>
      <c r="BP27" s="206">
        <f t="shared" si="4"/>
        <v>24</v>
      </c>
      <c r="BQ27" s="132"/>
      <c r="BR27" s="132">
        <v>24</v>
      </c>
      <c r="BS27" s="134">
        <f t="shared" si="9"/>
        <v>98.202343095265235</v>
      </c>
      <c r="BT27" s="132"/>
      <c r="BU27" s="229">
        <f>Pefect_1!CA48/10</f>
        <v>4.61276745206348E-2</v>
      </c>
      <c r="BV27" s="134">
        <f>BU4*BS27+BU5*BS26+BU6*BS25+BU7*BS24+BU8*BS23+BU9*BS22+BU10*BS21+BU11*BS20+BU12*BS19+BU13*BS18+BU14*BS17+BU15*BS16+BU16*BS15+BU17*BS14+BU18*BS13+BU19*BS12+BU20*BS11+BU21*BS10+BU22*BS9+BU23*BS8+BU24*BS7+BU25*BS6+BU26*BS5+BU27*BS4</f>
        <v>632.50321155352697</v>
      </c>
      <c r="BW27" s="134">
        <f t="shared" si="5"/>
        <v>633.50321155352697</v>
      </c>
      <c r="BX27" s="132">
        <f t="shared" si="6"/>
        <v>24</v>
      </c>
    </row>
    <row r="28" spans="2:76" ht="15" customHeight="1" x14ac:dyDescent="0.3">
      <c r="B28" s="23"/>
      <c r="C28" s="190"/>
      <c r="D28" s="21"/>
      <c r="E28" s="23"/>
      <c r="F28" s="21"/>
      <c r="I28" s="4"/>
      <c r="R28" s="611" t="s">
        <v>195</v>
      </c>
      <c r="S28" s="613" t="s">
        <v>431</v>
      </c>
      <c r="AY28" s="132"/>
      <c r="AZ28" s="132"/>
      <c r="BA28" s="132"/>
      <c r="BB28" s="132">
        <v>25</v>
      </c>
      <c r="BC28" s="134">
        <f t="shared" si="7"/>
        <v>83.049297853151728</v>
      </c>
      <c r="BD28" s="132"/>
      <c r="BE28" s="134">
        <v>0</v>
      </c>
      <c r="BF28" s="134">
        <f>BE4*BC28+BE5*BC27+BE6*BC26+BE7*BC25+BE8*BC24+BE9*BC23+BE10*BC22+BE11*BC21+BE12*BC20+BE13*BC19+BE14*BC18+BE15*BC17+BE16*BC16+BE17*BC15+BE18*BC14+BE19*BC13+BE20*BC12+BE21*BC11+BE22*BC10+BE23*BC9+BE24*BC8+BE25*BC7+BE26*BC6+BE27*BC5+BE28*BC4</f>
        <v>483.03099482534179</v>
      </c>
      <c r="BG28" s="134">
        <f t="shared" si="1"/>
        <v>484.03099482534179</v>
      </c>
      <c r="BH28" s="206">
        <f t="shared" si="2"/>
        <v>25</v>
      </c>
      <c r="BI28" s="132"/>
      <c r="BJ28" s="132">
        <v>25</v>
      </c>
      <c r="BK28" s="134">
        <f t="shared" si="8"/>
        <v>83.049297853151728</v>
      </c>
      <c r="BL28" s="132"/>
      <c r="BM28" s="134">
        <v>0</v>
      </c>
      <c r="BN28" s="134">
        <f>BM4*BK28+BM5*BK27+BM6*BK26+BM7*BK25+BM8*BK24+BM9*BK23+BM10*BK22+BM11*BK21+BM12*BK20+BM13*BK19+BM14*BK18+BM15*BK17+BM16*BK16+BM17*BK15+BM18*BK14+BM19*BK13+BM20*BK12+BM21*BK11+BM22*BK10+BM23*BK9+BM24*BK8+BM25*BK7+BM26*BK6+BM27*BK5+BM28*BK4</f>
        <v>518.4201419695803</v>
      </c>
      <c r="BO28" s="134">
        <f t="shared" si="3"/>
        <v>519.4201419695803</v>
      </c>
      <c r="BP28" s="206">
        <f t="shared" si="4"/>
        <v>25</v>
      </c>
      <c r="BQ28" s="132"/>
      <c r="BR28" s="132">
        <v>25</v>
      </c>
      <c r="BS28" s="134">
        <f t="shared" si="9"/>
        <v>83.049297853151728</v>
      </c>
      <c r="BT28" s="132"/>
      <c r="BU28" s="134">
        <v>0</v>
      </c>
      <c r="BV28" s="134">
        <f>BU4*BS28+BU5*BS27+BU6*BS26+BU7*BS25+BU8*BS24+BU9*BS23+BU10*BS22+BU11*BS21+BU12*BS20+BU13*BS19+BU14*BS18+BU15*BS17+BU16*BS16+BU17*BS15+BU18*BS14+BU19*BS13+BU20*BS12+BU21*BS11+BU22*BS10+BU23*BS9+BU24*BS8+BU25*BS7+BU26*BS6+BU27*BS5+BU28*BS4</f>
        <v>621.0312669211288</v>
      </c>
      <c r="BW28" s="134">
        <f t="shared" si="5"/>
        <v>622.0312669211288</v>
      </c>
      <c r="BX28" s="132">
        <f t="shared" si="6"/>
        <v>25</v>
      </c>
    </row>
    <row r="29" spans="2:76" ht="15" customHeight="1" thickBot="1" x14ac:dyDescent="0.35">
      <c r="B29" s="36" t="s">
        <v>416</v>
      </c>
      <c r="F29" s="21"/>
      <c r="I29" s="4"/>
      <c r="K29" s="169" t="s">
        <v>430</v>
      </c>
      <c r="R29" s="612"/>
      <c r="S29" s="614"/>
      <c r="AY29" s="132"/>
      <c r="AZ29" s="132"/>
      <c r="BA29" s="132"/>
      <c r="BB29" s="132">
        <v>26</v>
      </c>
      <c r="BC29" s="134">
        <f t="shared" si="7"/>
        <v>67.896252611038236</v>
      </c>
      <c r="BD29" s="132"/>
      <c r="BE29" s="134">
        <v>0</v>
      </c>
      <c r="BF29" s="134">
        <f>BE4*BC29+BE5*BC28+BE6*BC27+BE7*BC26+BE8*BC25+BE9*BC24+BE10*BC23+BE11*BC22+BE12*BC21+BE13*BC20+BE14*BC19+BE15*BC18+BE16*BC17+BE17*BC16+BE18*BC15+BE19*BC14+BE20*BC13+BE21*BC12+BE22*BC11+BE23*BC10+BE24*BC9+BE25*BC8+BE26*BC7+BE27*BC6+BE28*BC5+BE29*BC4</f>
        <v>468.87980516162321</v>
      </c>
      <c r="BG29" s="134">
        <f t="shared" si="1"/>
        <v>469.87980516162321</v>
      </c>
      <c r="BH29" s="206">
        <f t="shared" si="2"/>
        <v>26</v>
      </c>
      <c r="BI29" s="132"/>
      <c r="BJ29" s="132">
        <v>26</v>
      </c>
      <c r="BK29" s="134">
        <f t="shared" si="8"/>
        <v>67.896252611038236</v>
      </c>
      <c r="BL29" s="132"/>
      <c r="BM29" s="134">
        <v>0</v>
      </c>
      <c r="BN29" s="134">
        <f>BM4*BK29+BM5*BK28+BM6*BK27+BM7*BK26+BM8*BK25+BM9*BK24+BM10*BK23+BM11*BK22+BM12*BK21+BM13*BK20+BM14*BK19+BM15*BK18+BM16*BK17+BM17*BK16+BM18*BK15+BM19*BK14+BM20*BK13+BM21*BK12+BM22*BK11+BM23*BK10+BM24*BK9+BM25*BK8+BM26*BK7+BM27*BK6+BM28*BK5+BM29*BK4</f>
        <v>502.87263964286478</v>
      </c>
      <c r="BO29" s="134">
        <f t="shared" si="3"/>
        <v>503.87263964286478</v>
      </c>
      <c r="BP29" s="206">
        <f t="shared" si="4"/>
        <v>26</v>
      </c>
      <c r="BQ29" s="132"/>
      <c r="BR29" s="132">
        <v>26</v>
      </c>
      <c r="BS29" s="134">
        <f t="shared" si="9"/>
        <v>67.896252611038236</v>
      </c>
      <c r="BT29" s="132"/>
      <c r="BU29" s="134">
        <v>0</v>
      </c>
      <c r="BV29" s="134">
        <f>BU4*BS29+BU5*BS28+BU6*BS27+BU7*BS26+BU8*BS25+BU9*BS24+BU10*BS23+BU11*BS22+BU12*BS21+BU13*BS20+BU14*BS19+BU15*BS18+BU16*BS17+BU17*BS16+BU18*BS15+BU19*BS14+BU20*BS13+BU21*BS12+BU22*BS11+BU23*BS10+BU24*BS9+BU25*BS8+BU26*BS7+BU27*BS6+BU28*BS5+BU29*BS4</f>
        <v>601.33614904393107</v>
      </c>
      <c r="BW29" s="134">
        <f t="shared" si="5"/>
        <v>602.33614904393107</v>
      </c>
      <c r="BX29" s="132">
        <f t="shared" si="6"/>
        <v>26</v>
      </c>
    </row>
    <row r="30" spans="2:76" ht="15" customHeight="1" x14ac:dyDescent="0.3">
      <c r="F30" s="21"/>
      <c r="I30" s="4"/>
      <c r="K30" s="169" t="s">
        <v>432</v>
      </c>
      <c r="R30" s="211">
        <f>BB3</f>
        <v>0</v>
      </c>
      <c r="S30" s="212">
        <f>BC3</f>
        <v>0</v>
      </c>
      <c r="AY30" s="132"/>
      <c r="AZ30" s="132"/>
      <c r="BA30" s="132"/>
      <c r="BB30" s="132">
        <v>27</v>
      </c>
      <c r="BC30" s="134">
        <f t="shared" si="7"/>
        <v>52.743207368924722</v>
      </c>
      <c r="BD30" s="132"/>
      <c r="BE30" s="134">
        <v>0</v>
      </c>
      <c r="BF30" s="134">
        <f>BE4*BC30+BE5*BC29+BE6*BC28+BE7*BC27+BE8*BC26+BE9*BC25+BE10*BC24+BE11*BC23+BE12*BC22+BE13*BC21+BE14*BC20+BE15*BC19+BE16*BC18+BE17*BC17+BE18*BC16+BE19*BC15+BE20*BC14+BE21*BC13+BE22*BC12+BE23*BC11+BE24*BC10+BE25*BC9+BE26*BC8+BE27*BC7+BE28*BC6+BE29*BC5+BE30*BC4</f>
        <v>448.94206396946413</v>
      </c>
      <c r="BG30" s="134">
        <f t="shared" si="1"/>
        <v>449.94206396946413</v>
      </c>
      <c r="BH30" s="206">
        <f t="shared" si="2"/>
        <v>27</v>
      </c>
      <c r="BI30" s="132"/>
      <c r="BJ30" s="132">
        <v>27</v>
      </c>
      <c r="BK30" s="134">
        <f t="shared" si="8"/>
        <v>52.743207368924722</v>
      </c>
      <c r="BL30" s="132"/>
      <c r="BM30" s="134">
        <v>0</v>
      </c>
      <c r="BN30" s="134">
        <f>BM4*BK30+BM5*BK29+BM6*BK28+BM7*BK27+BM8*BK26+BM9*BK25+BM10*BK24+BM11*BK23+BM12*BK22+BM13*BK21+BM14*BK20+BM15*BK19+BM16*BK18+BM17*BK17+BM18*BK16+BM19*BK15+BM20*BK14+BM21*BK13+BM22*BK12+BM23*BK11+BM24*BK10+BM25*BK9+BM26*BK8+BM27*BK7+BM28*BK6+BM29*BK5+BM30*BK4</f>
        <v>481.1530847355445</v>
      </c>
      <c r="BO30" s="134">
        <f t="shared" si="3"/>
        <v>482.1530847355445</v>
      </c>
      <c r="BP30" s="206">
        <f t="shared" si="4"/>
        <v>27</v>
      </c>
      <c r="BQ30" s="132"/>
      <c r="BR30" s="132">
        <v>27</v>
      </c>
      <c r="BS30" s="134">
        <f t="shared" si="9"/>
        <v>52.743207368924722</v>
      </c>
      <c r="BT30" s="132"/>
      <c r="BU30" s="134">
        <v>0</v>
      </c>
      <c r="BV30" s="134">
        <f>BU4*BS30+BU5*BS29+BU6*BS28+BU7*BS27+BU8*BS26+BU9*BS25+BU10*BS24+BU11*BS23+BU12*BS22+BU13*BS21+BU14*BS20+BU15*BS19+BU16*BS18+BU17*BS17+BU18*BS16+BU19*BS15+BU20*BS14+BU21*BS13+BU22*BS12+BU23*BS11+BU24*BS10+BU25*BS9+BU26*BS8+BU27*BS7+BU28*BS6+BU29*BS5+BU30*BS4</f>
        <v>574.36479782442427</v>
      </c>
      <c r="BW30" s="134">
        <f t="shared" si="5"/>
        <v>575.36479782442427</v>
      </c>
      <c r="BX30" s="132">
        <f t="shared" si="6"/>
        <v>27</v>
      </c>
    </row>
    <row r="31" spans="2:76" ht="15" customHeight="1" x14ac:dyDescent="0.3">
      <c r="B31" s="23" t="s">
        <v>376</v>
      </c>
      <c r="C31" s="190">
        <f>5.56/C26</f>
        <v>31.019190012590077</v>
      </c>
      <c r="D31" s="21" t="s">
        <v>288</v>
      </c>
      <c r="E31" s="24" t="s">
        <v>393</v>
      </c>
      <c r="F31" s="21"/>
      <c r="I31" s="4"/>
      <c r="K31" s="169" t="s">
        <v>433</v>
      </c>
      <c r="R31" s="207">
        <f t="shared" ref="R31:R59" si="10">BB4</f>
        <v>1</v>
      </c>
      <c r="S31" s="208">
        <f t="shared" ref="S31:S60" si="11">BC4</f>
        <v>39.050361338041618</v>
      </c>
      <c r="AY31" s="132"/>
      <c r="AZ31" s="132"/>
      <c r="BA31" s="132"/>
      <c r="BB31" s="132">
        <v>28</v>
      </c>
      <c r="BC31" s="134">
        <f t="shared" si="7"/>
        <v>37.590162126811215</v>
      </c>
      <c r="BD31" s="132"/>
      <c r="BE31" s="134">
        <v>0</v>
      </c>
      <c r="BF31" s="134">
        <f>BE4*BC31+BE5*BC30+BE6*BC29+BE7*BC28+BE8*BC27+BE9*BC26+BE10*BC25+BE11*BC24+BE12*BC23+BE13*BC22+BE14*BC21+BE15*BC20+BE16*BC19+BE17*BC18+BE18*BC17+BE19*BC16+BE20*BC15+BE21*BC14+BE22*BC13+BE23*BC12+BE24*BC11+BE25*BC10+BE26*BC9+BE27*BC8+BE28*BC7+BE29*BC6+BE30*BC5+BE31*BC4</f>
        <v>424.79545384211053</v>
      </c>
      <c r="BG31" s="134">
        <f t="shared" si="1"/>
        <v>425.79545384211053</v>
      </c>
      <c r="BH31" s="206">
        <f t="shared" si="2"/>
        <v>28</v>
      </c>
      <c r="BI31" s="132"/>
      <c r="BJ31" s="132">
        <v>28</v>
      </c>
      <c r="BK31" s="134">
        <f t="shared" si="8"/>
        <v>37.590162126811215</v>
      </c>
      <c r="BL31" s="132"/>
      <c r="BM31" s="134">
        <v>0</v>
      </c>
      <c r="BN31" s="134">
        <f>BM4*BK31+BM5*BK30+BM6*BK29+BM7*BK28+BM8*BK27+BM9*BK26+BM10*BK25+BM11*BK24+BM12*BK23+BM13*BK22+BM14*BK21+BM15*BK20+BM16*BK19+BM17*BK18+BM18*BK17+BM19*BK16+BM20*BK15+BM21*BK14+BM22*BK13+BM23*BK12+BM24*BK11+BM25*BK10+BM26*BK9+BM27*BK8+BM28*BK7+BM29*BK6+BM30*BK5+BM31*BK4</f>
        <v>454.97442169702265</v>
      </c>
      <c r="BO31" s="134">
        <f t="shared" si="3"/>
        <v>455.97442169702265</v>
      </c>
      <c r="BP31" s="206">
        <f t="shared" si="4"/>
        <v>28</v>
      </c>
      <c r="BQ31" s="132"/>
      <c r="BR31" s="132">
        <v>28</v>
      </c>
      <c r="BS31" s="134">
        <f t="shared" si="9"/>
        <v>37.590162126811215</v>
      </c>
      <c r="BT31" s="132"/>
      <c r="BU31" s="134">
        <v>0</v>
      </c>
      <c r="BV31" s="134">
        <f>BU4*BS31+BU5*BS30+BU6*BS29+BU7*BS28+BU8*BS27+BU9*BS26+BU10*BS25+BU11*BS24+BU12*BS23+BU13*BS22+BU14*BS21+BU15*BS20+BU16*BS19+BU17*BS18+BU18*BS17+BU19*BS16+BU20*BS15+BU21*BS14+BU22*BS13+BU23*BS12+BU24*BS11+BU25*BS10+BU26*BS9+BU27*BS8+BU28*BS7+BU29*BS6+BU30*BS5+BU31*BS4</f>
        <v>542.23795725246919</v>
      </c>
      <c r="BW31" s="134">
        <f t="shared" si="5"/>
        <v>543.23795725246919</v>
      </c>
      <c r="BX31" s="132">
        <f t="shared" si="6"/>
        <v>28</v>
      </c>
    </row>
    <row r="32" spans="2:76" ht="15" customHeight="1" thickBot="1" x14ac:dyDescent="0.35">
      <c r="F32" s="21"/>
      <c r="I32" s="4"/>
      <c r="R32" s="207">
        <f t="shared" si="10"/>
        <v>2</v>
      </c>
      <c r="S32" s="208">
        <f t="shared" si="11"/>
        <v>78.100722676083237</v>
      </c>
      <c r="AY32" s="132"/>
      <c r="AZ32" s="132"/>
      <c r="BA32" s="132"/>
      <c r="BB32" s="132">
        <v>29</v>
      </c>
      <c r="BC32" s="134">
        <f t="shared" si="7"/>
        <v>22.437116884697708</v>
      </c>
      <c r="BD32" s="132"/>
      <c r="BE32" s="134">
        <v>0</v>
      </c>
      <c r="BF32" s="134">
        <f>BE4*BC32+BE5*BC31+BE6*BC30+BE7*BC29+BE8*BC28+BE9*BC27+BE10*BC26+BE11*BC25+BE12*BC24+BE13*BC23+BE14*BC22+BE15*BC21+BE16*BC20+BE17*BC19+BE18*BC18+BE19*BC17+BE20*BC16+BE21*BC15+BE22*BC14+BE23*BC13+BE24*BC12+BE25*BC11+BE26*BC10+BE27*BC9+BE28*BC8+BE29*BC7+BE30*BC6+BE31*BC5+BE32*BC4</f>
        <v>396.90641237657383</v>
      </c>
      <c r="BG32" s="134">
        <f t="shared" si="1"/>
        <v>397.90641237657383</v>
      </c>
      <c r="BH32" s="206">
        <f t="shared" si="2"/>
        <v>29</v>
      </c>
      <c r="BI32" s="132"/>
      <c r="BJ32" s="132">
        <v>29</v>
      </c>
      <c r="BK32" s="134">
        <f t="shared" si="8"/>
        <v>22.437116884697708</v>
      </c>
      <c r="BL32" s="132"/>
      <c r="BM32" s="134">
        <v>0</v>
      </c>
      <c r="BN32" s="134">
        <f>BM4*BK32+BM5*BK31+BM6*BK30+BM7*BK29+BM8*BK28+BM9*BK27+BM10*BK26+BM11*BK25+BM12*BK24+BM13*BK23+BM14*BK22+BM15*BK21+BM16*BK20+BM17*BK19+BM18*BK18+BM19*BK17+BM20*BK16+BM21*BK15+BM22*BK14+BM23*BK13+BM24*BK12+BM25*BK11+BM26*BK10+BM27*BK9+BM28*BK8+BM29*BK7+BM30*BK6+BM31*BK5+BM32*BK4</f>
        <v>424.86120027718806</v>
      </c>
      <c r="BO32" s="134">
        <f t="shared" si="3"/>
        <v>425.86120027718806</v>
      </c>
      <c r="BP32" s="206">
        <f t="shared" si="4"/>
        <v>29</v>
      </c>
      <c r="BQ32" s="132"/>
      <c r="BR32" s="132">
        <v>29</v>
      </c>
      <c r="BS32" s="134">
        <f t="shared" si="9"/>
        <v>22.437116884697708</v>
      </c>
      <c r="BT32" s="132"/>
      <c r="BU32" s="134">
        <v>0</v>
      </c>
      <c r="BV32" s="134">
        <f>BU4*BS32+BU5*BS31+BU6*BS30+BU7*BS29+BU8*BS28+BU9*BS27+BU10*BS26+BU11*BS25+BU12*BS24+BU13*BS23+BU14*BS22+BU15*BS21+BU16*BS20+BU17*BS19+BU18*BS18+BU19*BS17+BU20*BS16+BU21*BS15+BU22*BS14+BU23*BS13+BU24*BS12+BU25*BS11+BU26*BS10+BU27*BS9+BU28*BS8+BU29*BS7+BU30*BS6+BU31*BS5+BU32*BS4</f>
        <v>505.64470550314422</v>
      </c>
      <c r="BW32" s="134">
        <f t="shared" si="5"/>
        <v>506.64470550314422</v>
      </c>
      <c r="BX32" s="132">
        <f t="shared" si="6"/>
        <v>29</v>
      </c>
    </row>
    <row r="33" spans="2:76" ht="15" customHeight="1" x14ac:dyDescent="0.3">
      <c r="B33" s="23" t="s">
        <v>380</v>
      </c>
      <c r="C33" s="190">
        <f>2.14/(C26)^1.08</f>
        <v>13.699158415040786</v>
      </c>
      <c r="D33" s="21" t="s">
        <v>288</v>
      </c>
      <c r="E33" s="24" t="s">
        <v>381</v>
      </c>
      <c r="F33" s="21"/>
      <c r="I33" s="4"/>
      <c r="N33" s="611" t="s">
        <v>195</v>
      </c>
      <c r="O33" s="613" t="s">
        <v>431</v>
      </c>
      <c r="R33" s="207">
        <f t="shared" si="10"/>
        <v>3</v>
      </c>
      <c r="S33" s="208">
        <f t="shared" si="11"/>
        <v>117.15108401412485</v>
      </c>
      <c r="AY33" s="132"/>
      <c r="AZ33" s="132"/>
      <c r="BA33" s="132"/>
      <c r="BB33" s="132">
        <v>30</v>
      </c>
      <c r="BC33" s="134">
        <f t="shared" si="7"/>
        <v>7.2840716425841983</v>
      </c>
      <c r="BD33" s="132"/>
      <c r="BE33" s="134">
        <v>0</v>
      </c>
      <c r="BF33" s="134">
        <f>BE4*BC33+BE5*BC32+BE6*BC31+BE7*BC30+BE8*BC29+BE9*BC28+BE10*BC27+BE11*BC26+BE12*BC25+BE13*BC24+BE14*BC23+BE15*BC22+BE16*BC21+BE17*BC20+BE18*BC19+BE19*BC18+BE20*BC17+BE21*BC16+BE22*BC15+BE23*BC14+BE24*BC13+BE25*BC12+BE26*BC11+BE27*BC10+BE28*BC9+BE29*BC8+BE30*BC7+BE31*BC6+BE32*BC5+BE33*BC4</f>
        <v>370.81390768015422</v>
      </c>
      <c r="BG33" s="134">
        <f t="shared" si="1"/>
        <v>371.81390768015422</v>
      </c>
      <c r="BH33" s="206">
        <f t="shared" si="2"/>
        <v>30</v>
      </c>
      <c r="BI33" s="132"/>
      <c r="BJ33" s="132">
        <v>30</v>
      </c>
      <c r="BK33" s="134">
        <f t="shared" si="8"/>
        <v>7.2840716425841983</v>
      </c>
      <c r="BL33" s="132"/>
      <c r="BM33" s="134">
        <v>0</v>
      </c>
      <c r="BN33" s="134">
        <f>BM4*BK33+BM5*BK32+BM6*BK31+BM7*BK30+BM8*BK29+BM9*BK28+BM10*BK27+BM11*BK26+BM12*BK25+BM13*BK24+BM14*BK23+BM15*BK22+BM16*BK21+BM17*BK20+BM18*BK19+BM19*BK18+BM20*BK17+BM21*BK16+BM22*BK15+BM23*BK14+BM24*BK13+BM25*BK12+BM26*BK11+BM27*BK10+BM28*BK9+BM29*BK8+BM30*BK7+BM31*BK6+BM32*BK5+BM33*BK4</f>
        <v>396.7960544051785</v>
      </c>
      <c r="BO33" s="134">
        <f t="shared" si="3"/>
        <v>397.7960544051785</v>
      </c>
      <c r="BP33" s="206">
        <f t="shared" si="4"/>
        <v>30</v>
      </c>
      <c r="BQ33" s="132"/>
      <c r="BR33" s="132">
        <v>30</v>
      </c>
      <c r="BS33" s="134">
        <f t="shared" si="9"/>
        <v>7.2840716425841983</v>
      </c>
      <c r="BT33" s="132"/>
      <c r="BU33" s="134">
        <v>0</v>
      </c>
      <c r="BV33" s="134">
        <f>BU4*BS33+BU5*BS32+BU6*BS31+BU7*BS30+BU8*BS29+BU9*BS28+BU10*BS27+BU11*BS26+BU12*BS25+BU13*BS24+BU14*BS23+BU15*BS22+BU16*BS21+BU17*BS20+BU18*BS19+BU19*BS18+BU20*BS17+BU21*BS16+BU22*BS15+BU23*BS14+BU24*BS13+BU25*BS12+BU26*BS11+BU27*BS10+BU28*BS9+BU29*BS8+BU30*BS7+BU31*BS6+BU32*BS5+BU33*BS4</f>
        <v>471.84657304974849</v>
      </c>
      <c r="BW33" s="134">
        <f t="shared" si="5"/>
        <v>472.84657304974849</v>
      </c>
      <c r="BX33" s="132">
        <f t="shared" si="6"/>
        <v>30</v>
      </c>
    </row>
    <row r="34" spans="2:76" ht="15" customHeight="1" thickBot="1" x14ac:dyDescent="0.35">
      <c r="C34" s="21"/>
      <c r="D34" s="21"/>
      <c r="E34" s="193"/>
      <c r="F34" s="21"/>
      <c r="I34" s="4"/>
      <c r="N34" s="612"/>
      <c r="O34" s="614"/>
      <c r="R34" s="207">
        <f t="shared" si="10"/>
        <v>4</v>
      </c>
      <c r="S34" s="208">
        <f t="shared" si="11"/>
        <v>156.20144535216647</v>
      </c>
      <c r="AY34" s="132"/>
      <c r="AZ34" s="132"/>
      <c r="BA34" s="132"/>
      <c r="BB34" s="132"/>
      <c r="BC34" s="132"/>
      <c r="BD34" s="132"/>
      <c r="BE34" s="132"/>
      <c r="BF34" s="132"/>
      <c r="BG34" s="132"/>
      <c r="BH34" s="132"/>
      <c r="BI34" s="132"/>
      <c r="BJ34" s="132"/>
      <c r="BK34" s="132"/>
      <c r="BL34" s="132"/>
      <c r="BM34" s="132"/>
      <c r="BN34" s="132"/>
      <c r="BO34" s="132"/>
      <c r="BP34" s="132"/>
      <c r="BQ34" s="132"/>
      <c r="BR34" s="132"/>
      <c r="BS34" s="132"/>
      <c r="BT34" s="132"/>
      <c r="BU34" s="132"/>
      <c r="BV34" s="191"/>
      <c r="BW34" s="191"/>
    </row>
    <row r="35" spans="2:76" ht="15" customHeight="1" x14ac:dyDescent="0.3">
      <c r="B35" s="23" t="s">
        <v>383</v>
      </c>
      <c r="C35" s="190">
        <f>1.22/(C26)^1.08</f>
        <v>7.8098005917522242</v>
      </c>
      <c r="D35" s="21" t="s">
        <v>288</v>
      </c>
      <c r="E35" s="24" t="s">
        <v>384</v>
      </c>
      <c r="I35" s="4"/>
      <c r="N35" s="151">
        <v>0</v>
      </c>
      <c r="O35" s="195">
        <v>0</v>
      </c>
      <c r="P35" s="24" t="s">
        <v>434</v>
      </c>
      <c r="R35" s="207">
        <f t="shared" si="10"/>
        <v>5</v>
      </c>
      <c r="S35" s="208">
        <f t="shared" si="11"/>
        <v>197.43734953356127</v>
      </c>
      <c r="AY35" s="132"/>
      <c r="AZ35" s="132"/>
      <c r="BA35" s="132"/>
      <c r="BB35" s="132"/>
      <c r="BC35" s="132"/>
      <c r="BD35" s="132"/>
      <c r="BE35" s="132"/>
      <c r="BF35" s="132"/>
      <c r="BG35" s="132"/>
      <c r="BH35" s="132"/>
      <c r="BI35" s="132"/>
      <c r="BJ35" s="132"/>
      <c r="BK35" s="132"/>
      <c r="BL35" s="132"/>
      <c r="BM35" s="132"/>
      <c r="BN35" s="132"/>
      <c r="BO35" s="132"/>
      <c r="BP35" s="132"/>
      <c r="BQ35" s="132"/>
      <c r="BR35" s="132"/>
      <c r="BS35" s="132"/>
      <c r="BT35" s="132"/>
      <c r="BU35" s="132"/>
      <c r="BV35" s="191"/>
      <c r="BW35" s="191"/>
    </row>
    <row r="36" spans="2:76" ht="15" customHeight="1" x14ac:dyDescent="0.3">
      <c r="B36" s="23"/>
      <c r="I36" s="4"/>
      <c r="N36" s="140">
        <f>L23-(L19/3)</f>
        <v>4.7631816386903623</v>
      </c>
      <c r="O36" s="162">
        <f>0.5*L25</f>
        <v>186.00396410958385</v>
      </c>
      <c r="R36" s="207">
        <f t="shared" si="10"/>
        <v>6</v>
      </c>
      <c r="S36" s="208">
        <f t="shared" si="11"/>
        <v>245.71648363764524</v>
      </c>
      <c r="AY36" s="132"/>
      <c r="AZ36" s="132"/>
      <c r="BA36" s="132"/>
      <c r="BB36" s="132"/>
      <c r="BC36" s="132"/>
      <c r="BD36" s="132"/>
      <c r="BE36" s="132"/>
      <c r="BF36" s="132"/>
      <c r="BG36" s="132"/>
      <c r="BH36" s="132"/>
      <c r="BI36" s="132"/>
      <c r="BJ36" s="132"/>
      <c r="BK36" s="132"/>
      <c r="BL36" s="132"/>
      <c r="BM36" s="132"/>
      <c r="BN36" s="132"/>
      <c r="BO36" s="132"/>
      <c r="BP36" s="132"/>
      <c r="BQ36" s="132"/>
      <c r="BR36" s="132"/>
      <c r="BS36" s="132"/>
      <c r="BT36" s="132"/>
      <c r="BU36" s="132"/>
      <c r="BV36" s="191"/>
      <c r="BW36" s="191"/>
    </row>
    <row r="37" spans="2:76" ht="15" customHeight="1" x14ac:dyDescent="0.3">
      <c r="B37" s="23" t="s">
        <v>395</v>
      </c>
      <c r="C37" s="190">
        <f>C23+C19</f>
        <v>9.7074443564580442</v>
      </c>
      <c r="D37" s="21" t="s">
        <v>288</v>
      </c>
      <c r="E37" s="24" t="s">
        <v>388</v>
      </c>
      <c r="F37" s="21"/>
      <c r="I37" s="4"/>
      <c r="N37" s="140">
        <f>L23-(L21/3)</f>
        <v>6.6895207038088635</v>
      </c>
      <c r="O37" s="162">
        <f>0.75*L25</f>
        <v>279.00594616437576</v>
      </c>
      <c r="R37" s="207">
        <f t="shared" si="10"/>
        <v>7</v>
      </c>
      <c r="S37" s="208">
        <f t="shared" si="11"/>
        <v>290.30963292762596</v>
      </c>
      <c r="AY37" s="132"/>
      <c r="AZ37" s="132"/>
      <c r="BA37" s="132"/>
      <c r="BB37" s="132"/>
      <c r="BC37" s="132"/>
      <c r="BD37" s="132"/>
      <c r="BE37" s="132"/>
      <c r="BF37" s="132"/>
      <c r="BG37" s="132"/>
      <c r="BH37" s="132"/>
      <c r="BI37" s="132"/>
      <c r="BJ37" s="132"/>
      <c r="BK37" s="132"/>
      <c r="BL37" s="132"/>
      <c r="BM37" s="132"/>
      <c r="BN37" s="132"/>
      <c r="BO37" s="132"/>
      <c r="BP37" s="132"/>
      <c r="BQ37" s="132"/>
      <c r="BR37" s="132"/>
      <c r="BS37" s="132"/>
      <c r="BT37" s="132"/>
      <c r="BU37" s="132"/>
      <c r="BV37" s="191"/>
      <c r="BW37" s="191"/>
    </row>
    <row r="38" spans="2:76" ht="15" customHeight="1" x14ac:dyDescent="0.3">
      <c r="F38" s="21"/>
      <c r="I38" s="4"/>
      <c r="N38" s="140">
        <f>L23</f>
        <v>9.2440138119007891</v>
      </c>
      <c r="O38" s="162">
        <f>L25</f>
        <v>372.0079282191677</v>
      </c>
      <c r="R38" s="207">
        <f t="shared" si="10"/>
        <v>8</v>
      </c>
      <c r="S38" s="208">
        <f t="shared" si="11"/>
        <v>326.71684880939421</v>
      </c>
      <c r="AY38" s="132"/>
      <c r="AZ38" s="132"/>
      <c r="BA38" s="132"/>
      <c r="BB38" s="132"/>
      <c r="BC38" s="132"/>
      <c r="BD38" s="132"/>
      <c r="BE38" s="132"/>
      <c r="BF38" s="132"/>
      <c r="BG38" s="132"/>
      <c r="BH38" s="132"/>
      <c r="BI38" s="132"/>
      <c r="BJ38" s="132"/>
      <c r="BK38" s="132"/>
      <c r="BL38" s="132"/>
      <c r="BM38" s="132"/>
      <c r="BN38" s="132"/>
      <c r="BO38" s="132"/>
      <c r="BP38" s="132"/>
      <c r="BQ38" s="132"/>
      <c r="BR38" s="132"/>
      <c r="BS38" s="132"/>
      <c r="BT38" s="132"/>
      <c r="BU38" s="132"/>
      <c r="BV38" s="191"/>
      <c r="BW38" s="191"/>
    </row>
    <row r="39" spans="2:76" ht="15" customHeight="1" x14ac:dyDescent="0.3">
      <c r="B39" s="23" t="s">
        <v>389</v>
      </c>
      <c r="C39" s="190">
        <f>C26*C9</f>
        <v>365.54991028707383</v>
      </c>
      <c r="D39" s="169" t="s">
        <v>374</v>
      </c>
      <c r="E39" s="24" t="s">
        <v>396</v>
      </c>
      <c r="F39" s="21"/>
      <c r="I39" s="4"/>
      <c r="N39" s="140">
        <f>L23+(2*L21/3)</f>
        <v>14.35300002808464</v>
      </c>
      <c r="O39" s="162">
        <f>0.75*L25</f>
        <v>279.00594616437576</v>
      </c>
      <c r="R39" s="207">
        <f t="shared" si="10"/>
        <v>9</v>
      </c>
      <c r="S39" s="208">
        <f t="shared" si="11"/>
        <v>363.12406469116252</v>
      </c>
      <c r="T39" s="169" t="s">
        <v>422</v>
      </c>
      <c r="AD39" s="169" t="s">
        <v>422</v>
      </c>
      <c r="AN39" s="169" t="s">
        <v>422</v>
      </c>
      <c r="AY39" s="132"/>
      <c r="AZ39" s="132"/>
      <c r="BA39" s="132"/>
      <c r="BB39" s="132"/>
      <c r="BC39" s="132"/>
      <c r="BD39" s="132"/>
      <c r="BE39" s="132"/>
      <c r="BF39" s="132"/>
      <c r="BG39" s="132"/>
      <c r="BH39" s="132"/>
      <c r="BI39" s="132"/>
      <c r="BJ39" s="132"/>
      <c r="BK39" s="132"/>
      <c r="BL39" s="132"/>
      <c r="BM39" s="132"/>
      <c r="BN39" s="132"/>
      <c r="BO39" s="132"/>
      <c r="BP39" s="132"/>
      <c r="BQ39" s="132"/>
      <c r="BR39" s="132"/>
      <c r="BS39" s="132"/>
      <c r="BT39" s="132"/>
      <c r="BU39" s="132"/>
      <c r="BV39" s="191"/>
      <c r="BW39" s="191"/>
    </row>
    <row r="40" spans="2:76" ht="15" customHeight="1" x14ac:dyDescent="0.3">
      <c r="B40" s="23"/>
      <c r="C40" s="190"/>
      <c r="D40" s="21"/>
      <c r="E40" s="24"/>
      <c r="F40" s="21"/>
      <c r="I40" s="4"/>
      <c r="N40" s="140">
        <f>L23+(2*L19/3)</f>
        <v>18.205678158321643</v>
      </c>
      <c r="O40" s="162">
        <f>0.5*L25</f>
        <v>186.00396410958385</v>
      </c>
      <c r="R40" s="207">
        <f t="shared" si="10"/>
        <v>10</v>
      </c>
      <c r="S40" s="208">
        <f t="shared" si="11"/>
        <v>358.24625204228613</v>
      </c>
      <c r="Z40" s="609" t="s">
        <v>420</v>
      </c>
      <c r="AA40" s="609"/>
      <c r="AB40" s="213">
        <v>1</v>
      </c>
      <c r="AC40" s="169" t="s">
        <v>421</v>
      </c>
      <c r="AJ40" s="609" t="s">
        <v>420</v>
      </c>
      <c r="AK40" s="609"/>
      <c r="AL40" s="190">
        <f>AB40</f>
        <v>1</v>
      </c>
      <c r="AM40" s="169" t="s">
        <v>421</v>
      </c>
      <c r="AT40" s="609" t="s">
        <v>420</v>
      </c>
      <c r="AU40" s="609"/>
      <c r="AV40" s="190">
        <f>AB40</f>
        <v>1</v>
      </c>
      <c r="AW40" s="169" t="s">
        <v>421</v>
      </c>
      <c r="AY40" s="132"/>
      <c r="AZ40" s="132"/>
      <c r="BA40" s="132"/>
      <c r="BB40" s="132"/>
      <c r="BC40" s="132"/>
      <c r="BD40" s="132"/>
      <c r="BE40" s="132"/>
      <c r="BF40" s="132"/>
      <c r="BG40" s="132"/>
      <c r="BH40" s="132"/>
      <c r="BI40" s="132"/>
      <c r="BJ40" s="132"/>
      <c r="BK40" s="132"/>
      <c r="BL40" s="132"/>
      <c r="BM40" s="132"/>
      <c r="BN40" s="132"/>
      <c r="BO40" s="132"/>
      <c r="BP40" s="132"/>
      <c r="BQ40" s="132"/>
      <c r="BR40" s="132"/>
      <c r="BS40" s="132"/>
      <c r="BT40" s="132"/>
      <c r="BU40" s="132"/>
      <c r="BV40" s="191"/>
      <c r="BW40" s="191"/>
    </row>
    <row r="41" spans="2:76" ht="15" customHeight="1" thickBot="1" x14ac:dyDescent="0.35">
      <c r="B41" s="24" t="s">
        <v>392</v>
      </c>
      <c r="E41" s="24"/>
      <c r="F41" s="21"/>
      <c r="I41" s="4"/>
      <c r="N41" s="141">
        <f>L17</f>
        <v>30.480700184431591</v>
      </c>
      <c r="O41" s="196">
        <v>0</v>
      </c>
      <c r="R41" s="207">
        <f t="shared" si="10"/>
        <v>11</v>
      </c>
      <c r="S41" s="208">
        <f t="shared" si="11"/>
        <v>340.04264410140206</v>
      </c>
      <c r="AY41" s="132"/>
      <c r="AZ41" s="132"/>
      <c r="BA41" s="132"/>
      <c r="BB41" s="132"/>
      <c r="BC41" s="132"/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91"/>
      <c r="BW41" s="191"/>
    </row>
    <row r="42" spans="2:76" ht="15" customHeight="1" x14ac:dyDescent="0.3">
      <c r="B42" s="23"/>
      <c r="E42" s="24"/>
      <c r="F42" s="21"/>
      <c r="R42" s="207">
        <f t="shared" si="10"/>
        <v>12</v>
      </c>
      <c r="S42" s="208">
        <f t="shared" si="11"/>
        <v>321.83903616051788</v>
      </c>
      <c r="AY42" s="132"/>
      <c r="AZ42" s="132"/>
      <c r="BA42" s="132"/>
      <c r="BB42" s="132"/>
      <c r="BC42" s="132"/>
      <c r="BD42" s="132"/>
      <c r="BE42" s="132"/>
      <c r="BF42" s="132"/>
      <c r="BG42" s="132"/>
      <c r="BH42" s="132"/>
      <c r="BI42" s="132"/>
      <c r="BJ42" s="132"/>
      <c r="BK42" s="132"/>
      <c r="BL42" s="132"/>
      <c r="BM42" s="132"/>
      <c r="BN42" s="132"/>
      <c r="BO42" s="132"/>
      <c r="BP42" s="132"/>
      <c r="BQ42" s="132"/>
      <c r="BR42" s="132"/>
      <c r="BS42" s="132"/>
      <c r="BT42" s="132"/>
      <c r="BU42" s="132"/>
      <c r="BV42" s="191"/>
      <c r="BW42" s="191"/>
    </row>
    <row r="43" spans="2:76" ht="15" customHeight="1" x14ac:dyDescent="0.3">
      <c r="E43" s="24"/>
      <c r="F43" s="21"/>
      <c r="R43" s="207">
        <f t="shared" si="10"/>
        <v>13</v>
      </c>
      <c r="S43" s="208">
        <f t="shared" si="11"/>
        <v>303.63542821963375</v>
      </c>
      <c r="AY43" s="132"/>
      <c r="AZ43" s="132"/>
      <c r="BA43" s="132"/>
      <c r="BB43" s="132"/>
      <c r="BC43" s="132"/>
      <c r="BD43" s="132"/>
      <c r="BE43" s="132"/>
      <c r="BF43" s="132"/>
      <c r="BG43" s="132"/>
      <c r="BH43" s="132"/>
      <c r="BI43" s="132"/>
      <c r="BJ43" s="132"/>
      <c r="BK43" s="132"/>
      <c r="BL43" s="132"/>
      <c r="BM43" s="132"/>
      <c r="BN43" s="132"/>
      <c r="BO43" s="132"/>
      <c r="BP43" s="132"/>
      <c r="BQ43" s="132"/>
      <c r="BR43" s="132"/>
      <c r="BS43" s="132"/>
      <c r="BT43" s="132"/>
      <c r="BU43" s="132"/>
      <c r="BV43" s="191"/>
      <c r="BW43" s="191"/>
    </row>
    <row r="44" spans="2:76" ht="15" customHeight="1" x14ac:dyDescent="0.3">
      <c r="F44" s="21"/>
      <c r="R44" s="207">
        <f t="shared" si="10"/>
        <v>14</v>
      </c>
      <c r="S44" s="208">
        <f t="shared" si="11"/>
        <v>285.43182027874968</v>
      </c>
      <c r="AY44" s="132"/>
      <c r="AZ44" s="132"/>
      <c r="BA44" s="132"/>
      <c r="BB44" s="132"/>
      <c r="BC44" s="132"/>
      <c r="BD44" s="132"/>
      <c r="BE44" s="132"/>
      <c r="BF44" s="132"/>
      <c r="BG44" s="132"/>
      <c r="BH44" s="132"/>
      <c r="BI44" s="132"/>
      <c r="BJ44" s="132"/>
      <c r="BK44" s="132"/>
      <c r="BL44" s="132"/>
      <c r="BM44" s="132"/>
      <c r="BN44" s="132"/>
      <c r="BO44" s="132"/>
      <c r="BP44" s="132"/>
      <c r="BQ44" s="132"/>
      <c r="BR44" s="132"/>
      <c r="BS44" s="132"/>
      <c r="BT44" s="132"/>
      <c r="BU44" s="132"/>
      <c r="BV44" s="191"/>
      <c r="BW44" s="191"/>
    </row>
    <row r="45" spans="2:76" ht="15" customHeight="1" x14ac:dyDescent="0.3">
      <c r="F45" s="21"/>
      <c r="R45" s="207">
        <f t="shared" si="10"/>
        <v>15</v>
      </c>
      <c r="S45" s="208">
        <f t="shared" si="11"/>
        <v>263.38764695965563</v>
      </c>
      <c r="AY45" s="132"/>
      <c r="AZ45" s="132"/>
      <c r="BA45" s="132"/>
      <c r="BB45" s="132"/>
      <c r="BC45" s="132"/>
      <c r="BD45" s="132"/>
      <c r="BE45" s="132"/>
      <c r="BF45" s="132"/>
      <c r="BG45" s="132"/>
      <c r="BH45" s="132"/>
      <c r="BI45" s="132"/>
      <c r="BJ45" s="132"/>
      <c r="BK45" s="132"/>
      <c r="BL45" s="132"/>
      <c r="BM45" s="132"/>
      <c r="BN45" s="132"/>
      <c r="BO45" s="132"/>
      <c r="BP45" s="132"/>
      <c r="BQ45" s="132"/>
      <c r="BR45" s="132"/>
      <c r="BS45" s="132"/>
      <c r="BT45" s="132"/>
      <c r="BU45" s="132"/>
      <c r="BV45" s="191"/>
      <c r="BW45" s="191"/>
    </row>
    <row r="46" spans="2:76" ht="15" customHeight="1" thickBot="1" x14ac:dyDescent="0.35">
      <c r="F46" s="21"/>
      <c r="R46" s="207">
        <f t="shared" si="10"/>
        <v>16</v>
      </c>
      <c r="S46" s="208">
        <f t="shared" si="11"/>
        <v>239.24807990761363</v>
      </c>
      <c r="AY46" s="132"/>
      <c r="AZ46" s="132"/>
      <c r="BA46" s="132"/>
      <c r="BB46" s="132"/>
      <c r="BC46" s="132"/>
      <c r="BD46" s="132"/>
      <c r="BE46" s="132"/>
      <c r="BF46" s="132"/>
      <c r="BG46" s="132"/>
      <c r="BH46" s="132"/>
      <c r="BI46" s="132"/>
      <c r="BJ46" s="132"/>
      <c r="BK46" s="132"/>
      <c r="BL46" s="132"/>
      <c r="BM46" s="132"/>
      <c r="BN46" s="132"/>
      <c r="BO46" s="132"/>
      <c r="BP46" s="132"/>
      <c r="BQ46" s="132"/>
      <c r="BR46" s="132"/>
      <c r="BS46" s="132"/>
      <c r="BT46" s="132"/>
      <c r="BU46" s="132"/>
      <c r="BV46" s="191"/>
      <c r="BW46" s="191"/>
    </row>
    <row r="47" spans="2:76" ht="15" customHeight="1" x14ac:dyDescent="0.3">
      <c r="F47" s="21"/>
      <c r="I47" s="611" t="s">
        <v>195</v>
      </c>
      <c r="J47" s="613" t="s">
        <v>431</v>
      </c>
      <c r="R47" s="207">
        <f t="shared" si="10"/>
        <v>17</v>
      </c>
      <c r="S47" s="208">
        <f t="shared" si="11"/>
        <v>215.10851285557166</v>
      </c>
      <c r="AY47" s="132"/>
      <c r="AZ47" s="132"/>
      <c r="BA47" s="132"/>
      <c r="BB47" s="132"/>
      <c r="BC47" s="132"/>
      <c r="BD47" s="132"/>
      <c r="BE47" s="132"/>
      <c r="BF47" s="132"/>
      <c r="BG47" s="132"/>
      <c r="BH47" s="132"/>
      <c r="BI47" s="132"/>
      <c r="BJ47" s="132"/>
      <c r="BK47" s="132"/>
      <c r="BL47" s="132"/>
      <c r="BM47" s="132"/>
      <c r="BN47" s="132"/>
      <c r="BO47" s="132"/>
      <c r="BP47" s="132"/>
      <c r="BQ47" s="132"/>
      <c r="BR47" s="132"/>
      <c r="BS47" s="132"/>
      <c r="BT47" s="132"/>
      <c r="BU47" s="132"/>
      <c r="BV47" s="191"/>
      <c r="BW47" s="191"/>
    </row>
    <row r="48" spans="2:76" ht="15" customHeight="1" thickBot="1" x14ac:dyDescent="0.35">
      <c r="B48" s="24"/>
      <c r="C48" s="21"/>
      <c r="D48" s="21"/>
      <c r="E48" s="21"/>
      <c r="F48" s="21"/>
      <c r="I48" s="612"/>
      <c r="J48" s="614"/>
      <c r="R48" s="207">
        <f t="shared" si="10"/>
        <v>18</v>
      </c>
      <c r="S48" s="208">
        <f t="shared" si="11"/>
        <v>190.96894580352966</v>
      </c>
      <c r="AY48" s="132"/>
      <c r="AZ48" s="132"/>
      <c r="BA48" s="132"/>
      <c r="BB48" s="132"/>
      <c r="BC48" s="132"/>
      <c r="BD48" s="132"/>
      <c r="BE48" s="132"/>
      <c r="BF48" s="132"/>
      <c r="BG48" s="132"/>
      <c r="BH48" s="132"/>
      <c r="BI48" s="132"/>
      <c r="BJ48" s="132"/>
      <c r="BK48" s="132"/>
      <c r="BL48" s="132"/>
      <c r="BM48" s="132"/>
      <c r="BN48" s="132"/>
      <c r="BO48" s="132"/>
      <c r="BP48" s="132"/>
      <c r="BQ48" s="132"/>
      <c r="BR48" s="132"/>
      <c r="BS48" s="132"/>
      <c r="BT48" s="132"/>
      <c r="BU48" s="132"/>
      <c r="BV48" s="191"/>
      <c r="BW48" s="191"/>
    </row>
    <row r="49" spans="2:76" ht="15" customHeight="1" x14ac:dyDescent="0.3">
      <c r="I49" s="151">
        <v>0</v>
      </c>
      <c r="J49" s="195">
        <v>0</v>
      </c>
      <c r="R49" s="207">
        <f t="shared" si="10"/>
        <v>19</v>
      </c>
      <c r="S49" s="208">
        <f t="shared" si="11"/>
        <v>173.9675693058328</v>
      </c>
      <c r="AY49" s="132"/>
      <c r="AZ49" s="132"/>
      <c r="BA49" s="132"/>
      <c r="BB49" s="132"/>
      <c r="BC49" s="132"/>
      <c r="BD49" s="132"/>
      <c r="BE49" s="132"/>
      <c r="BF49" s="132"/>
      <c r="BG49" s="132"/>
      <c r="BH49" s="132"/>
      <c r="BI49" s="132"/>
      <c r="BJ49" s="132"/>
      <c r="BK49" s="132"/>
      <c r="BL49" s="132"/>
      <c r="BM49" s="132"/>
      <c r="BN49" s="132"/>
      <c r="BO49" s="132"/>
      <c r="BP49" s="132"/>
      <c r="BQ49" s="132"/>
      <c r="BR49" s="132"/>
      <c r="BS49" s="132"/>
      <c r="BT49" s="132"/>
      <c r="BU49" s="132"/>
      <c r="BV49" s="191"/>
      <c r="BW49" s="191"/>
    </row>
    <row r="50" spans="2:76" ht="15" customHeight="1" x14ac:dyDescent="0.3">
      <c r="I50" s="140">
        <f>C37-(C33/3)</f>
        <v>5.1410582181111151</v>
      </c>
      <c r="J50" s="162">
        <f>0.5*C39</f>
        <v>182.77495514353691</v>
      </c>
      <c r="R50" s="207">
        <f>BB23</f>
        <v>20</v>
      </c>
      <c r="S50" s="208">
        <f t="shared" si="11"/>
        <v>158.81452406371929</v>
      </c>
      <c r="AY50" s="132"/>
      <c r="AZ50" s="132"/>
      <c r="BA50" s="132"/>
      <c r="BB50" s="132"/>
      <c r="BC50" s="132"/>
      <c r="BD50" s="132"/>
      <c r="BE50" s="132"/>
      <c r="BF50" s="132"/>
      <c r="BG50" s="132"/>
      <c r="BH50" s="132"/>
      <c r="BI50" s="132"/>
      <c r="BJ50" s="132"/>
      <c r="BK50" s="132"/>
      <c r="BL50" s="132"/>
      <c r="BM50" s="132"/>
      <c r="BN50" s="132"/>
      <c r="BO50" s="132"/>
      <c r="BP50" s="132"/>
      <c r="BQ50" s="132"/>
      <c r="BR50" s="132"/>
      <c r="BS50" s="132"/>
      <c r="BT50" s="132"/>
      <c r="BU50" s="132"/>
      <c r="BV50" s="191"/>
      <c r="BW50" s="191"/>
    </row>
    <row r="51" spans="2:76" ht="15" customHeight="1" x14ac:dyDescent="0.3">
      <c r="I51" s="140">
        <f>C37-(C35/3)</f>
        <v>7.1041774925406358</v>
      </c>
      <c r="J51" s="162">
        <f>0.75*C39</f>
        <v>274.16243271530539</v>
      </c>
      <c r="R51" s="207">
        <f t="shared" si="10"/>
        <v>21</v>
      </c>
      <c r="S51" s="208">
        <f t="shared" si="11"/>
        <v>143.66147882160578</v>
      </c>
      <c r="AY51" s="132"/>
      <c r="AZ51" s="132"/>
      <c r="BA51" s="132"/>
      <c r="BB51" s="132"/>
      <c r="BC51" s="132"/>
      <c r="BD51" s="132"/>
      <c r="BE51" s="132"/>
      <c r="BF51" s="132"/>
      <c r="BG51" s="132"/>
      <c r="BH51" s="132"/>
      <c r="BI51" s="132"/>
      <c r="BJ51" s="132"/>
      <c r="BK51" s="132"/>
      <c r="BL51" s="132"/>
      <c r="BM51" s="132"/>
      <c r="BN51" s="132"/>
      <c r="BO51" s="132"/>
      <c r="BP51" s="132"/>
      <c r="BQ51" s="132"/>
      <c r="BR51" s="132"/>
      <c r="BS51" s="132"/>
      <c r="BT51" s="132"/>
      <c r="BU51" s="132"/>
      <c r="BV51" s="191"/>
      <c r="BW51" s="191"/>
    </row>
    <row r="52" spans="2:76" ht="15" customHeight="1" x14ac:dyDescent="0.3">
      <c r="I52" s="140">
        <f>C37</f>
        <v>9.7074443564580442</v>
      </c>
      <c r="J52" s="162">
        <f>C39</f>
        <v>365.54991028707383</v>
      </c>
      <c r="R52" s="207">
        <f t="shared" si="10"/>
        <v>22</v>
      </c>
      <c r="S52" s="208">
        <f t="shared" si="11"/>
        <v>128.50843357949225</v>
      </c>
      <c r="AY52" s="132"/>
      <c r="AZ52" s="132"/>
      <c r="BA52" s="132"/>
      <c r="BB52" s="132"/>
      <c r="BC52" s="132"/>
      <c r="BD52" s="132"/>
      <c r="BE52" s="132"/>
      <c r="BF52" s="132"/>
      <c r="BG52" s="132"/>
      <c r="BH52" s="132"/>
      <c r="BI52" s="132"/>
      <c r="BJ52" s="132"/>
      <c r="BK52" s="132"/>
      <c r="BL52" s="132"/>
      <c r="BM52" s="132"/>
      <c r="BN52" s="132"/>
      <c r="BO52" s="132"/>
      <c r="BP52" s="132"/>
      <c r="BQ52" s="132"/>
      <c r="BR52" s="132"/>
      <c r="BS52" s="132"/>
      <c r="BT52" s="132"/>
      <c r="BU52" s="132"/>
      <c r="BV52" s="191"/>
      <c r="BW52" s="191"/>
    </row>
    <row r="53" spans="2:76" ht="15" customHeight="1" x14ac:dyDescent="0.3">
      <c r="I53" s="140">
        <f>C37+(2*C35/3)</f>
        <v>14.913978084292861</v>
      </c>
      <c r="J53" s="162">
        <f>0.75*C39</f>
        <v>274.16243271530539</v>
      </c>
      <c r="R53" s="207">
        <f t="shared" si="10"/>
        <v>23</v>
      </c>
      <c r="S53" s="208">
        <f t="shared" si="11"/>
        <v>113.35538833737876</v>
      </c>
      <c r="AY53" s="132"/>
      <c r="AZ53" s="132"/>
      <c r="BA53" s="132"/>
      <c r="BB53" s="132"/>
      <c r="BC53" s="132"/>
      <c r="BD53" s="132"/>
      <c r="BE53" s="132"/>
      <c r="BF53" s="132"/>
      <c r="BG53" s="132"/>
      <c r="BH53" s="132"/>
      <c r="BI53" s="132"/>
      <c r="BJ53" s="132"/>
      <c r="BK53" s="132"/>
      <c r="BL53" s="132"/>
      <c r="BM53" s="132"/>
      <c r="BN53" s="132"/>
      <c r="BO53" s="132"/>
      <c r="BP53" s="132"/>
      <c r="BQ53" s="132"/>
      <c r="BR53" s="132"/>
      <c r="BS53" s="132"/>
      <c r="BT53" s="132"/>
      <c r="BU53" s="132"/>
      <c r="BV53" s="191"/>
      <c r="BW53" s="191"/>
    </row>
    <row r="54" spans="2:76" ht="15" customHeight="1" x14ac:dyDescent="0.3">
      <c r="I54" s="140">
        <f>C37+(2*C33/3)</f>
        <v>18.840216633151904</v>
      </c>
      <c r="J54" s="162">
        <f>0.5*C39</f>
        <v>182.77495514353691</v>
      </c>
      <c r="R54" s="207">
        <f t="shared" si="10"/>
        <v>24</v>
      </c>
      <c r="S54" s="208">
        <f t="shared" si="11"/>
        <v>98.202343095265235</v>
      </c>
      <c r="AY54" s="132"/>
      <c r="AZ54" s="132"/>
      <c r="BA54" s="132"/>
      <c r="BB54" s="132"/>
      <c r="BC54" s="132"/>
      <c r="BD54" s="132"/>
      <c r="BE54" s="132"/>
      <c r="BF54" s="132"/>
      <c r="BG54" s="132"/>
      <c r="BH54" s="132"/>
      <c r="BI54" s="132"/>
      <c r="BJ54" s="132"/>
      <c r="BK54" s="132"/>
      <c r="BL54" s="132"/>
      <c r="BM54" s="132"/>
      <c r="BN54" s="132"/>
      <c r="BO54" s="132"/>
      <c r="BP54" s="132"/>
      <c r="BQ54" s="132"/>
      <c r="BR54" s="132"/>
      <c r="BS54" s="132"/>
      <c r="BT54" s="132"/>
      <c r="BU54" s="132"/>
      <c r="BV54" s="191"/>
      <c r="BW54" s="191"/>
    </row>
    <row r="55" spans="2:76" ht="15" customHeight="1" thickBot="1" x14ac:dyDescent="0.35">
      <c r="I55" s="141">
        <f>C31</f>
        <v>31.019190012590077</v>
      </c>
      <c r="J55" s="196">
        <v>0</v>
      </c>
      <c r="R55" s="207">
        <f t="shared" si="10"/>
        <v>25</v>
      </c>
      <c r="S55" s="208">
        <f t="shared" si="11"/>
        <v>83.049297853151728</v>
      </c>
      <c r="AY55" s="132"/>
      <c r="AZ55" s="132"/>
      <c r="BA55" s="132"/>
      <c r="BB55" s="132"/>
      <c r="BC55" s="132"/>
      <c r="BD55" s="132"/>
      <c r="BE55" s="132"/>
      <c r="BF55" s="132"/>
      <c r="BG55" s="132"/>
      <c r="BH55" s="132"/>
      <c r="BI55" s="132"/>
      <c r="BJ55" s="132"/>
      <c r="BK55" s="132"/>
      <c r="BL55" s="132"/>
      <c r="BM55" s="132"/>
      <c r="BN55" s="132"/>
      <c r="BO55" s="132"/>
      <c r="BP55" s="132"/>
      <c r="BQ55" s="132"/>
      <c r="BR55" s="132"/>
      <c r="BS55" s="132"/>
      <c r="BT55" s="132"/>
      <c r="BU55" s="132"/>
      <c r="BV55" s="191"/>
      <c r="BW55" s="191"/>
    </row>
    <row r="56" spans="2:76" ht="15" customHeight="1" x14ac:dyDescent="0.3">
      <c r="R56" s="207">
        <f t="shared" si="10"/>
        <v>26</v>
      </c>
      <c r="S56" s="208">
        <f t="shared" si="11"/>
        <v>67.896252611038236</v>
      </c>
      <c r="AY56" s="132"/>
      <c r="AZ56" s="132"/>
      <c r="BA56" s="132"/>
      <c r="BB56" s="132"/>
      <c r="BC56" s="132"/>
      <c r="BD56" s="132"/>
      <c r="BE56" s="132"/>
      <c r="BF56" s="132"/>
      <c r="BG56" s="132"/>
      <c r="BH56" s="132"/>
      <c r="BI56" s="132"/>
      <c r="BJ56" s="132"/>
      <c r="BK56" s="132"/>
      <c r="BL56" s="132"/>
      <c r="BM56" s="132"/>
      <c r="BN56" s="132"/>
      <c r="BO56" s="132"/>
      <c r="BP56" s="132"/>
      <c r="BQ56" s="132"/>
      <c r="BR56" s="132"/>
      <c r="BS56" s="132"/>
      <c r="BT56" s="132"/>
      <c r="BU56" s="132"/>
      <c r="BV56" s="191"/>
      <c r="BW56" s="191"/>
    </row>
    <row r="57" spans="2:76" ht="15" customHeight="1" x14ac:dyDescent="0.3">
      <c r="R57" s="207">
        <f t="shared" si="10"/>
        <v>27</v>
      </c>
      <c r="S57" s="208">
        <f t="shared" si="11"/>
        <v>52.743207368924722</v>
      </c>
      <c r="AY57" s="132"/>
      <c r="AZ57" s="132"/>
      <c r="BA57" s="132"/>
      <c r="BB57" s="132"/>
      <c r="BC57" s="132"/>
      <c r="BD57" s="132"/>
      <c r="BE57" s="132"/>
      <c r="BF57" s="132"/>
      <c r="BG57" s="132"/>
      <c r="BH57" s="132"/>
      <c r="BI57" s="132"/>
      <c r="BJ57" s="132"/>
      <c r="BK57" s="132"/>
      <c r="BL57" s="132"/>
      <c r="BM57" s="132"/>
      <c r="BN57" s="132"/>
      <c r="BO57" s="132"/>
      <c r="BP57" s="132"/>
      <c r="BQ57" s="132"/>
      <c r="BR57" s="132"/>
      <c r="BS57" s="132"/>
      <c r="BT57" s="132"/>
      <c r="BU57" s="132"/>
      <c r="BV57" s="191"/>
      <c r="BW57" s="191"/>
    </row>
    <row r="58" spans="2:76" ht="15" customHeight="1" x14ac:dyDescent="0.3">
      <c r="R58" s="207">
        <f t="shared" si="10"/>
        <v>28</v>
      </c>
      <c r="S58" s="208">
        <f t="shared" si="11"/>
        <v>37.590162126811215</v>
      </c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202"/>
      <c r="BL58" s="202"/>
      <c r="BM58" s="202"/>
      <c r="BN58" s="202"/>
      <c r="BO58" s="202"/>
      <c r="BP58" s="202"/>
      <c r="BQ58" s="202"/>
      <c r="BR58" s="202"/>
      <c r="BS58" s="202"/>
      <c r="BT58" s="202"/>
      <c r="BU58" s="202"/>
    </row>
    <row r="59" spans="2:76" ht="15" customHeight="1" x14ac:dyDescent="0.3">
      <c r="R59" s="207">
        <f t="shared" si="10"/>
        <v>29</v>
      </c>
      <c r="S59" s="208">
        <f t="shared" si="11"/>
        <v>22.437116884697708</v>
      </c>
      <c r="T59" s="169" t="s">
        <v>423</v>
      </c>
      <c r="AD59" s="169" t="s">
        <v>423</v>
      </c>
      <c r="AN59" s="169" t="s">
        <v>423</v>
      </c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202"/>
      <c r="BL59" s="202"/>
      <c r="BM59" s="202"/>
      <c r="BN59" s="202"/>
      <c r="BO59" s="202"/>
      <c r="BP59" s="202"/>
      <c r="BQ59" s="202"/>
      <c r="BR59" s="202"/>
      <c r="BS59" s="202"/>
      <c r="BT59" s="202"/>
      <c r="BU59" s="202"/>
    </row>
    <row r="60" spans="2:76" ht="15" customHeight="1" thickBot="1" x14ac:dyDescent="0.35">
      <c r="R60" s="209">
        <f>BB33</f>
        <v>30</v>
      </c>
      <c r="S60" s="210">
        <f t="shared" si="11"/>
        <v>7.2840716425841983</v>
      </c>
      <c r="X60" s="609" t="s">
        <v>424</v>
      </c>
      <c r="Y60" s="609"/>
      <c r="Z60" s="78">
        <f>MAX(BG3:BG33)</f>
        <v>494.4313826949201</v>
      </c>
      <c r="AA60" s="31" t="s">
        <v>427</v>
      </c>
      <c r="AH60" s="609" t="s">
        <v>424</v>
      </c>
      <c r="AI60" s="609"/>
      <c r="AJ60" s="78">
        <f>MAX(BO3:BO33)</f>
        <v>531.37921771132926</v>
      </c>
      <c r="AK60" s="31" t="s">
        <v>427</v>
      </c>
      <c r="AR60" s="609" t="s">
        <v>424</v>
      </c>
      <c r="AS60" s="609"/>
      <c r="AT60" s="78">
        <f>MAX(BW3:BW33)</f>
        <v>638.9546026226792</v>
      </c>
      <c r="AU60" s="31" t="s">
        <v>427</v>
      </c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202"/>
      <c r="BL60" s="202"/>
      <c r="BM60" s="202"/>
      <c r="BN60" s="202"/>
      <c r="BO60" s="202"/>
      <c r="BP60" s="202"/>
      <c r="BQ60" s="202"/>
      <c r="BR60" s="202"/>
      <c r="BS60" s="202"/>
      <c r="BT60" s="202"/>
      <c r="BU60" s="202"/>
    </row>
    <row r="61" spans="2:76" ht="15" customHeight="1" thickBot="1" x14ac:dyDescent="0.35">
      <c r="I61" s="4"/>
      <c r="V61" s="610" t="s">
        <v>425</v>
      </c>
      <c r="W61" s="610"/>
      <c r="X61" s="610"/>
      <c r="Y61" s="610"/>
      <c r="Z61" s="28">
        <f>VLOOKUP(Z60,BG3:BH33,2,FALSE)</f>
        <v>23</v>
      </c>
      <c r="AA61" s="31" t="s">
        <v>749</v>
      </c>
      <c r="AF61" s="610" t="s">
        <v>425</v>
      </c>
      <c r="AG61" s="610"/>
      <c r="AH61" s="610"/>
      <c r="AI61" s="610"/>
      <c r="AJ61" s="28">
        <f>VLOOKUP(AJ60,BO3:BP33,2,FALSE)</f>
        <v>23</v>
      </c>
      <c r="AK61" s="31" t="s">
        <v>749</v>
      </c>
      <c r="AP61" s="610" t="s">
        <v>425</v>
      </c>
      <c r="AQ61" s="610"/>
      <c r="AR61" s="610"/>
      <c r="AS61" s="610"/>
      <c r="AT61" s="28">
        <f>VLOOKUP(AT60,BW3:BX33,2,FALSE)</f>
        <v>22</v>
      </c>
      <c r="AU61" s="31" t="s">
        <v>749</v>
      </c>
      <c r="AY61" s="202"/>
      <c r="AZ61" s="202"/>
      <c r="BA61" s="202"/>
      <c r="BB61" s="202"/>
      <c r="BC61" s="202"/>
      <c r="BD61" s="202"/>
      <c r="BE61" s="202"/>
      <c r="BF61" s="202"/>
      <c r="BG61" s="202"/>
      <c r="BH61" s="202"/>
      <c r="BI61" s="202"/>
      <c r="BJ61" s="202"/>
      <c r="BK61" s="202"/>
      <c r="BL61" s="202"/>
      <c r="BM61" s="202"/>
      <c r="BN61" s="202"/>
      <c r="BO61" s="202"/>
      <c r="BP61" s="202"/>
      <c r="BQ61" s="202"/>
      <c r="BR61" s="202"/>
      <c r="BS61" s="202"/>
      <c r="BT61" s="202"/>
      <c r="BU61" s="202"/>
    </row>
    <row r="62" spans="2:76" ht="15" customHeight="1" thickBot="1" x14ac:dyDescent="0.35">
      <c r="B62" s="598" t="s">
        <v>356</v>
      </c>
      <c r="C62" s="598"/>
      <c r="D62" s="598"/>
      <c r="E62" s="598"/>
      <c r="F62" s="598"/>
      <c r="G62" s="598"/>
      <c r="H62" s="598"/>
      <c r="I62" s="598"/>
      <c r="J62" s="598"/>
      <c r="K62" s="598" t="s">
        <v>356</v>
      </c>
      <c r="L62" s="598"/>
      <c r="M62" s="598"/>
      <c r="N62" s="598"/>
      <c r="O62" s="598"/>
      <c r="P62" s="598"/>
      <c r="Q62" s="598"/>
      <c r="R62" s="598"/>
      <c r="S62" s="598"/>
      <c r="T62" s="598" t="s">
        <v>356</v>
      </c>
      <c r="U62" s="598"/>
      <c r="V62" s="598"/>
      <c r="W62" s="598"/>
      <c r="X62" s="598"/>
      <c r="Y62" s="598"/>
      <c r="Z62" s="598"/>
      <c r="AA62" s="598"/>
      <c r="AB62" s="598"/>
      <c r="AC62" s="598"/>
      <c r="AD62" s="598" t="s">
        <v>356</v>
      </c>
      <c r="AE62" s="598"/>
      <c r="AF62" s="598"/>
      <c r="AG62" s="598"/>
      <c r="AH62" s="598"/>
      <c r="AI62" s="598"/>
      <c r="AJ62" s="598"/>
      <c r="AK62" s="598"/>
      <c r="AL62" s="598"/>
      <c r="AM62" s="598"/>
      <c r="BB62" s="611" t="s">
        <v>195</v>
      </c>
      <c r="BC62" s="613" t="s">
        <v>394</v>
      </c>
      <c r="BE62" s="203" t="s">
        <v>151</v>
      </c>
      <c r="BF62" s="204">
        <f>BF1</f>
        <v>100</v>
      </c>
      <c r="BG62" s="205"/>
      <c r="BJ62" s="611" t="s">
        <v>195</v>
      </c>
      <c r="BK62" s="613" t="s">
        <v>394</v>
      </c>
      <c r="BM62" s="203" t="s">
        <v>151</v>
      </c>
      <c r="BN62" s="204">
        <f>BN1</f>
        <v>150</v>
      </c>
      <c r="BO62" s="205"/>
      <c r="BR62" s="611" t="s">
        <v>195</v>
      </c>
      <c r="BS62" s="613" t="s">
        <v>394</v>
      </c>
      <c r="BU62" s="203" t="s">
        <v>151</v>
      </c>
      <c r="BV62" s="204">
        <f>BV1</f>
        <v>500</v>
      </c>
      <c r="BW62" s="205"/>
    </row>
    <row r="63" spans="2:76" ht="15" customHeight="1" thickBot="1" x14ac:dyDescent="0.35">
      <c r="BB63" s="612"/>
      <c r="BC63" s="614"/>
      <c r="BE63" s="216" t="s">
        <v>419</v>
      </c>
      <c r="BF63" s="204" t="s">
        <v>397</v>
      </c>
      <c r="BG63" s="204" t="s">
        <v>426</v>
      </c>
      <c r="BJ63" s="612"/>
      <c r="BK63" s="614"/>
      <c r="BM63" s="216" t="s">
        <v>419</v>
      </c>
      <c r="BN63" s="204" t="s">
        <v>397</v>
      </c>
      <c r="BO63" s="204" t="s">
        <v>426</v>
      </c>
      <c r="BR63" s="612"/>
      <c r="BS63" s="614"/>
      <c r="BU63" s="216" t="s">
        <v>419</v>
      </c>
      <c r="BV63" s="204" t="s">
        <v>397</v>
      </c>
      <c r="BW63" s="204" t="s">
        <v>426</v>
      </c>
    </row>
    <row r="64" spans="2:76" ht="15" customHeight="1" x14ac:dyDescent="0.3">
      <c r="B64" s="70" t="s">
        <v>82</v>
      </c>
      <c r="C64" s="31" t="s">
        <v>435</v>
      </c>
      <c r="D64" s="31"/>
      <c r="K64" s="70" t="s">
        <v>82</v>
      </c>
      <c r="L64" s="31" t="s">
        <v>435</v>
      </c>
      <c r="T64" s="70" t="s">
        <v>82</v>
      </c>
      <c r="U64" s="31" t="s">
        <v>435</v>
      </c>
      <c r="AD64" s="70" t="s">
        <v>82</v>
      </c>
      <c r="AE64" s="31" t="s">
        <v>435</v>
      </c>
      <c r="BB64">
        <v>0</v>
      </c>
      <c r="BC64">
        <v>0</v>
      </c>
      <c r="BE64" s="217">
        <f>BE3</f>
        <v>0</v>
      </c>
      <c r="BF64" s="134">
        <v>0</v>
      </c>
      <c r="BG64" s="134">
        <f>BF64+$R$101</f>
        <v>1</v>
      </c>
      <c r="BH64">
        <f>BB64</f>
        <v>0</v>
      </c>
      <c r="BJ64">
        <v>0</v>
      </c>
      <c r="BK64">
        <v>0</v>
      </c>
      <c r="BM64" s="217">
        <f>BM3</f>
        <v>0</v>
      </c>
      <c r="BN64" s="134">
        <v>0</v>
      </c>
      <c r="BO64" s="134">
        <f>BN64+$AB$101</f>
        <v>1</v>
      </c>
      <c r="BP64">
        <f>BJ64</f>
        <v>0</v>
      </c>
      <c r="BR64">
        <v>0</v>
      </c>
      <c r="BS64">
        <v>0</v>
      </c>
      <c r="BU64" s="217">
        <f>BU3</f>
        <v>0</v>
      </c>
      <c r="BV64" s="134">
        <v>0</v>
      </c>
      <c r="BW64" s="134">
        <f>BV64+$R$101</f>
        <v>1</v>
      </c>
      <c r="BX64">
        <f>BR64</f>
        <v>0</v>
      </c>
    </row>
    <row r="65" spans="2:76" ht="15" customHeight="1" x14ac:dyDescent="0.3">
      <c r="D65" s="16"/>
      <c r="E65" s="16"/>
      <c r="F65" s="16"/>
      <c r="BB65">
        <v>1</v>
      </c>
      <c r="BC65" s="3">
        <f>IF(BB65&lt;$E$103,($F$103*(BB65-$E$102)+$F$102*($E$103-BB65))/($E$103-$E$102),IF(BB65&lt;$E$104,($F$104*(BB65-$E$103)+$F$103*($E$104-BB65))/($E$104-$E$103),0))</f>
        <v>0.34080667790351488</v>
      </c>
      <c r="BE65" s="217">
        <f t="shared" ref="BE65:BE88" si="12">BE4</f>
        <v>0</v>
      </c>
      <c r="BF65" s="134">
        <f>BE65*BC65</f>
        <v>0</v>
      </c>
      <c r="BG65" s="134">
        <f t="shared" ref="BG65:BG94" si="13">BF65+$R$101</f>
        <v>1</v>
      </c>
      <c r="BH65">
        <f t="shared" ref="BH65:BH94" si="14">BB65</f>
        <v>1</v>
      </c>
      <c r="BJ65">
        <v>1</v>
      </c>
      <c r="BK65" s="3">
        <f>IF(BJ65&lt;$E$103,($F$103*(BJ65-$E$102)+$F$102*($E$103-BJ65))/($E$103-$E$102),IF(BJ65&lt;$E$104,($F$104*(BJ65-$E$103)+$F$103*($E$104-BJ65))/($E$104-$E$103),0))</f>
        <v>0.34080667790351488</v>
      </c>
      <c r="BM65" s="217">
        <f t="shared" ref="BM65:BM88" si="15">BM4</f>
        <v>0</v>
      </c>
      <c r="BN65" s="134">
        <f>BM65*BK65</f>
        <v>0</v>
      </c>
      <c r="BO65" s="134">
        <f t="shared" ref="BO65:BO94" si="16">BN65+$AB$101</f>
        <v>1</v>
      </c>
      <c r="BP65">
        <f t="shared" ref="BP65:BP94" si="17">BJ65</f>
        <v>1</v>
      </c>
      <c r="BR65">
        <v>1</v>
      </c>
      <c r="BS65" s="3">
        <f>IF(BR65&lt;$E$103,($F$103*(BR65-$E$102)+$F$102*($E$103-BR65))/($E$103-$E$102),IF(BR65&lt;$E$104,($F$104*(BR65-$E$103)+$F$103*($E$104-BR65))/($E$104-$E$103),0))</f>
        <v>0.34080667790351488</v>
      </c>
      <c r="BU65" s="217">
        <f t="shared" ref="BU65:BU88" si="18">BU4</f>
        <v>0</v>
      </c>
      <c r="BV65" s="134">
        <f>BU65*BS65</f>
        <v>0</v>
      </c>
      <c r="BW65" s="134">
        <f t="shared" ref="BW65:BW94" si="19">BV65+$R$101</f>
        <v>1</v>
      </c>
      <c r="BX65">
        <f t="shared" ref="BX65:BX94" si="20">BR65</f>
        <v>1</v>
      </c>
    </row>
    <row r="66" spans="2:76" ht="15" customHeight="1" x14ac:dyDescent="0.3">
      <c r="B66" s="169" t="s">
        <v>414</v>
      </c>
      <c r="D66" s="16"/>
      <c r="E66" s="16"/>
      <c r="F66" s="16"/>
      <c r="BB66">
        <v>2</v>
      </c>
      <c r="BC66" s="3">
        <f t="shared" ref="BC66:BC94" si="21">IF(BB66&lt;$E$103,($F$103*(BB66-$E$102)+$F$102*($E$103-BB66))/($E$103-$E$102),IF(BB66&lt;$E$104,($F$104*(BB66-$E$103)+$F$103*($E$104-BB66))/($E$104-$E$103),0))</f>
        <v>0.68161335580702975</v>
      </c>
      <c r="BE66" s="217">
        <f t="shared" si="12"/>
        <v>0</v>
      </c>
      <c r="BF66" s="134">
        <f>BE65*BC66+BE66*BC65</f>
        <v>0</v>
      </c>
      <c r="BG66" s="134">
        <f t="shared" si="13"/>
        <v>1</v>
      </c>
      <c r="BH66">
        <f t="shared" si="14"/>
        <v>2</v>
      </c>
      <c r="BJ66">
        <v>2</v>
      </c>
      <c r="BK66" s="3">
        <f t="shared" ref="BK66:BK94" si="22">IF(BJ66&lt;$E$103,($F$103*(BJ66-$E$102)+$F$102*($E$103-BJ66))/($E$103-$E$102),IF(BJ66&lt;$E$104,($F$104*(BJ66-$E$103)+$F$103*($E$104-BJ66))/($E$104-$E$103),0))</f>
        <v>0.68161335580702975</v>
      </c>
      <c r="BM66" s="217">
        <f t="shared" si="15"/>
        <v>0</v>
      </c>
      <c r="BN66" s="134">
        <f>BM65*BK66+BM66*BK65</f>
        <v>0</v>
      </c>
      <c r="BO66" s="134">
        <f t="shared" si="16"/>
        <v>1</v>
      </c>
      <c r="BP66">
        <f t="shared" si="17"/>
        <v>2</v>
      </c>
      <c r="BR66">
        <v>2</v>
      </c>
      <c r="BS66" s="3">
        <f t="shared" ref="BS66:BS94" si="23">IF(BR66&lt;$E$103,($F$103*(BR66-$E$102)+$F$102*($E$103-BR66))/($E$103-$E$102),IF(BR66&lt;$E$104,($F$104*(BR66-$E$103)+$F$103*($E$104-BR66))/($E$104-$E$103),0))</f>
        <v>0.68161335580702975</v>
      </c>
      <c r="BU66" s="217">
        <f t="shared" si="18"/>
        <v>0</v>
      </c>
      <c r="BV66" s="134">
        <f>BU65*BS66+BU66*BS65</f>
        <v>0</v>
      </c>
      <c r="BW66" s="134">
        <f t="shared" si="19"/>
        <v>1</v>
      </c>
      <c r="BX66">
        <f t="shared" si="20"/>
        <v>2</v>
      </c>
    </row>
    <row r="67" spans="2:76" ht="15" customHeight="1" x14ac:dyDescent="0.3">
      <c r="B67" s="169"/>
      <c r="D67" s="16"/>
      <c r="E67" s="16"/>
      <c r="F67" s="16"/>
      <c r="BB67">
        <v>3</v>
      </c>
      <c r="BC67" s="3">
        <f t="shared" si="21"/>
        <v>1.0224200337105447</v>
      </c>
      <c r="BE67" s="217">
        <f t="shared" si="12"/>
        <v>0</v>
      </c>
      <c r="BF67" s="134">
        <f>BE65*BC67+BE66*BC66+BE67*BC65</f>
        <v>0</v>
      </c>
      <c r="BG67" s="134">
        <f t="shared" si="13"/>
        <v>1</v>
      </c>
      <c r="BH67">
        <f t="shared" si="14"/>
        <v>3</v>
      </c>
      <c r="BJ67">
        <v>3</v>
      </c>
      <c r="BK67" s="3">
        <f t="shared" si="22"/>
        <v>1.0224200337105447</v>
      </c>
      <c r="BM67" s="217">
        <f t="shared" si="15"/>
        <v>0</v>
      </c>
      <c r="BN67" s="134">
        <f>BM65*BK67+BM66*BK66+BM67*BK65</f>
        <v>0</v>
      </c>
      <c r="BO67" s="134">
        <f t="shared" si="16"/>
        <v>1</v>
      </c>
      <c r="BP67">
        <f t="shared" si="17"/>
        <v>3</v>
      </c>
      <c r="BR67">
        <v>3</v>
      </c>
      <c r="BS67" s="3">
        <f t="shared" si="23"/>
        <v>1.0224200337105447</v>
      </c>
      <c r="BU67" s="217">
        <f t="shared" si="18"/>
        <v>0</v>
      </c>
      <c r="BV67" s="134">
        <f>BU65*BS67+BU66*BS66+BU67*BS65</f>
        <v>0</v>
      </c>
      <c r="BW67" s="134">
        <f t="shared" si="19"/>
        <v>1</v>
      </c>
      <c r="BX67">
        <f t="shared" si="20"/>
        <v>3</v>
      </c>
    </row>
    <row r="68" spans="2:76" ht="15" customHeight="1" x14ac:dyDescent="0.3">
      <c r="B68" s="24" t="s">
        <v>335</v>
      </c>
      <c r="D68" s="16"/>
      <c r="E68" s="16"/>
      <c r="F68" s="16"/>
      <c r="BB68">
        <v>4</v>
      </c>
      <c r="BC68" s="3">
        <f t="shared" si="21"/>
        <v>1.3632267116140595</v>
      </c>
      <c r="BE68" s="217">
        <f t="shared" si="12"/>
        <v>0</v>
      </c>
      <c r="BF68" s="134">
        <f>BE65*BC68+BE66*BC67+BE67*BC66+BE68*BC65</f>
        <v>0</v>
      </c>
      <c r="BG68" s="134">
        <f t="shared" si="13"/>
        <v>1</v>
      </c>
      <c r="BH68">
        <f t="shared" si="14"/>
        <v>4</v>
      </c>
      <c r="BJ68">
        <v>4</v>
      </c>
      <c r="BK68" s="3">
        <f t="shared" si="22"/>
        <v>1.3632267116140595</v>
      </c>
      <c r="BM68" s="217">
        <f t="shared" si="15"/>
        <v>0</v>
      </c>
      <c r="BN68" s="134">
        <f>BM65*BK68+BM66*BK67+BM67*BK66+BM68*BK65</f>
        <v>0</v>
      </c>
      <c r="BO68" s="134">
        <f t="shared" si="16"/>
        <v>1</v>
      </c>
      <c r="BP68">
        <f t="shared" si="17"/>
        <v>4</v>
      </c>
      <c r="BR68">
        <v>4</v>
      </c>
      <c r="BS68" s="3">
        <f t="shared" si="23"/>
        <v>1.3632267116140595</v>
      </c>
      <c r="BU68" s="217">
        <f t="shared" si="18"/>
        <v>0</v>
      </c>
      <c r="BV68" s="134">
        <f>BU65*BS68+BU66*BS67+BU67*BS66+BU68*BS65</f>
        <v>0</v>
      </c>
      <c r="BW68" s="134">
        <f t="shared" si="19"/>
        <v>1</v>
      </c>
      <c r="BX68">
        <f t="shared" si="20"/>
        <v>4</v>
      </c>
    </row>
    <row r="69" spans="2:76" ht="15" customHeight="1" x14ac:dyDescent="0.3">
      <c r="D69" s="16"/>
      <c r="E69" s="16"/>
      <c r="F69" s="16"/>
      <c r="BB69">
        <v>5</v>
      </c>
      <c r="BC69" s="3">
        <f t="shared" si="21"/>
        <v>1.7040333895175743</v>
      </c>
      <c r="BE69" s="217">
        <f t="shared" si="12"/>
        <v>0</v>
      </c>
      <c r="BF69" s="134">
        <f>BE65*BC69+BE66*BC68+BE67*BC67+BE68*BC66+BE69*BC65</f>
        <v>0</v>
      </c>
      <c r="BG69" s="134">
        <f t="shared" si="13"/>
        <v>1</v>
      </c>
      <c r="BH69">
        <f t="shared" si="14"/>
        <v>5</v>
      </c>
      <c r="BJ69">
        <v>5</v>
      </c>
      <c r="BK69" s="3">
        <f t="shared" si="22"/>
        <v>1.7040333895175743</v>
      </c>
      <c r="BM69" s="217">
        <f t="shared" si="15"/>
        <v>0</v>
      </c>
      <c r="BN69" s="134">
        <f>BM65*BK69+BM66*BK68+BM67*BK67+BM68*BK66+BM69*BK65</f>
        <v>0</v>
      </c>
      <c r="BO69" s="134">
        <f t="shared" si="16"/>
        <v>1</v>
      </c>
      <c r="BP69">
        <f t="shared" si="17"/>
        <v>5</v>
      </c>
      <c r="BR69">
        <v>5</v>
      </c>
      <c r="BS69" s="3">
        <f t="shared" si="23"/>
        <v>1.7040333895175743</v>
      </c>
      <c r="BU69" s="217">
        <f t="shared" si="18"/>
        <v>0</v>
      </c>
      <c r="BV69" s="134">
        <f>BU65*BS69+BU66*BS68+BU67*BS67+BU68*BS66+BU69*BS65</f>
        <v>0</v>
      </c>
      <c r="BW69" s="134">
        <f t="shared" si="19"/>
        <v>1</v>
      </c>
      <c r="BX69">
        <f t="shared" si="20"/>
        <v>5</v>
      </c>
    </row>
    <row r="70" spans="2:76" ht="15" customHeight="1" x14ac:dyDescent="0.3">
      <c r="B70" s="23" t="s">
        <v>358</v>
      </c>
      <c r="C70" s="190">
        <f>C9</f>
        <v>2039.3996629999999</v>
      </c>
      <c r="D70" s="169" t="s">
        <v>359</v>
      </c>
      <c r="E70" s="21" t="s">
        <v>360</v>
      </c>
      <c r="BB70">
        <v>6</v>
      </c>
      <c r="BC70" s="3">
        <f t="shared" si="21"/>
        <v>2.0448400674210894</v>
      </c>
      <c r="BE70" s="217">
        <f t="shared" si="12"/>
        <v>0</v>
      </c>
      <c r="BF70" s="134">
        <f>BE65*BC70+BE66*BC69+BE67*BC68+BE68*BC67+BE69*BC66+BE70*BC65</f>
        <v>0</v>
      </c>
      <c r="BG70" s="134">
        <f t="shared" si="13"/>
        <v>1</v>
      </c>
      <c r="BH70">
        <f t="shared" si="14"/>
        <v>6</v>
      </c>
      <c r="BJ70">
        <v>6</v>
      </c>
      <c r="BK70" s="3">
        <f t="shared" si="22"/>
        <v>2.0448400674210894</v>
      </c>
      <c r="BM70" s="217">
        <f t="shared" si="15"/>
        <v>0</v>
      </c>
      <c r="BN70" s="134">
        <f>BM65*BK70+BM66*BK69+BM67*BK68+BM68*BK67+BM69*BK66+BM70*BK65</f>
        <v>0</v>
      </c>
      <c r="BO70" s="134">
        <f t="shared" si="16"/>
        <v>1</v>
      </c>
      <c r="BP70">
        <f t="shared" si="17"/>
        <v>6</v>
      </c>
      <c r="BR70">
        <v>6</v>
      </c>
      <c r="BS70" s="3">
        <f t="shared" si="23"/>
        <v>2.0448400674210894</v>
      </c>
      <c r="BU70" s="217">
        <f t="shared" si="18"/>
        <v>0</v>
      </c>
      <c r="BV70" s="134">
        <f>BU65*BS70+BU66*BS69+BU67*BS68+BU68*BS67+BU69*BS66+BU70*BS65</f>
        <v>0</v>
      </c>
      <c r="BW70" s="134">
        <f t="shared" si="19"/>
        <v>1</v>
      </c>
      <c r="BX70">
        <f t="shared" si="20"/>
        <v>6</v>
      </c>
    </row>
    <row r="71" spans="2:76" ht="15" customHeight="1" x14ac:dyDescent="0.3">
      <c r="B71" s="23" t="s">
        <v>363</v>
      </c>
      <c r="C71" s="189">
        <f>Cuadros!F9</f>
        <v>83.9</v>
      </c>
      <c r="D71" s="21" t="s">
        <v>267</v>
      </c>
      <c r="E71" s="21" t="s">
        <v>439</v>
      </c>
      <c r="F71" s="76"/>
      <c r="BB71">
        <v>7</v>
      </c>
      <c r="BC71" s="3">
        <f t="shared" si="21"/>
        <v>2.3856467453246042</v>
      </c>
      <c r="BE71" s="217">
        <f t="shared" si="12"/>
        <v>0</v>
      </c>
      <c r="BF71" s="134">
        <f>BE65*BC71+BE66*BC70+BE67*BC69+BE68*BC68+BE69*BC67+BE70*BC66+BE71*BC65</f>
        <v>0</v>
      </c>
      <c r="BG71" s="134">
        <f t="shared" si="13"/>
        <v>1</v>
      </c>
      <c r="BH71">
        <f t="shared" si="14"/>
        <v>7</v>
      </c>
      <c r="BJ71">
        <v>7</v>
      </c>
      <c r="BK71" s="3">
        <f t="shared" si="22"/>
        <v>2.3856467453246042</v>
      </c>
      <c r="BM71" s="217">
        <f t="shared" si="15"/>
        <v>0</v>
      </c>
      <c r="BN71" s="134">
        <f>BM65*BK71+BM66*BK70+BM67*BK69+BM68*BK68+BM69*BK67+BM70*BK66+BM71*BK65</f>
        <v>0</v>
      </c>
      <c r="BO71" s="134">
        <f t="shared" si="16"/>
        <v>1</v>
      </c>
      <c r="BP71">
        <f t="shared" si="17"/>
        <v>7</v>
      </c>
      <c r="BR71">
        <v>7</v>
      </c>
      <c r="BS71" s="3">
        <f t="shared" si="23"/>
        <v>2.3856467453246042</v>
      </c>
      <c r="BU71" s="217">
        <f t="shared" si="18"/>
        <v>0</v>
      </c>
      <c r="BV71" s="134">
        <f>BU65*BS71+BU66*BS70+BU67*BS69+BU68*BS68+BU69*BS67+BU70*BS66+BU71*BS65</f>
        <v>0</v>
      </c>
      <c r="BW71" s="134">
        <f t="shared" si="19"/>
        <v>1</v>
      </c>
      <c r="BX71">
        <f t="shared" si="20"/>
        <v>7</v>
      </c>
    </row>
    <row r="72" spans="2:76" ht="15" customHeight="1" x14ac:dyDescent="0.3">
      <c r="B72" s="23" t="s">
        <v>436</v>
      </c>
      <c r="C72" s="213">
        <f>Cuadros!K9</f>
        <v>4.5089392133492251E-2</v>
      </c>
      <c r="D72" s="21" t="s">
        <v>438</v>
      </c>
      <c r="E72" s="21" t="s">
        <v>437</v>
      </c>
      <c r="F72" s="76"/>
      <c r="I72" s="1"/>
      <c r="BB72">
        <v>8</v>
      </c>
      <c r="BC72" s="3">
        <f t="shared" si="21"/>
        <v>2.726453423228119</v>
      </c>
      <c r="BE72" s="217">
        <f t="shared" si="12"/>
        <v>0</v>
      </c>
      <c r="BF72" s="134">
        <f>BE65*BC72+BE66*BC71+BE67*BC70+BE68*BC69+BE69*BC68+BE70*BC67+BE71*BC66+BE72*BC65</f>
        <v>0</v>
      </c>
      <c r="BG72" s="134">
        <f t="shared" si="13"/>
        <v>1</v>
      </c>
      <c r="BH72">
        <f t="shared" si="14"/>
        <v>8</v>
      </c>
      <c r="BJ72">
        <v>8</v>
      </c>
      <c r="BK72" s="3">
        <f t="shared" si="22"/>
        <v>2.726453423228119</v>
      </c>
      <c r="BM72" s="217">
        <f t="shared" si="15"/>
        <v>0</v>
      </c>
      <c r="BN72" s="134">
        <f>BM65*BK72+BM66*BK71+BM67*BK70+BM68*BK69+BM69*BK68+BM70*BK67+BM71*BK66+BM72*BK65</f>
        <v>0</v>
      </c>
      <c r="BO72" s="134">
        <f t="shared" si="16"/>
        <v>1</v>
      </c>
      <c r="BP72">
        <f t="shared" si="17"/>
        <v>8</v>
      </c>
      <c r="BR72">
        <v>8</v>
      </c>
      <c r="BS72" s="3">
        <f t="shared" si="23"/>
        <v>2.726453423228119</v>
      </c>
      <c r="BU72" s="217">
        <f t="shared" si="18"/>
        <v>0</v>
      </c>
      <c r="BV72" s="134">
        <f>BU65*BS72+BU66*BS71+BU67*BS70+BU68*BS69+BU69*BS68+BU70*BS67+BU71*BS66+BU72*BS65</f>
        <v>0</v>
      </c>
      <c r="BW72" s="134">
        <f t="shared" si="19"/>
        <v>1</v>
      </c>
      <c r="BX72">
        <f t="shared" si="20"/>
        <v>8</v>
      </c>
    </row>
    <row r="73" spans="2:76" ht="15" customHeight="1" x14ac:dyDescent="0.3">
      <c r="B73" s="23" t="s">
        <v>440</v>
      </c>
      <c r="C73" s="197">
        <f>Pefect_1!C11</f>
        <v>86</v>
      </c>
      <c r="D73" s="21"/>
      <c r="E73" s="36" t="s">
        <v>339</v>
      </c>
      <c r="F73" s="76"/>
      <c r="I73" s="1"/>
      <c r="BB73">
        <v>9</v>
      </c>
      <c r="BC73" s="3">
        <f t="shared" si="21"/>
        <v>3.0672601011316343</v>
      </c>
      <c r="BE73" s="217">
        <f t="shared" si="12"/>
        <v>0</v>
      </c>
      <c r="BF73" s="134">
        <f>BE65*BC73+BE66*BC72+BE67*BC71+BE68*BC70+BE69*BC69+BE70*BC68+BE71*BC67+BE72*BC66+BE73*BC65</f>
        <v>0</v>
      </c>
      <c r="BG73" s="134">
        <f t="shared" si="13"/>
        <v>1</v>
      </c>
      <c r="BH73">
        <f t="shared" si="14"/>
        <v>9</v>
      </c>
      <c r="BJ73">
        <v>9</v>
      </c>
      <c r="BK73" s="3">
        <f t="shared" si="22"/>
        <v>3.0672601011316343</v>
      </c>
      <c r="BM73" s="217">
        <f t="shared" si="15"/>
        <v>0</v>
      </c>
      <c r="BN73" s="134">
        <f>BM65*BK73+BM66*BK72+BM67*BK71+BM68*BK70+BM69*BK69+BM70*BK68+BM71*BK67+BM72*BK66+BM73*BK65</f>
        <v>0</v>
      </c>
      <c r="BO73" s="134">
        <f t="shared" si="16"/>
        <v>1</v>
      </c>
      <c r="BP73">
        <f t="shared" si="17"/>
        <v>9</v>
      </c>
      <c r="BR73">
        <v>9</v>
      </c>
      <c r="BS73" s="3">
        <f t="shared" si="23"/>
        <v>3.0672601011316343</v>
      </c>
      <c r="BU73" s="217">
        <f t="shared" si="18"/>
        <v>0</v>
      </c>
      <c r="BV73" s="134">
        <f>BU65*BS73+BU66*BS72+BU67*BS71+BU68*BS70+BU69*BS69+BU70*BS68+BU71*BS67+BU72*BS66+BU73*BS65</f>
        <v>0</v>
      </c>
      <c r="BW73" s="134">
        <f t="shared" si="19"/>
        <v>1</v>
      </c>
      <c r="BX73">
        <f t="shared" si="20"/>
        <v>9</v>
      </c>
    </row>
    <row r="74" spans="2:76" ht="15" customHeight="1" x14ac:dyDescent="0.3">
      <c r="B74" s="23" t="s">
        <v>385</v>
      </c>
      <c r="C74" s="190">
        <v>1</v>
      </c>
      <c r="D74" s="21" t="s">
        <v>288</v>
      </c>
      <c r="E74" s="24" t="s">
        <v>441</v>
      </c>
      <c r="F74" s="76"/>
      <c r="I74" s="1"/>
      <c r="BB74">
        <v>10</v>
      </c>
      <c r="BC74" s="3">
        <f t="shared" si="21"/>
        <v>3.4080667790351487</v>
      </c>
      <c r="BE74" s="217">
        <f t="shared" si="12"/>
        <v>0</v>
      </c>
      <c r="BF74" s="134">
        <f>BE65*BC74+BE66*BC73+BE67*BC72+BE68*BC71+BE69*BC70+BE70*BC69+BE71*BC68+BE72*BC67+BE73*BC66+BE74*BC65</f>
        <v>0</v>
      </c>
      <c r="BG74" s="134">
        <f t="shared" si="13"/>
        <v>1</v>
      </c>
      <c r="BH74">
        <f t="shared" si="14"/>
        <v>10</v>
      </c>
      <c r="BJ74">
        <v>10</v>
      </c>
      <c r="BK74" s="3">
        <f t="shared" si="22"/>
        <v>3.4080667790351487</v>
      </c>
      <c r="BM74" s="217">
        <f t="shared" si="15"/>
        <v>1.0556890618287907E-5</v>
      </c>
      <c r="BN74" s="134">
        <f>BM65*BK74+BM66*BK73+BM67*BK72+BM68*BK71+BM69*BK70+BM70*BK69+BM71*BK68+BM72*BK67+BM73*BK66+BM74*BK65</f>
        <v>3.5978588206094847E-6</v>
      </c>
      <c r="BO74" s="134">
        <f t="shared" si="16"/>
        <v>1.0000035978588206</v>
      </c>
      <c r="BP74">
        <f t="shared" si="17"/>
        <v>10</v>
      </c>
      <c r="BR74">
        <v>10</v>
      </c>
      <c r="BS74" s="3">
        <f t="shared" si="23"/>
        <v>3.4080667790351487</v>
      </c>
      <c r="BU74" s="217">
        <f t="shared" si="18"/>
        <v>2.0803357046682014E-3</v>
      </c>
      <c r="BV74" s="134">
        <f>BU65*BS74+BU66*BS73+BU67*BS72+BU68*BS71+BU69*BS70+BU70*BS69+BU71*BS68+BU72*BS67+BU73*BS66+BU74*BS65</f>
        <v>7.0899230043203741E-4</v>
      </c>
      <c r="BW74" s="134">
        <f t="shared" si="19"/>
        <v>1.000708992300432</v>
      </c>
      <c r="BX74">
        <f t="shared" si="20"/>
        <v>10</v>
      </c>
    </row>
    <row r="75" spans="2:76" ht="15" customHeight="1" x14ac:dyDescent="0.3">
      <c r="B75" s="23"/>
      <c r="E75" s="24"/>
      <c r="F75" s="76"/>
      <c r="I75" s="1"/>
      <c r="BB75">
        <v>11</v>
      </c>
      <c r="BC75" s="3">
        <f t="shared" si="21"/>
        <v>3.7488734569386639</v>
      </c>
      <c r="BE75" s="217">
        <f t="shared" si="12"/>
        <v>1.0640411849025444E-2</v>
      </c>
      <c r="BF75" s="134">
        <f>BE65*BC75+BE66*BC74+BE67*BC73+BE68*BC72+BE69*BC71+BE70*BC70+BE71*BC69+BE72*BC68+BE73*BC67+BE74*BC66+BE75*BC65</f>
        <v>3.6263234137915577E-3</v>
      </c>
      <c r="BG75" s="134">
        <f t="shared" si="13"/>
        <v>1.0036263234137917</v>
      </c>
      <c r="BH75">
        <f t="shared" si="14"/>
        <v>11</v>
      </c>
      <c r="BJ75">
        <v>11</v>
      </c>
      <c r="BK75" s="3">
        <f t="shared" si="22"/>
        <v>3.7488734569386639</v>
      </c>
      <c r="BM75" s="217">
        <f t="shared" si="15"/>
        <v>1.4836586612121502E-2</v>
      </c>
      <c r="BN75" s="134">
        <f>BM65*BK75+BM66*BK74+BM67*BK73+BM68*BK72+BM69*BK71+BM70*BK70+BM71*BK69+BM72*BK68+BM73*BK67+BM74*BK66+BM75*BK65</f>
        <v>5.0636035123461124E-3</v>
      </c>
      <c r="BO75" s="134">
        <f t="shared" si="16"/>
        <v>1.0050636035123461</v>
      </c>
      <c r="BP75">
        <f t="shared" si="17"/>
        <v>11</v>
      </c>
      <c r="BR75">
        <v>11</v>
      </c>
      <c r="BS75" s="3">
        <f t="shared" si="23"/>
        <v>3.7488734569386639</v>
      </c>
      <c r="BU75" s="217">
        <f t="shared" si="18"/>
        <v>2.8072633237676069E-2</v>
      </c>
      <c r="BV75" s="134">
        <f>BU65*BS75+BU66*BS74+BU67*BS73+BU68*BS72+BU69*BS71+BU70*BS70+BU71*BS69+BU72*BS68+BU73*BS67+BU74*BS66+BU75*BS65</f>
        <v>1.0985325474600249E-2</v>
      </c>
      <c r="BW75" s="134">
        <f t="shared" si="19"/>
        <v>1.0109853254746002</v>
      </c>
      <c r="BX75">
        <f t="shared" si="20"/>
        <v>11</v>
      </c>
    </row>
    <row r="76" spans="2:76" ht="15" customHeight="1" x14ac:dyDescent="0.3">
      <c r="B76" s="24" t="s">
        <v>340</v>
      </c>
      <c r="F76" s="76"/>
      <c r="I76" s="4"/>
      <c r="BB76">
        <v>12</v>
      </c>
      <c r="BC76" s="3">
        <f t="shared" si="21"/>
        <v>4.0896801348421787</v>
      </c>
      <c r="BE76" s="217">
        <f t="shared" si="12"/>
        <v>0.70403674824291884</v>
      </c>
      <c r="BF76" s="134">
        <f>BE65*BC76+BE66*BC75+BE67*BC74+BE68*BC73+BE69*BC72+BE70*BC71+BE71*BC70+BE72*BC69+BE73*BC68+BE74*BC67+BE75*BC66+BE76*BC65</f>
        <v>0.24719307211824554</v>
      </c>
      <c r="BG76" s="134">
        <f t="shared" si="13"/>
        <v>1.2471930721182456</v>
      </c>
      <c r="BH76">
        <f t="shared" si="14"/>
        <v>12</v>
      </c>
      <c r="BJ76">
        <v>12</v>
      </c>
      <c r="BK76" s="3">
        <f t="shared" si="22"/>
        <v>4.0896801348421787</v>
      </c>
      <c r="BM76" s="217">
        <f t="shared" si="15"/>
        <v>0.7644020376409294</v>
      </c>
      <c r="BN76" s="134">
        <f>BM65*BK76+BM66*BK75+BM67*BK74+BM68*BK73+BM69*BK72+BM70*BK71+BM71*BK70+BM72*BK69+BM73*BK68+BM74*BK67+BM75*BK66+BM76*BK65</f>
        <v>0.27063692819695429</v>
      </c>
      <c r="BO76" s="134">
        <f t="shared" si="16"/>
        <v>1.2706369281969543</v>
      </c>
      <c r="BP76">
        <f t="shared" si="17"/>
        <v>12</v>
      </c>
      <c r="BR76">
        <v>12</v>
      </c>
      <c r="BS76" s="3">
        <f t="shared" si="23"/>
        <v>4.0896801348421787</v>
      </c>
      <c r="BU76" s="217">
        <f t="shared" si="18"/>
        <v>0.93996353603841065</v>
      </c>
      <c r="BV76" s="134">
        <f>BU65*BS76+BU66*BS75+BU67*BS74+BU68*BS73+BU69*BS72+BU70*BS71+BU71*BS70+BU72*BS69+BU73*BS68+BU74*BS67+BU75*BS66+BU76*BS65</f>
        <v>0.34160750871645995</v>
      </c>
      <c r="BW76" s="134">
        <f t="shared" si="19"/>
        <v>1.3416075087164598</v>
      </c>
      <c r="BX76">
        <f t="shared" si="20"/>
        <v>12</v>
      </c>
    </row>
    <row r="77" spans="2:76" ht="15" customHeight="1" x14ac:dyDescent="0.3">
      <c r="B77" s="24"/>
      <c r="F77" s="76"/>
      <c r="I77" s="4"/>
      <c r="BB77">
        <v>13</v>
      </c>
      <c r="BC77" s="3">
        <f t="shared" si="21"/>
        <v>4.4304868127456931</v>
      </c>
      <c r="BE77" s="217">
        <f t="shared" si="12"/>
        <v>0.2868683919718672</v>
      </c>
      <c r="BF77" s="134">
        <f>BE65*BC77+BE66*BC76+BE67*BC75+BE68*BC74+BE69*BC73+BE70*BC72+BE71*BC71+BE72*BC70+BE73*BC69+BE74*BC68+BE75*BC67+BE76*BC66+BE77*BC65</f>
        <v>0.58852648448615497</v>
      </c>
      <c r="BG77" s="134">
        <f t="shared" si="13"/>
        <v>1.5885264844861551</v>
      </c>
      <c r="BH77">
        <f t="shared" si="14"/>
        <v>13</v>
      </c>
      <c r="BJ77">
        <v>13</v>
      </c>
      <c r="BK77" s="3">
        <f t="shared" si="22"/>
        <v>4.4304868127456931</v>
      </c>
      <c r="BM77" s="217">
        <f t="shared" si="15"/>
        <v>0.30541343688942052</v>
      </c>
      <c r="BN77" s="134">
        <f>BM65*BK77+BM66*BK76+BM67*BK75+BM68*BK74+BM69*BK73+BM70*BK72+BM71*BK71+BM72*BK70+BM73*BK69+BM74*BK68+BM75*BK67+BM76*BK66+BM77*BK65</f>
        <v>0.64029719169494059</v>
      </c>
      <c r="BO77" s="134">
        <f t="shared" si="16"/>
        <v>1.6402971916949407</v>
      </c>
      <c r="BP77">
        <f t="shared" si="17"/>
        <v>13</v>
      </c>
      <c r="BR77">
        <v>13</v>
      </c>
      <c r="BS77" s="3">
        <f t="shared" si="23"/>
        <v>4.4304868127456931</v>
      </c>
      <c r="BU77" s="217">
        <f t="shared" si="18"/>
        <v>0.35836071250982043</v>
      </c>
      <c r="BV77" s="134">
        <f>BU65*BS77+BU66*BS76+BU67*BS75+BU68*BS74+BU69*BS73+BU70*BS72+BU71*BS71+BU72*BS70+BU73*BS69+BU74*BS68+BU75*BS67+BU76*BS66+BU77*BS65</f>
        <v>0.79436141587992815</v>
      </c>
      <c r="BW77" s="134">
        <f t="shared" si="19"/>
        <v>1.7943614158799281</v>
      </c>
      <c r="BX77">
        <f t="shared" si="20"/>
        <v>13</v>
      </c>
    </row>
    <row r="78" spans="2:76" ht="15" customHeight="1" x14ac:dyDescent="0.3">
      <c r="B78" s="36" t="s">
        <v>442</v>
      </c>
      <c r="F78" s="76"/>
      <c r="I78" s="4"/>
      <c r="BB78">
        <v>14</v>
      </c>
      <c r="BC78" s="3">
        <f t="shared" si="21"/>
        <v>4.7712934906492084</v>
      </c>
      <c r="BE78" s="217">
        <f t="shared" si="12"/>
        <v>0.13500289190394188</v>
      </c>
      <c r="BF78" s="134">
        <f>BE65*BC78+BE66*BC77+BE67*BC76+BE68*BC75+BE69*BC74+BE70*BC73+BE71*BC72+BE72*BC71+BE73*BC70+BE74*BC69+BE75*BC68+BE76*BC67+BE77*BC66+BE78*BC65</f>
        <v>0.97586978395121404</v>
      </c>
      <c r="BG78" s="134">
        <f t="shared" si="13"/>
        <v>1.975869783951214</v>
      </c>
      <c r="BH78">
        <f t="shared" si="14"/>
        <v>14</v>
      </c>
      <c r="BJ78">
        <v>14</v>
      </c>
      <c r="BK78" s="3">
        <f t="shared" si="22"/>
        <v>4.7712934906492084</v>
      </c>
      <c r="BM78" s="217">
        <f t="shared" si="15"/>
        <v>0.14332945712027403</v>
      </c>
      <c r="BN78" s="134">
        <f>BM65*BK78+BM66*BK77+BM67*BK76+BM68*BK75+BM69*BK74+BM70*BK73+BM71*BK72+BM72*BK71+BM73*BK70+BM74*BK69+BM75*BK68+BM76*BK67+BM77*BK66+BM78*BK65</f>
        <v>1.0588050913198019</v>
      </c>
      <c r="BO78" s="134">
        <f t="shared" si="16"/>
        <v>2.0588050913198019</v>
      </c>
      <c r="BP78">
        <f t="shared" si="17"/>
        <v>14</v>
      </c>
      <c r="BR78">
        <v>14</v>
      </c>
      <c r="BS78" s="3">
        <f t="shared" si="23"/>
        <v>4.7712934906492084</v>
      </c>
      <c r="BU78" s="217">
        <f t="shared" si="18"/>
        <v>0.16703338287067418</v>
      </c>
      <c r="BV78" s="134">
        <f>BU65*BS78+BU66*BS77+BU67*BS76+BU68*BS75+BU69*BS74+BU70*BS73+BU71*BS72+BU72*BS71+BU73*BS70+BU74*BS69+BU75*BS68+BU76*BS67+BU77*BS66+BU78*BS65</f>
        <v>1.3040414153585365</v>
      </c>
      <c r="BW78" s="134">
        <f t="shared" si="19"/>
        <v>2.3040414153585367</v>
      </c>
      <c r="BX78">
        <f t="shared" si="20"/>
        <v>14</v>
      </c>
    </row>
    <row r="79" spans="2:76" ht="15" customHeight="1" x14ac:dyDescent="0.3">
      <c r="B79" s="36"/>
      <c r="F79" s="76"/>
      <c r="I79" s="4"/>
      <c r="BB79">
        <v>15</v>
      </c>
      <c r="BC79" s="3">
        <f t="shared" si="21"/>
        <v>5.1121001685527236</v>
      </c>
      <c r="BE79" s="217">
        <f t="shared" si="12"/>
        <v>8.6754998585891127E-2</v>
      </c>
      <c r="BF79" s="134">
        <f>BE65*BC79+BE66*BC78+BE67*BC77+BE68*BC76+BE69*BC75+BE70*BC74+BE71*BC73+BE72*BC72+BE73*BC71+BE74*BC70+BE75*BC69+BE76*BC68+BE77*BC67+BE78*BC66+BE79*BC65</f>
        <v>1.3927797662758548</v>
      </c>
      <c r="BG79" s="134">
        <f t="shared" si="13"/>
        <v>2.3927797662758548</v>
      </c>
      <c r="BH79">
        <f t="shared" si="14"/>
        <v>15</v>
      </c>
      <c r="BJ79">
        <v>15</v>
      </c>
      <c r="BK79" s="3">
        <f t="shared" si="22"/>
        <v>5.1121001685527236</v>
      </c>
      <c r="BM79" s="217">
        <f t="shared" si="15"/>
        <v>9.1997271131165445E-2</v>
      </c>
      <c r="BN79" s="134">
        <f>BM65*BK79+BM66*BK78+BM67*BK77+BM68*BK76+BM69*BK75+BM70*BK74+BM71*BK73+BM72*BK72+BM73*BK71+BM74*BK70+BM75*BK69+BM76*BK68+BM77*BK67+BM78*BK66+BM79*BK65</f>
        <v>1.5086662752950646</v>
      </c>
      <c r="BO79" s="134">
        <f t="shared" si="16"/>
        <v>2.5086662752950648</v>
      </c>
      <c r="BP79">
        <f t="shared" si="17"/>
        <v>15</v>
      </c>
      <c r="BR79">
        <v>15</v>
      </c>
      <c r="BS79" s="3">
        <f t="shared" si="23"/>
        <v>5.1121001685527236</v>
      </c>
      <c r="BU79" s="217">
        <f t="shared" si="18"/>
        <v>0.10690277325174832</v>
      </c>
      <c r="BV79" s="134">
        <f>BU65*BS79+BU66*BS78+BU67*BS77+BU68*BS76+BU69*BS75+BU70*BS74+BU71*BS73+BU72*BS72+BU73*BS71+BU74*BS70+BU75*BS69+BU76*BS68+BU77*BS67+BU78*BS66+BU79*BS65</f>
        <v>1.8501545938477464</v>
      </c>
      <c r="BW79" s="134">
        <f t="shared" si="19"/>
        <v>2.8501545938477464</v>
      </c>
      <c r="BX79">
        <f t="shared" si="20"/>
        <v>15</v>
      </c>
    </row>
    <row r="80" spans="2:76" ht="15" customHeight="1" x14ac:dyDescent="0.3">
      <c r="B80" s="23" t="s">
        <v>443</v>
      </c>
      <c r="C80" s="190">
        <f>(34.664*((C71)^0.8)*((1000/C73)-9)^0.7)/((C72)^0.5)/60</f>
        <v>185.10868499187944</v>
      </c>
      <c r="D80" s="21" t="s">
        <v>288</v>
      </c>
      <c r="E80" s="36" t="s">
        <v>444</v>
      </c>
      <c r="F80" s="21"/>
      <c r="I80" s="4"/>
      <c r="BB80">
        <v>16</v>
      </c>
      <c r="BC80" s="3">
        <f t="shared" si="21"/>
        <v>5.452906846456238</v>
      </c>
      <c r="BE80" s="217">
        <f t="shared" si="12"/>
        <v>8.8462863425604971E-2</v>
      </c>
      <c r="BF80" s="134">
        <f>BE65*BC80+BE66*BC79+BE67*BC78+BE68*BC77+BE69*BC76+BE70*BC75+BE71*BC74+BE72*BC73+BE73*BC72+BE74*BC71+BE75*BC70+BE76*BC69+BE77*BC68+BE78*BC67+BE79*BC66+BE80*BC65</f>
        <v>1.8398384832024082</v>
      </c>
      <c r="BG80" s="134">
        <f t="shared" si="13"/>
        <v>2.8398384832024082</v>
      </c>
      <c r="BH80">
        <f t="shared" si="14"/>
        <v>16</v>
      </c>
      <c r="BJ80">
        <v>16</v>
      </c>
      <c r="BK80" s="3">
        <f t="shared" si="22"/>
        <v>5.452906846456238</v>
      </c>
      <c r="BM80" s="217">
        <f t="shared" si="15"/>
        <v>9.3730408234146981E-2</v>
      </c>
      <c r="BN80" s="134">
        <f>BM65*BK80+BM66*BK79+BM67*BK78+BM68*BK77+BM69*BK76+BM70*BK75+BM71*BK74+BM72*BK73+BM73*BK72+BM74*BK71+BM75*BK70+BM76*BK69+BM77*BK68+BM78*BK67+BM79*BK66+BM80*BK65</f>
        <v>1.990471408319147</v>
      </c>
      <c r="BO80" s="134">
        <f t="shared" si="16"/>
        <v>2.9904714083191468</v>
      </c>
      <c r="BP80">
        <f t="shared" si="17"/>
        <v>16</v>
      </c>
      <c r="BR80">
        <v>16</v>
      </c>
      <c r="BS80" s="3">
        <f t="shared" si="23"/>
        <v>5.452906846456238</v>
      </c>
      <c r="BU80" s="217">
        <f t="shared" si="18"/>
        <v>0.1086950653244088</v>
      </c>
      <c r="BV80" s="134">
        <f>BU65*BS80+BU66*BS79+BU67*BS78+BU68*BS77+BU69*BS76+BU70*BS75+BU71*BS74+BU72*BS73+BU73*BS72+BU74*BS71+BU75*BS70+BU76*BS69+BU77*BS68+BU78*BS67+BU79*BS66+BU80*BS65</f>
        <v>2.4333117764546732</v>
      </c>
      <c r="BW80" s="134">
        <f t="shared" si="19"/>
        <v>3.4333117764546732</v>
      </c>
      <c r="BX80">
        <f t="shared" si="20"/>
        <v>16</v>
      </c>
    </row>
    <row r="81" spans="2:76" ht="15" customHeight="1" x14ac:dyDescent="0.3">
      <c r="B81" s="23" t="s">
        <v>443</v>
      </c>
      <c r="C81" s="192">
        <f>C80*60</f>
        <v>11106.521099512767</v>
      </c>
      <c r="D81" s="21" t="s">
        <v>382</v>
      </c>
      <c r="E81" s="23"/>
      <c r="F81" s="21"/>
      <c r="G81" s="193"/>
      <c r="I81" s="4"/>
      <c r="BB81">
        <v>17</v>
      </c>
      <c r="BC81" s="3">
        <f t="shared" si="21"/>
        <v>5.7937135243597533</v>
      </c>
      <c r="BE81" s="217">
        <f t="shared" si="12"/>
        <v>5.3858597321222848E-2</v>
      </c>
      <c r="BF81" s="134">
        <f>BE65*BC81+BE66*BC80+BE67*BC79+BE68*BC78+BE69*BC77+BE70*BC76+BE71*BC75+BE72*BC74+BE73*BC73+BE74*BC72+BE75*BC71+BE76*BC70+BE77*BC69+BE78*BC68+BE79*BC67+BE80*BC66+BE81*BC65</f>
        <v>2.3052525697585518</v>
      </c>
      <c r="BG81" s="134">
        <f t="shared" si="13"/>
        <v>3.3052525697585518</v>
      </c>
      <c r="BH81">
        <f t="shared" si="14"/>
        <v>17</v>
      </c>
      <c r="BJ81">
        <v>17</v>
      </c>
      <c r="BK81" s="3">
        <f t="shared" si="22"/>
        <v>5.7937135243597533</v>
      </c>
      <c r="BM81" s="217">
        <f t="shared" si="15"/>
        <v>5.7030003267075816E-2</v>
      </c>
      <c r="BN81" s="134">
        <f>BM65*BK81+BM66*BK80+BM67*BK79+BM68*BK78+BM69*BK77+BM70*BK76+BM71*BK75+BM72*BK74+BM73*BK73+BM74*BK72+BM75*BK71+BM76*BK70+BM77*BK69+BM78*BK68+BM79*BK67+BM80*BK66+BM81*BK65</f>
        <v>2.4917127472975089</v>
      </c>
      <c r="BO81" s="134">
        <f t="shared" si="16"/>
        <v>3.4917127472975089</v>
      </c>
      <c r="BP81">
        <f t="shared" si="17"/>
        <v>17</v>
      </c>
      <c r="BR81">
        <v>17</v>
      </c>
      <c r="BS81" s="3">
        <f t="shared" si="23"/>
        <v>5.7937135243597533</v>
      </c>
      <c r="BU81" s="217">
        <f t="shared" si="18"/>
        <v>6.6033997955396023E-2</v>
      </c>
      <c r="BV81" s="134">
        <f>BU65*BS81+BU66*BS80+BU67*BS79+BU68*BS78+BU69*BS77+BU70*BS76+BU71*BS75+BU72*BS74+BU73*BS73+BU74*BS72+BU75*BS71+BU76*BS70+BU77*BS69+BU78*BS68+BU79*BS67+BU80*BS66+BU81*BS65</f>
        <v>3.0389737865334663</v>
      </c>
      <c r="BW81" s="134">
        <f t="shared" si="19"/>
        <v>4.0389737865334663</v>
      </c>
      <c r="BX81">
        <f t="shared" si="20"/>
        <v>17</v>
      </c>
    </row>
    <row r="82" spans="2:76" ht="15" customHeight="1" x14ac:dyDescent="0.3">
      <c r="B82" s="23"/>
      <c r="C82" s="192"/>
      <c r="D82" s="21"/>
      <c r="E82" s="36"/>
      <c r="F82" s="21"/>
      <c r="G82" s="193"/>
      <c r="I82" s="4"/>
      <c r="BB82">
        <v>18</v>
      </c>
      <c r="BC82" s="3">
        <f t="shared" si="21"/>
        <v>6.1345202022632686</v>
      </c>
      <c r="BE82" s="217">
        <f t="shared" si="12"/>
        <v>5.4420998698000746E-2</v>
      </c>
      <c r="BF82" s="134">
        <f>BE65*BC82+BE66*BC81+BE67*BC80+BE68*BC79+BE69*BC78+BE70*BC77+BE71*BC76+BE72*BC75+BE73*BC74+BE74*BC73+BE75*BC72+BE76*BC71+BE77*BC70+BE78*BC69+BE79*BC68+BE80*BC67+BE81*BC66+BE82*BC65</f>
        <v>2.7892136960891514</v>
      </c>
      <c r="BG82" s="134">
        <f t="shared" si="13"/>
        <v>3.7892136960891514</v>
      </c>
      <c r="BH82">
        <f t="shared" si="14"/>
        <v>18</v>
      </c>
      <c r="BJ82">
        <v>18</v>
      </c>
      <c r="BK82" s="3">
        <f t="shared" si="22"/>
        <v>6.1345202022632686</v>
      </c>
      <c r="BM82" s="217">
        <f t="shared" si="15"/>
        <v>5.7599840450120253E-2</v>
      </c>
      <c r="BN82" s="134">
        <f>BM65*BK82+BM66*BK81+BM67*BK80+BM68*BK79+BM69*BK78+BM70*BK77+BM71*BK76+BM72*BK75+BM73*BK74+BM74*BK73+BM75*BK72+BM76*BK71+BM77*BK70+BM78*BK69+BM79*BK68+BM80*BK67+BM81*BK66+BM82*BK65</f>
        <v>3.0125844965474475</v>
      </c>
      <c r="BO82" s="134">
        <f t="shared" si="16"/>
        <v>4.0125844965474471</v>
      </c>
      <c r="BP82">
        <f t="shared" si="17"/>
        <v>18</v>
      </c>
      <c r="BR82">
        <v>18</v>
      </c>
      <c r="BS82" s="3">
        <f t="shared" si="23"/>
        <v>6.1345202022632686</v>
      </c>
      <c r="BU82" s="217">
        <f t="shared" si="18"/>
        <v>6.6620897753851341E-2</v>
      </c>
      <c r="BV82" s="134">
        <f>BU65*BS82+BU66*BS81+BU67*BS80+BU68*BS79+BU69*BS78+BU70*BS77+BU71*BS76+BU72*BS75+BU73*BS74+BU74*BS73+BU75*BS72+BU76*BS71+BU77*BS70+BU78*BS69+BU79*BS68+BU80*BS67+BU81*BS66+BU82*BS65</f>
        <v>3.6673406434546987</v>
      </c>
      <c r="BW82" s="134">
        <f t="shared" si="19"/>
        <v>4.6673406434546987</v>
      </c>
      <c r="BX82">
        <f t="shared" si="20"/>
        <v>18</v>
      </c>
    </row>
    <row r="83" spans="2:76" ht="15" customHeight="1" x14ac:dyDescent="0.3">
      <c r="B83" s="23" t="s">
        <v>378</v>
      </c>
      <c r="C83" s="190">
        <f>0.6*C80</f>
        <v>111.06521099512766</v>
      </c>
      <c r="D83" s="21" t="s">
        <v>288</v>
      </c>
      <c r="E83" s="36" t="s">
        <v>379</v>
      </c>
      <c r="F83" s="21"/>
      <c r="G83" s="193"/>
      <c r="I83" s="4"/>
      <c r="BB83">
        <v>19</v>
      </c>
      <c r="BC83" s="3">
        <f t="shared" si="21"/>
        <v>6.4753268801667829</v>
      </c>
      <c r="BE83" s="217">
        <f t="shared" si="12"/>
        <v>5.4965322243167594E-2</v>
      </c>
      <c r="BF83" s="134">
        <f>BE65*BC83+BE66*BC82+BE67*BC81+BE68*BC80+BE69*BC79+BE70*BC78+BE71*BC77+BE72*BC76+BE73*BC75+BE74*BC74+BE75*BC73+BE76*BC72+BE77*BC71+BE78*BC70+BE79*BC69+BE80*BC68+BE81*BC67+BE82*BC66+BE83*BC65</f>
        <v>3.2919073712933411</v>
      </c>
      <c r="BG83" s="134">
        <f t="shared" si="13"/>
        <v>4.2919073712933411</v>
      </c>
      <c r="BH83">
        <f t="shared" si="14"/>
        <v>19</v>
      </c>
      <c r="BJ83">
        <v>19</v>
      </c>
      <c r="BK83" s="3">
        <f t="shared" si="22"/>
        <v>6.4753268801667829</v>
      </c>
      <c r="BM83" s="217">
        <f t="shared" si="15"/>
        <v>5.8151053892117943E-2</v>
      </c>
      <c r="BN83" s="134">
        <f>BM65*BK83+BM66*BK82+BM67*BK81+BM68*BK80+BM69*BK79+BM70*BK78+BM71*BK77+BM72*BK76+BM73*BK75+BM74*BK74+BM75*BK73+BM76*BK72+BM77*BK71+BM78*BK70+BM79*BK69+BM80*BK68+BM81*BK67+BM82*BK66+BM83*BK65</f>
        <v>3.5532745132909485</v>
      </c>
      <c r="BO83" s="134">
        <f t="shared" si="16"/>
        <v>4.5532745132909485</v>
      </c>
      <c r="BP83">
        <f t="shared" si="17"/>
        <v>19</v>
      </c>
      <c r="BR83">
        <v>19</v>
      </c>
      <c r="BS83" s="3">
        <f t="shared" si="23"/>
        <v>6.4753268801667829</v>
      </c>
      <c r="BU83" s="217">
        <f t="shared" si="18"/>
        <v>6.7187792773552954E-2</v>
      </c>
      <c r="BV83" s="134">
        <f>BU65*BS83+BU66*BS82+BU67*BS81+BU68*BS80+BU69*BS79+BU70*BS78+BU71*BS77+BU72*BS76+BU73*BS75+BU74*BS74+BU75*BS73+BU76*BS72+BU77*BS71+BU78*BS70+BU79*BS69+BU80*BS68+BU81*BS67+BU82*BS66+BU83*BS65</f>
        <v>4.3186055488267563</v>
      </c>
      <c r="BW83" s="134">
        <f t="shared" si="19"/>
        <v>5.3186055488267563</v>
      </c>
      <c r="BX83">
        <f t="shared" si="20"/>
        <v>19</v>
      </c>
    </row>
    <row r="84" spans="2:76" ht="15" customHeight="1" x14ac:dyDescent="0.3">
      <c r="B84" s="23" t="s">
        <v>378</v>
      </c>
      <c r="C84" s="192">
        <f>C83*60</f>
        <v>6663.9126597076593</v>
      </c>
      <c r="D84" s="21" t="s">
        <v>382</v>
      </c>
      <c r="E84" s="23" t="s">
        <v>343</v>
      </c>
      <c r="F84" s="21"/>
      <c r="G84" s="193"/>
      <c r="I84" s="4"/>
      <c r="BB84">
        <v>20</v>
      </c>
      <c r="BC84" s="3">
        <f t="shared" si="21"/>
        <v>6.8161335580702973</v>
      </c>
      <c r="BE84" s="217">
        <f t="shared" si="12"/>
        <v>5.5492334534927322E-2</v>
      </c>
      <c r="BF84" s="134">
        <f>BE65*BC84+BE66*BC83+BE67*BC82+BE68*BC81+BE69*BC80+BE70*BC79+BE71*BC78+BE72*BC77+BE73*BC76+BE74*BC75+BE75*BC74+BE76*BC73+BE77*BC72+BE78*BC71+BE79*BC70+BE80*BC69+BE81*BC68+BE82*BC67+BE83*BC66+BE84*BC65</f>
        <v>3.8135132046794897</v>
      </c>
      <c r="BG84" s="134">
        <f t="shared" si="13"/>
        <v>4.8135132046794897</v>
      </c>
      <c r="BH84">
        <f t="shared" si="14"/>
        <v>20</v>
      </c>
      <c r="BJ84">
        <v>20</v>
      </c>
      <c r="BK84" s="3">
        <f t="shared" si="22"/>
        <v>6.8161335580702973</v>
      </c>
      <c r="BM84" s="217">
        <f t="shared" si="15"/>
        <v>5.8684446409218084E-2</v>
      </c>
      <c r="BN84" s="134">
        <f>BM65*BK84+BM66*BK83+BM67*BK82+BM68*BK81+BM69*BK80+BM70*BK79+BM71*BK78+BM72*BK77+BM73*BK76+BM74*BK75+BM75*BK74+BM76*BK73+BM77*BK72+BM78*BK71+BM79*BK70+BM80*BK69+BM81*BK68+BM82*BK67+BM83*BK66+BM84*BK65</f>
        <v>4.1139645812597818</v>
      </c>
      <c r="BO84" s="134">
        <f t="shared" si="16"/>
        <v>5.1139645812597818</v>
      </c>
      <c r="BP84">
        <f t="shared" si="17"/>
        <v>20</v>
      </c>
      <c r="BR84">
        <v>20</v>
      </c>
      <c r="BS84" s="3">
        <f t="shared" si="23"/>
        <v>6.8161335580702973</v>
      </c>
      <c r="BU84" s="217">
        <f t="shared" si="18"/>
        <v>6.7735581964880609E-2</v>
      </c>
      <c r="BV84" s="134">
        <f>BU65*BS84+BU66*BS83+BU67*BS82+BU68*BS81+BU69*BS80+BU70*BS79+BU71*BS78+BU72*BS77+BU73*BS76+BU74*BS75+BU75*BS74+BU76*BS73+BU77*BS72+BU78*BS71+BU79*BS70+BU80*BS69+BU81*BS68+BU82*BS67+BU83*BS66+BU84*BS65</f>
        <v>4.992955192864124</v>
      </c>
      <c r="BW84" s="134">
        <f t="shared" si="19"/>
        <v>5.992955192864124</v>
      </c>
      <c r="BX84">
        <f t="shared" si="20"/>
        <v>20</v>
      </c>
    </row>
    <row r="85" spans="2:76" ht="15" customHeight="1" x14ac:dyDescent="0.3">
      <c r="B85" s="23"/>
      <c r="C85" s="192"/>
      <c r="D85" s="21"/>
      <c r="E85" s="36"/>
      <c r="F85" s="21"/>
      <c r="G85" s="193"/>
      <c r="I85" s="4"/>
      <c r="BB85">
        <v>21</v>
      </c>
      <c r="BC85" s="3">
        <f t="shared" si="21"/>
        <v>7.1569402359738126</v>
      </c>
      <c r="BE85" s="217">
        <f t="shared" si="12"/>
        <v>3.7279455493341017E-2</v>
      </c>
      <c r="BF85" s="134">
        <f>BE65*BC85+BE66*BC84+BE67*BC83+BE68*BC82+BE69*BC81+BE70*BC80+BE71*BC79+BE72*BC78+BE73*BC77+BE74*BC76+BE75*BC75+BE76*BC74+BE77*BC73+BE78*BC72+BE79*BC71+BE80*BC70+BE81*BC69+BE82*BC68+BE83*BC67+BE84*BC66+BE85*BC65</f>
        <v>4.347824125446377</v>
      </c>
      <c r="BG85" s="134">
        <f t="shared" si="13"/>
        <v>5.347824125446377</v>
      </c>
      <c r="BH85">
        <f t="shared" si="14"/>
        <v>21</v>
      </c>
      <c r="BJ85">
        <v>21</v>
      </c>
      <c r="BK85" s="3">
        <f t="shared" si="22"/>
        <v>7.1569402359738126</v>
      </c>
      <c r="BM85" s="217">
        <f t="shared" si="15"/>
        <v>3.9410838260601364E-2</v>
      </c>
      <c r="BN85" s="134">
        <f>BM65*BK85+BM66*BK84+BM67*BK83+BM68*BK82+BM69*BK81+BM70*BK80+BM71*BK79+BM72*BK78+BM73*BK77+BM74*BK76+BM75*BK75+BM76*BK74+BM77*BK73+BM78*BK72+BM79*BK71+BM80*BK70+BM81*BK69+BM82*BK68+BM83*BK67+BM84*BK66+BM85*BK65</f>
        <v>4.6880861260896021</v>
      </c>
      <c r="BO85" s="134">
        <f t="shared" si="16"/>
        <v>5.6880861260896021</v>
      </c>
      <c r="BP85">
        <f t="shared" si="17"/>
        <v>21</v>
      </c>
      <c r="BR85">
        <v>21</v>
      </c>
      <c r="BS85" s="3">
        <f t="shared" si="23"/>
        <v>7.1569402359738126</v>
      </c>
      <c r="BU85" s="217">
        <f t="shared" si="18"/>
        <v>4.5452332751725069E-2</v>
      </c>
      <c r="BV85" s="134">
        <f>BU65*BS85+BU66*BS84+BU67*BS83+BU68*BS82+BU69*BS81+BU70*BS80+BU71*BS79+BU72*BS78+BU73*BS77+BU74*BS76+BU75*BS75+BU76*BS74+BU77*BS73+BU78*BS72+BU79*BS71+BU80*BS70+BU81*BS69+BU82*BS68+BU83*BS67+BU84*BS66+BU85*BS65</f>
        <v>5.6827952954295746</v>
      </c>
      <c r="BW85" s="134">
        <f t="shared" si="19"/>
        <v>6.6827952954295746</v>
      </c>
      <c r="BX85">
        <f t="shared" si="20"/>
        <v>21</v>
      </c>
    </row>
    <row r="86" spans="2:76" ht="15" customHeight="1" x14ac:dyDescent="0.3">
      <c r="B86" s="36" t="s">
        <v>445</v>
      </c>
      <c r="F86" s="21"/>
      <c r="I86" s="4"/>
      <c r="BB86">
        <v>22</v>
      </c>
      <c r="BC86" s="3">
        <f t="shared" si="21"/>
        <v>7.4977469138773278</v>
      </c>
      <c r="BE86" s="217">
        <f t="shared" si="12"/>
        <v>3.7501555439440538E-2</v>
      </c>
      <c r="BF86" s="134">
        <f>BE65*BC86+BE66*BC85+BE67*BC84+BE68*BC83+BE69*BC82+BE70*BC81+BE71*BC80+BE72*BC79+BE73*BC78+BE74*BC77+BE75*BC76+BE76*BC75+BE77*BC74+BE78*BC73+BE79*BC72+BE80*BC71+BE81*BC70+BE82*BC69+BE83*BC68+BE84*BC67+BE85*BC66+BE86*BC65</f>
        <v>4.8949158267387922</v>
      </c>
      <c r="BG86" s="134">
        <f t="shared" si="13"/>
        <v>5.8949158267387922</v>
      </c>
      <c r="BH86">
        <f t="shared" si="14"/>
        <v>22</v>
      </c>
      <c r="BJ86">
        <v>22</v>
      </c>
      <c r="BK86" s="3">
        <f t="shared" si="22"/>
        <v>7.4977469138773278</v>
      </c>
      <c r="BM86" s="217">
        <f t="shared" si="15"/>
        <v>3.9635428419932596E-2</v>
      </c>
      <c r="BN86" s="134">
        <f>BM65*BK86+BM66*BK85+BM67*BK84+BM68*BK83+BM69*BK82+BM70*BK81+BM71*BK80+BM72*BK79+BM73*BK78+BM74*BK77+BM75*BK76+BM76*BK75+BM77*BK74+BM78*BK73+BM79*BK72+BM80*BK71+BM81*BK70+BM82*BK69+BM83*BK68+BM84*BK67+BM85*BK66+BM86*BK65</f>
        <v>5.2757156896065034</v>
      </c>
      <c r="BO86" s="134">
        <f t="shared" si="16"/>
        <v>6.2757156896065034</v>
      </c>
      <c r="BP86">
        <f t="shared" si="17"/>
        <v>22</v>
      </c>
      <c r="BR86">
        <v>22</v>
      </c>
      <c r="BS86" s="3">
        <f t="shared" si="23"/>
        <v>7.4977469138773278</v>
      </c>
      <c r="BU86" s="217">
        <f t="shared" si="18"/>
        <v>4.5682454492097693E-2</v>
      </c>
      <c r="BV86" s="134">
        <f>BU65*BS86+BU66*BS85+BU67*BS84+BU68*BS83+BU69*BS82+BU70*BS81+BU71*BS80+BU72*BS79+BU73*BS78+BU74*BS77+BU75*BS76+BU76*BS75+BU77*BS74+BU78*BS73+BU79*BS72+BU80*BS71+BU81*BS70+BU82*BS69+BU83*BS68+BU84*BS67+BU85*BS66+BU86*BS65</f>
        <v>6.3882042835489559</v>
      </c>
      <c r="BW86" s="134">
        <f t="shared" si="19"/>
        <v>7.3882042835489559</v>
      </c>
      <c r="BX86">
        <f t="shared" si="20"/>
        <v>22</v>
      </c>
    </row>
    <row r="87" spans="2:76" ht="15" customHeight="1" x14ac:dyDescent="0.3">
      <c r="F87" s="21"/>
      <c r="I87" s="4"/>
      <c r="BB87">
        <v>23</v>
      </c>
      <c r="BC87" s="3">
        <f t="shared" si="21"/>
        <v>7.8385535917808431</v>
      </c>
      <c r="BE87" s="217">
        <f t="shared" si="12"/>
        <v>3.7719044154715678E-2</v>
      </c>
      <c r="BF87" s="134">
        <f>BE65*BC87+BE66*BC86+BE67*BC85+BE68*BC84+BE69*BC83+BE70*BC82+BE71*BC81+BE72*BC80+BE73*BC79+BE74*BC78+BE75*BC77+BE76*BC76+BE77*BC75+BE78*BC74+BE79*BC73+BE80*BC72+BE81*BC71+BE82*BC70+BE83*BC69+BE84*BC68+BE85*BC67+BE86*BC66+BE87*BC65</f>
        <v>5.4548624301632751</v>
      </c>
      <c r="BG87" s="134">
        <f t="shared" si="13"/>
        <v>6.4548624301632751</v>
      </c>
      <c r="BH87">
        <f t="shared" si="14"/>
        <v>23</v>
      </c>
      <c r="BJ87">
        <v>23</v>
      </c>
      <c r="BK87" s="3">
        <f t="shared" si="22"/>
        <v>7.8385535917808431</v>
      </c>
      <c r="BM87" s="217">
        <f t="shared" si="15"/>
        <v>3.9855279993346926E-2</v>
      </c>
      <c r="BN87" s="134">
        <f>BM65*BK87+BM66*BK86+BM67*BK85+BM68*BK84+BM69*BK83+BM70*BK82+BM71*BK81+BM72*BK80+BM73*BK79+BM74*BK78+BM75*BK77+BM76*BK76+BM77*BK75+BM78*BK74+BM79*BK73+BM80*BK72+BM81*BK71+BM82*BK70+BM83*BK69+BM84*BK68+BM85*BK67+BM86*BK66+BM87*BK65</f>
        <v>5.8769281986948512</v>
      </c>
      <c r="BO87" s="134">
        <f t="shared" si="16"/>
        <v>6.8769281986948512</v>
      </c>
      <c r="BP87">
        <f t="shared" si="17"/>
        <v>23</v>
      </c>
      <c r="BR87">
        <v>23</v>
      </c>
      <c r="BS87" s="3">
        <f t="shared" si="23"/>
        <v>7.8385535917808431</v>
      </c>
      <c r="BU87" s="217">
        <f t="shared" si="18"/>
        <v>4.5907519386441109E-2</v>
      </c>
      <c r="BV87" s="134">
        <f>BU65*BS87+BU66*BS86+BU67*BS85+BU68*BS84+BU69*BS83+BU70*BS82+BU71*BS81+BU72*BS80+BU73*BS79+BU74*BS78+BU75*BS77+BU76*BS76+BU77*BS75+BU78*BS74+BU79*BS73+BU80*BS72+BU81*BS71+BU82*BS70+BU83*BS69+BU84*BS68+BU85*BS67+BU86*BS66+BU87*BS65</f>
        <v>7.1092588608412193</v>
      </c>
      <c r="BW87" s="134">
        <f t="shared" si="19"/>
        <v>8.1092588608412193</v>
      </c>
      <c r="BX87">
        <f t="shared" si="20"/>
        <v>23</v>
      </c>
    </row>
    <row r="88" spans="2:76" ht="15" customHeight="1" x14ac:dyDescent="0.3">
      <c r="B88" s="23" t="s">
        <v>395</v>
      </c>
      <c r="C88" s="190">
        <f>C83+C74/2</f>
        <v>111.56521099512766</v>
      </c>
      <c r="D88" s="21" t="s">
        <v>288</v>
      </c>
      <c r="E88" s="24" t="s">
        <v>388</v>
      </c>
      <c r="F88" s="21"/>
      <c r="I88" s="4"/>
      <c r="BB88">
        <v>24</v>
      </c>
      <c r="BC88" s="3">
        <f t="shared" si="21"/>
        <v>8.1793602696843575</v>
      </c>
      <c r="BE88" s="217">
        <f t="shared" si="12"/>
        <v>3.793204841275042E-2</v>
      </c>
      <c r="BF88" s="134">
        <f>BE65*BC88+BE66*BC87+BE67*BC86+BE68*BC85+BE69*BC84+BE70*BC83+BE71*BC82+BE72*BC81+BE73*BC80+BE74*BC79+BE75*BC78+BE76*BC77+BE77*BC76+BE78*BC75+BE79*BC74+BE80*BC73+BE81*BC72+BE82*BC71+BE83*BC70+BE84*BC69+BE85*BC68+BE86*BC67+BE87*BC66+BE88*BC65</f>
        <v>6.027736528993378</v>
      </c>
      <c r="BG88" s="134">
        <f t="shared" si="13"/>
        <v>7.027736528993378</v>
      </c>
      <c r="BH88">
        <f t="shared" si="14"/>
        <v>24</v>
      </c>
      <c r="BJ88">
        <v>24</v>
      </c>
      <c r="BK88" s="3">
        <f t="shared" si="22"/>
        <v>8.1793602696843575</v>
      </c>
      <c r="BM88" s="217">
        <f t="shared" si="15"/>
        <v>4.0070525354593302E-2</v>
      </c>
      <c r="BN88" s="134">
        <f>BM65*BK88+BM66*BK87+BM67*BK86+BM68*BK85+BM69*BK84+BM70*BK83+BM71*BK82+BM72*BK81+BM73*BK80+BM74*BK79+BM75*BK78+BM76*BK77+BM77*BK76+BM78*BK75+BM79*BK74+BM80*BK73+BM81*BK72+BM82*BK71+BM83*BK70+BM84*BK69+BM85*BK68+BM86*BK67+BM87*BK66+BM88*BK65</f>
        <v>6.4917970104111467</v>
      </c>
      <c r="BO88" s="134">
        <f t="shared" si="16"/>
        <v>7.4917970104111467</v>
      </c>
      <c r="BP88">
        <f t="shared" si="17"/>
        <v>24</v>
      </c>
      <c r="BR88">
        <v>24</v>
      </c>
      <c r="BS88" s="3">
        <f t="shared" si="23"/>
        <v>8.1793602696843575</v>
      </c>
      <c r="BU88" s="217">
        <f t="shared" si="18"/>
        <v>4.61276745206348E-2</v>
      </c>
      <c r="BV88" s="134">
        <f>BU65*BS88+BU66*BS87+BU67*BS86+BU68*BS85+BU69*BS84+BU70*BS83+BU71*BS82+BU72*BS81+BU73*BS80+BU74*BS79+BU75*BS78+BU76*BS77+BU77*BS76+BU78*BS75+BU79*BS74+BU80*BS73+BU81*BS72+BU82*BS71+BU83*BS70+BU84*BS69+BU85*BS68+BU86*BS67+BU87*BS66+BU88*BS65</f>
        <v>7.8460340576462766</v>
      </c>
      <c r="BW88" s="134">
        <f t="shared" si="19"/>
        <v>8.8460340576462766</v>
      </c>
      <c r="BX88">
        <f t="shared" si="20"/>
        <v>24</v>
      </c>
    </row>
    <row r="89" spans="2:76" ht="15" customHeight="1" x14ac:dyDescent="0.3">
      <c r="F89" s="21"/>
      <c r="I89" s="4"/>
      <c r="BB89">
        <v>25</v>
      </c>
      <c r="BC89" s="3">
        <f t="shared" si="21"/>
        <v>8.5201669475878727</v>
      </c>
      <c r="BE89" s="200">
        <v>0</v>
      </c>
      <c r="BF89" s="134">
        <f>BE65*BC89+BE66*BC88+BE67*BC87+BE68*BC86+BE69*BC85+BE70*BC84+BE71*BC83+BE72*BC82+BE73*BC81+BE74*BC80+BE75*BC79+BE76*BC78+BE77*BC77+BE78*BC76+BE79*BC75+BE80*BC74+BE81*BC73+BE82*BC72+BE83*BC71+BE84*BC70+BE85*BC69+BE86*BC68+BE87*BC67+BE88*BC66+BE89*BC65</f>
        <v>6.600610627823488</v>
      </c>
      <c r="BG89" s="134">
        <f t="shared" si="13"/>
        <v>7.600610627823488</v>
      </c>
      <c r="BH89">
        <f t="shared" si="14"/>
        <v>25</v>
      </c>
      <c r="BJ89">
        <v>25</v>
      </c>
      <c r="BK89" s="3">
        <f t="shared" si="22"/>
        <v>8.5201669475878727</v>
      </c>
      <c r="BM89" s="200">
        <v>0</v>
      </c>
      <c r="BN89" s="134">
        <f>BM65*BK89+BM66*BK88+BM67*BK87+BM68*BK86+BM69*BK85+BM70*BK84+BM71*BK83+BM72*BK82+BM73*BK81+BM74*BK80+BM75*BK79+BM76*BK78+BM77*BK77+BM78*BK76+BM79*BK75+BM80*BK74+BM81*BK73+BM82*BK72+BM83*BK71+BM84*BK70+BM85*BK69+BM86*BK68+BM87*BK67+BM88*BK66+BM89*BK65</f>
        <v>7.1066658221274412</v>
      </c>
      <c r="BO89" s="134">
        <f t="shared" si="16"/>
        <v>8.1066658221274412</v>
      </c>
      <c r="BP89">
        <f t="shared" si="17"/>
        <v>25</v>
      </c>
      <c r="BR89">
        <v>25</v>
      </c>
      <c r="BS89" s="3">
        <f t="shared" si="23"/>
        <v>8.5201669475878727</v>
      </c>
      <c r="BU89" s="200">
        <v>0</v>
      </c>
      <c r="BV89" s="134">
        <f>BU65*BS89+BU66*BS88+BU67*BS87+BU68*BS86+BU69*BS85+BU70*BS84+BU71*BS83+BU72*BS82+BU73*BS81+BU74*BS80+BU75*BS79+BU76*BS78+BU77*BS77+BU78*BS76+BU79*BS75+BU80*BS74+BU81*BS73+BU82*BS72+BU83*BS71+BU84*BS70+BU85*BS69+BU86*BS68+BU87*BS67+BU88*BS66+BU89*BS65</f>
        <v>8.5828092544513321</v>
      </c>
      <c r="BW89" s="134">
        <f t="shared" si="19"/>
        <v>9.5828092544513321</v>
      </c>
      <c r="BX89">
        <f t="shared" si="20"/>
        <v>25</v>
      </c>
    </row>
    <row r="90" spans="2:76" ht="15" customHeight="1" x14ac:dyDescent="0.3">
      <c r="B90" s="23" t="s">
        <v>446</v>
      </c>
      <c r="C90" s="190">
        <f>1.67*C88</f>
        <v>186.31390236186317</v>
      </c>
      <c r="D90" s="21" t="s">
        <v>288</v>
      </c>
      <c r="E90" s="24" t="s">
        <v>447</v>
      </c>
      <c r="F90" s="21"/>
      <c r="I90" s="4"/>
      <c r="BB90">
        <v>26</v>
      </c>
      <c r="BC90" s="3">
        <f t="shared" si="21"/>
        <v>8.8609736254913862</v>
      </c>
      <c r="BE90" s="200">
        <v>0</v>
      </c>
      <c r="BF90" s="134">
        <f>BE65*BC90+BE66*BC89+BE67*BC88+BE68*BC87+BE69*BC86+BE70*BC85+BE71*BC84+BE72*BC83+BE73*BC82+BE74*BC81+BE75*BC80+BE76*BC79+BE77*BC78+BE78*BC77+BE79*BC76+BE80*BC75+BE81*BC74+BE82*BC73+BE83*BC72+BE84*BC71+BE85*BC70+BE86*BC69+BE87*BC68+BE88*BC67+BE89*BC66+BE90*BC65</f>
        <v>7.1734847266535935</v>
      </c>
      <c r="BG90" s="134">
        <f t="shared" si="13"/>
        <v>8.1734847266535944</v>
      </c>
      <c r="BH90">
        <f t="shared" si="14"/>
        <v>26</v>
      </c>
      <c r="BJ90">
        <v>26</v>
      </c>
      <c r="BK90" s="3">
        <f t="shared" si="22"/>
        <v>8.8609736254913862</v>
      </c>
      <c r="BM90" s="200">
        <v>0</v>
      </c>
      <c r="BN90" s="134">
        <f>BM65*BK90+BM66*BK89+BM67*BK88+BM68*BK87+BM69*BK86+BM70*BK85+BM71*BK84+BM72*BK83+BM73*BK82+BM74*BK81+BM75*BK80+BM76*BK79+BM77*BK78+BM78*BK77+BM79*BK76+BM80*BK75+BM81*BK74+BM82*BK73+BM83*BK72+BM84*BK71+BM85*BK70+BM86*BK69+BM87*BK68+BM88*BK67+BM89*BK66+BM90*BK65</f>
        <v>7.7215346338437358</v>
      </c>
      <c r="BO90" s="134">
        <f t="shared" si="16"/>
        <v>8.721534633843735</v>
      </c>
      <c r="BP90">
        <f t="shared" si="17"/>
        <v>26</v>
      </c>
      <c r="BR90">
        <v>26</v>
      </c>
      <c r="BS90" s="3">
        <f t="shared" si="23"/>
        <v>8.8609736254913862</v>
      </c>
      <c r="BU90" s="200">
        <v>0</v>
      </c>
      <c r="BV90" s="134">
        <f>BU65*BS90+BU66*BS89+BU67*BS88+BU68*BS87+BU69*BS86+BU70*BS85+BU71*BS84+BU72*BS83+BU73*BS82+BU74*BS81+BU75*BS80+BU76*BS79+BU77*BS78+BU78*BS77+BU79*BS76+BU80*BS75+BU81*BS74+BU82*BS73+BU83*BS72+BU84*BS71+BU85*BS70+BU86*BS69+BU87*BS68+BU88*BS67+BU89*BS66+BU90*BS65</f>
        <v>9.319584451256393</v>
      </c>
      <c r="BW90" s="134">
        <f t="shared" si="19"/>
        <v>10.319584451256393</v>
      </c>
      <c r="BX90">
        <f t="shared" si="20"/>
        <v>26</v>
      </c>
    </row>
    <row r="91" spans="2:76" ht="15" customHeight="1" x14ac:dyDescent="0.3">
      <c r="C91" s="21"/>
      <c r="D91" s="21"/>
      <c r="E91" s="193"/>
      <c r="F91" s="21"/>
      <c r="I91" s="4"/>
      <c r="BB91">
        <v>27</v>
      </c>
      <c r="BC91" s="3">
        <f t="shared" si="21"/>
        <v>9.2017803033949015</v>
      </c>
      <c r="BE91" s="200">
        <v>0</v>
      </c>
      <c r="BF91" s="134">
        <f>BE65*BC91+BE66*BC90+BE67*BC89+BE68*BC88+BE69*BC87+BE70*BC86+BE71*BC85+BE72*BC84+BE73*BC83+BE74*BC82+BE75*BC81+BE76*BC80+BE77*BC79+BE78*BC78+BE79*BC77+BE80*BC76+BE81*BC75+BE82*BC74+BE83*BC73+BE84*BC72+BE85*BC71+BE86*BC70+BE87*BC69+BE88*BC68+BE89*BC67+BE90*BC66+BE91*BC65</f>
        <v>7.746358825483699</v>
      </c>
      <c r="BG91" s="134">
        <f t="shared" si="13"/>
        <v>8.7463588254836999</v>
      </c>
      <c r="BH91">
        <f t="shared" si="14"/>
        <v>27</v>
      </c>
      <c r="BJ91">
        <v>27</v>
      </c>
      <c r="BK91" s="3">
        <f t="shared" si="22"/>
        <v>9.2017803033949015</v>
      </c>
      <c r="BM91" s="200">
        <v>0</v>
      </c>
      <c r="BN91" s="134">
        <f>BM65*BK91+BM66*BK90+BM67*BK89+BM68*BK88+BM69*BK87+BM70*BK86+BM71*BK85+BM72*BK84+BM73*BK83+BM74*BK82+BM75*BK81+BM76*BK80+BM77*BK79+BM78*BK78+BM79*BK77+BM80*BK76+BM81*BK75+BM82*BK74+BM83*BK73+BM84*BK72+BM85*BK71+BM86*BK70+BM87*BK69+BM88*BK68+BM89*BK67+BM90*BK66+BM91*BK65</f>
        <v>8.336403445560034</v>
      </c>
      <c r="BO91" s="134">
        <f t="shared" si="16"/>
        <v>9.336403445560034</v>
      </c>
      <c r="BP91">
        <f t="shared" si="17"/>
        <v>27</v>
      </c>
      <c r="BR91">
        <v>27</v>
      </c>
      <c r="BS91" s="3">
        <f t="shared" si="23"/>
        <v>9.2017803033949015</v>
      </c>
      <c r="BU91" s="200">
        <v>0</v>
      </c>
      <c r="BV91" s="134">
        <f>BU65*BS91+BU66*BS90+BU67*BS89+BU68*BS88+BU69*BS87+BU70*BS86+BU71*BS85+BU72*BS84+BU73*BS83+BU74*BS82+BU75*BS81+BU76*BS80+BU77*BS79+BU78*BS78+BU79*BS77+BU80*BS76+BU81*BS75+BU82*BS74+BU83*BS73+BU84*BS72+BU85*BS71+BU86*BS70+BU87*BS69+BU88*BS68+BU89*BS67+BU90*BS66+BU91*BS65</f>
        <v>10.056359648061447</v>
      </c>
      <c r="BW91" s="134">
        <f t="shared" si="19"/>
        <v>11.056359648061447</v>
      </c>
      <c r="BX91">
        <f t="shared" si="20"/>
        <v>27</v>
      </c>
    </row>
    <row r="92" spans="2:76" ht="15" customHeight="1" x14ac:dyDescent="0.3">
      <c r="B92" s="23" t="s">
        <v>448</v>
      </c>
      <c r="C92" s="190">
        <f>C88+C90</f>
        <v>297.87911335699084</v>
      </c>
      <c r="D92" s="21" t="s">
        <v>288</v>
      </c>
      <c r="E92" s="24" t="s">
        <v>393</v>
      </c>
      <c r="BB92">
        <v>28</v>
      </c>
      <c r="BC92" s="3">
        <f t="shared" si="21"/>
        <v>9.5425869812984168</v>
      </c>
      <c r="BE92" s="200">
        <v>0</v>
      </c>
      <c r="BF92" s="134">
        <f>BE65*BC92+BE66*BC91+BE67*BC90+BE68*BC89+BE69*BC88+BE70*BC87+BE71*BC86+BE72*BC85+BE73*BC84+BE74*BC83+BE75*BC82+BE76*BC81+BE77*BC80+BE78*BC79+BE79*BC78+BE80*BC77+BE81*BC76+BE82*BC75+BE83*BC74+BE84*BC73+BE85*BC72+BE86*BC71+BE87*BC70+BE88*BC69+BE89*BC68+BE90*BC67+BE91*BC66+BE92*BC65</f>
        <v>8.3192329243138055</v>
      </c>
      <c r="BG92" s="134">
        <f t="shared" si="13"/>
        <v>9.3192329243138055</v>
      </c>
      <c r="BH92">
        <f t="shared" si="14"/>
        <v>28</v>
      </c>
      <c r="BJ92">
        <v>28</v>
      </c>
      <c r="BK92" s="3">
        <f t="shared" si="22"/>
        <v>9.5425869812984168</v>
      </c>
      <c r="BM92" s="200">
        <v>0</v>
      </c>
      <c r="BN92" s="134">
        <f>BM65*BK92+BM66*BK91+BM67*BK90+BM68*BK89+BM69*BK88+BM70*BK87+BM71*BK86+BM72*BK85+BM73*BK84+BM74*BK83+BM75*BK82+BM76*BK81+BM77*BK80+BM78*BK79+BM79*BK78+BM80*BK77+BM81*BK76+BM82*BK75+BM83*BK74+BM84*BK73+BM85*BK72+BM86*BK71+BM87*BK70+BM88*BK69+BM89*BK68+BM90*BK67+BM91*BK66+BM92*BK65</f>
        <v>8.9512722572763277</v>
      </c>
      <c r="BO92" s="134">
        <f t="shared" si="16"/>
        <v>9.9512722572763277</v>
      </c>
      <c r="BP92">
        <f t="shared" si="17"/>
        <v>28</v>
      </c>
      <c r="BR92">
        <v>28</v>
      </c>
      <c r="BS92" s="3">
        <f t="shared" si="23"/>
        <v>9.5425869812984168</v>
      </c>
      <c r="BU92" s="200">
        <v>0</v>
      </c>
      <c r="BV92" s="134">
        <f>BU65*BS92+BU66*BS91+BU67*BS90+BU68*BS89+BU69*BS88+BU70*BS87+BU71*BS86+BU72*BS85+BU73*BS84+BU74*BS83+BU75*BS82+BU76*BS81+BU77*BS80+BU78*BS79+BU79*BS78+BU80*BS77+BU81*BS76+BU82*BS75+BU83*BS74+BU84*BS73+BU85*BS72+BU86*BS71+BU87*BS70+BU88*BS69+BU89*BS68+BU90*BS67+BU91*BS66+BU92*BS65</f>
        <v>10.793134844866506</v>
      </c>
      <c r="BW92" s="134">
        <f t="shared" si="19"/>
        <v>11.793134844866506</v>
      </c>
      <c r="BX92">
        <f t="shared" si="20"/>
        <v>28</v>
      </c>
    </row>
    <row r="93" spans="2:76" ht="15" customHeight="1" x14ac:dyDescent="0.3">
      <c r="BB93">
        <v>29</v>
      </c>
      <c r="BC93" s="3">
        <f t="shared" si="21"/>
        <v>9.883393659201932</v>
      </c>
      <c r="BE93" s="200">
        <v>0</v>
      </c>
      <c r="BF93" s="134">
        <f>BE65*BC93+BE66*BC92+BE67*BC91+BE68*BC90+BE69*BC89+BE70*BC88+BE71*BC87+BE72*BC86+BE73*BC85+BE74*BC84+BE75*BC83+BE76*BC82+BE77*BC81+BE78*BC80+BE79*BC79+BE80*BC78+BE81*BC77+BE82*BC76+BE83*BC75+BE84*BC74+BE85*BC73+BE86*BC72+BE87*BC71+BE88*BC70+BE89*BC69+BE90*BC68+BE91*BC67+BE92*BC66+BE93*BC65</f>
        <v>8.892107023143911</v>
      </c>
      <c r="BG93" s="134">
        <f t="shared" si="13"/>
        <v>9.892107023143911</v>
      </c>
      <c r="BH93">
        <f t="shared" si="14"/>
        <v>29</v>
      </c>
      <c r="BJ93">
        <v>29</v>
      </c>
      <c r="BK93" s="3">
        <f t="shared" si="22"/>
        <v>9.883393659201932</v>
      </c>
      <c r="BM93" s="200">
        <v>0</v>
      </c>
      <c r="BN93" s="134">
        <f>BM65*BK93+BM66*BK92+BM67*BK91+BM68*BK90+BM69*BK89+BM70*BK88+BM71*BK87+BM72*BK86+BM73*BK85+BM74*BK84+BM75*BK83+BM76*BK82+BM77*BK81+BM78*BK80+BM79*BK79+BM80*BK78+BM81*BK77+BM82*BK76+BM83*BK75+BM84*BK74+BM85*BK73+BM86*BK72+BM87*BK71+BM88*BK70+BM89*BK69+BM90*BK68+BM91*BK67+BM92*BK66+BM93*BK65</f>
        <v>9.5661410689926232</v>
      </c>
      <c r="BO93" s="134">
        <f t="shared" si="16"/>
        <v>10.566141068992623</v>
      </c>
      <c r="BP93">
        <f t="shared" si="17"/>
        <v>29</v>
      </c>
      <c r="BR93">
        <v>29</v>
      </c>
      <c r="BS93" s="3">
        <f t="shared" si="23"/>
        <v>9.883393659201932</v>
      </c>
      <c r="BU93" s="200">
        <v>0</v>
      </c>
      <c r="BV93" s="134">
        <f>BU65*BS93+BU66*BS92+BU67*BS91+BU68*BS90+BU69*BS89+BU70*BS88+BU71*BS87+BU72*BS86+BU73*BS85+BU74*BS84+BU75*BS83+BU76*BS82+BU77*BS81+BU78*BS80+BU79*BS79+BU80*BS78+BU81*BS77+BU82*BS76+BU83*BS75+BU84*BS74+BU85*BS73+BU86*BS72+BU87*BS71+BU88*BS70+BU89*BS69+BU90*BS68+BU91*BS67+BU92*BS66+BU93*BS65</f>
        <v>11.529910041671558</v>
      </c>
      <c r="BW93" s="134">
        <f t="shared" si="19"/>
        <v>12.529910041671558</v>
      </c>
      <c r="BX93">
        <f t="shared" si="20"/>
        <v>29</v>
      </c>
    </row>
    <row r="94" spans="2:76" ht="15" customHeight="1" x14ac:dyDescent="0.3">
      <c r="B94" s="23" t="s">
        <v>389</v>
      </c>
      <c r="C94" s="190">
        <f>2.08*C70/C88</f>
        <v>38.02216892885415</v>
      </c>
      <c r="D94" s="169" t="s">
        <v>374</v>
      </c>
      <c r="E94" s="24" t="s">
        <v>396</v>
      </c>
      <c r="BB94">
        <v>30</v>
      </c>
      <c r="BC94" s="3">
        <f t="shared" si="21"/>
        <v>10.224200337105447</v>
      </c>
      <c r="BE94" s="200">
        <v>0</v>
      </c>
      <c r="BF94" s="134">
        <f>BE65*BC94+BE66*BC93+BE67*BC92+BE68*BC91+BE69*BC90+BE70*BC89+BE71*BC88+BE72*BC87+BE73*BC86+BE74*BC85+BE75*BC84+BE76*BC83+BE77*BC82+BE78*BC81+BE79*BC80+BE80*BC79+BE81*BC78+BE82*BC77+BE83*BC76+BE84*BC75+BE85*BC74+BE86*BC73+BE87*BC72+BE88*BC71+BE89*BC70+BE90*BC69+BE91*BC68+BE92*BC67+BE93*BC66+BE94*BC65</f>
        <v>9.4649811219740201</v>
      </c>
      <c r="BG94" s="134">
        <f t="shared" si="13"/>
        <v>10.46498112197402</v>
      </c>
      <c r="BH94">
        <f t="shared" si="14"/>
        <v>30</v>
      </c>
      <c r="BJ94">
        <v>30</v>
      </c>
      <c r="BK94" s="3">
        <f t="shared" si="22"/>
        <v>10.224200337105447</v>
      </c>
      <c r="BM94" s="200">
        <v>0</v>
      </c>
      <c r="BN94" s="134">
        <f>BM65*BK94+BM66*BK93+BM67*BK92+BM68*BK91+BM69*BK90+BM70*BK89+BM71*BK88+BM72*BK87+BM73*BK86+BM74*BK85+BM75*BK84+BM76*BK83+BM77*BK82+BM78*BK81+BM79*BK80+BM80*BK79+BM81*BK78+BM82*BK77+BM83*BK76+BM84*BK75+BM85*BK74+BM86*BK73+BM87*BK72+BM88*BK71+BM89*BK70+BM90*BK69+BM91*BK68+BM92*BK67+BM93*BK66+BM94*BK65</f>
        <v>10.181009880708917</v>
      </c>
      <c r="BO94" s="134">
        <f t="shared" si="16"/>
        <v>11.181009880708917</v>
      </c>
      <c r="BP94">
        <f t="shared" si="17"/>
        <v>30</v>
      </c>
      <c r="BR94">
        <v>30</v>
      </c>
      <c r="BS94" s="3">
        <f t="shared" si="23"/>
        <v>10.224200337105447</v>
      </c>
      <c r="BU94" s="200">
        <v>0</v>
      </c>
      <c r="BV94" s="134">
        <f>BU65*BS94+BU66*BS93+BU67*BS92+BU68*BS91+BU69*BS90+BU70*BS89+BU71*BS88+BU72*BS87+BU73*BS86+BU74*BS85+BU75*BS84+BU76*BS83+BU77*BS82+BU78*BS81+BU79*BS80+BU80*BS79+BU81*BS78+BU82*BS77+BU83*BS76+BU84*BS75+BU85*BS74+BU86*BS73+BU87*BS72+BU88*BS71+BU89*BS70+BU90*BS69+BU91*BS68+BU92*BS67+BU93*BS66+BU94*BS65</f>
        <v>12.266685238476615</v>
      </c>
      <c r="BW94" s="134">
        <f t="shared" si="19"/>
        <v>13.266685238476615</v>
      </c>
      <c r="BX94">
        <f t="shared" si="20"/>
        <v>30</v>
      </c>
    </row>
    <row r="95" spans="2:76" ht="15" customHeight="1" x14ac:dyDescent="0.3"/>
    <row r="96" spans="2:76" ht="15" customHeight="1" thickBot="1" x14ac:dyDescent="0.35">
      <c r="B96" s="24" t="s">
        <v>392</v>
      </c>
      <c r="E96" s="24"/>
      <c r="F96" s="21"/>
      <c r="I96" s="4"/>
    </row>
    <row r="97" spans="2:39" ht="15" customHeight="1" x14ac:dyDescent="0.3">
      <c r="B97" s="169" t="s">
        <v>430</v>
      </c>
      <c r="E97" s="24"/>
      <c r="F97" s="21"/>
      <c r="I97" s="611" t="s">
        <v>195</v>
      </c>
      <c r="J97" s="613" t="s">
        <v>431</v>
      </c>
    </row>
    <row r="98" spans="2:39" ht="15" customHeight="1" thickBot="1" x14ac:dyDescent="0.35">
      <c r="B98" s="169" t="s">
        <v>449</v>
      </c>
      <c r="E98" s="24"/>
      <c r="F98" s="21"/>
      <c r="I98" s="615"/>
      <c r="J98" s="616"/>
    </row>
    <row r="99" spans="2:39" ht="15" customHeight="1" thickBot="1" x14ac:dyDescent="0.35">
      <c r="B99" s="169" t="s">
        <v>433</v>
      </c>
      <c r="F99" s="21"/>
      <c r="I99" s="214">
        <v>0</v>
      </c>
      <c r="J99" s="215">
        <f>BC64</f>
        <v>0</v>
      </c>
    </row>
    <row r="100" spans="2:39" ht="15" customHeight="1" x14ac:dyDescent="0.3">
      <c r="E100" s="611" t="s">
        <v>195</v>
      </c>
      <c r="F100" s="613" t="s">
        <v>431</v>
      </c>
      <c r="I100" s="207">
        <v>1</v>
      </c>
      <c r="J100" s="208">
        <f t="shared" ref="J100:J123" si="24">BC65</f>
        <v>0.34080667790351488</v>
      </c>
      <c r="K100" s="169" t="s">
        <v>422</v>
      </c>
      <c r="T100" s="169" t="s">
        <v>422</v>
      </c>
      <c r="AD100" s="169" t="s">
        <v>422</v>
      </c>
    </row>
    <row r="101" spans="2:39" ht="15" customHeight="1" thickBot="1" x14ac:dyDescent="0.35">
      <c r="E101" s="612"/>
      <c r="F101" s="614"/>
      <c r="G101" s="24" t="s">
        <v>434</v>
      </c>
      <c r="I101" s="207">
        <v>2</v>
      </c>
      <c r="J101" s="208">
        <f t="shared" si="24"/>
        <v>0.68161335580702975</v>
      </c>
      <c r="P101" s="609" t="s">
        <v>420</v>
      </c>
      <c r="Q101" s="609"/>
      <c r="R101" s="190">
        <f>AB40</f>
        <v>1</v>
      </c>
      <c r="S101" s="169" t="s">
        <v>421</v>
      </c>
      <c r="Z101" s="609" t="s">
        <v>450</v>
      </c>
      <c r="AA101" s="609"/>
      <c r="AB101" s="190">
        <f>R101</f>
        <v>1</v>
      </c>
      <c r="AC101" s="169" t="s">
        <v>421</v>
      </c>
      <c r="AJ101" s="609" t="s">
        <v>450</v>
      </c>
      <c r="AK101" s="609"/>
      <c r="AL101" s="190">
        <f>R101</f>
        <v>1</v>
      </c>
      <c r="AM101" s="169" t="s">
        <v>421</v>
      </c>
    </row>
    <row r="102" spans="2:39" ht="15" customHeight="1" x14ac:dyDescent="0.3">
      <c r="E102" s="151">
        <v>0</v>
      </c>
      <c r="F102" s="195">
        <v>0</v>
      </c>
      <c r="I102" s="207">
        <v>3</v>
      </c>
      <c r="J102" s="208">
        <f t="shared" si="24"/>
        <v>1.0224200337105447</v>
      </c>
    </row>
    <row r="103" spans="2:39" ht="15" customHeight="1" x14ac:dyDescent="0.3">
      <c r="B103" s="24"/>
      <c r="C103" s="21"/>
      <c r="D103" s="21"/>
      <c r="E103" s="140">
        <f>C88</f>
        <v>111.56521099512766</v>
      </c>
      <c r="F103" s="162">
        <f>C94</f>
        <v>38.02216892885415</v>
      </c>
      <c r="I103" s="207">
        <v>4</v>
      </c>
      <c r="J103" s="208">
        <f t="shared" si="24"/>
        <v>1.3632267116140595</v>
      </c>
    </row>
    <row r="104" spans="2:39" ht="15" customHeight="1" thickBot="1" x14ac:dyDescent="0.35">
      <c r="E104" s="141">
        <f>C92</f>
        <v>297.87911335699084</v>
      </c>
      <c r="F104" s="196">
        <v>0</v>
      </c>
      <c r="I104" s="207">
        <v>5</v>
      </c>
      <c r="J104" s="208">
        <f t="shared" si="24"/>
        <v>1.7040333895175743</v>
      </c>
    </row>
    <row r="105" spans="2:39" ht="15" customHeight="1" x14ac:dyDescent="0.3">
      <c r="I105" s="207">
        <v>6</v>
      </c>
      <c r="J105" s="208">
        <f t="shared" si="24"/>
        <v>2.0448400674210894</v>
      </c>
    </row>
    <row r="106" spans="2:39" ht="15" customHeight="1" x14ac:dyDescent="0.3">
      <c r="I106" s="207">
        <v>7</v>
      </c>
      <c r="J106" s="208">
        <f t="shared" si="24"/>
        <v>2.3856467453246042</v>
      </c>
    </row>
    <row r="107" spans="2:39" ht="15" customHeight="1" x14ac:dyDescent="0.3">
      <c r="I107" s="207">
        <v>8</v>
      </c>
      <c r="J107" s="208">
        <f t="shared" si="24"/>
        <v>2.726453423228119</v>
      </c>
    </row>
    <row r="108" spans="2:39" ht="15" customHeight="1" x14ac:dyDescent="0.3">
      <c r="I108" s="207">
        <v>9</v>
      </c>
      <c r="J108" s="208">
        <f t="shared" si="24"/>
        <v>3.0672601011316343</v>
      </c>
    </row>
    <row r="109" spans="2:39" ht="15" customHeight="1" x14ac:dyDescent="0.3">
      <c r="I109" s="207">
        <v>10</v>
      </c>
      <c r="J109" s="208">
        <f t="shared" si="24"/>
        <v>3.4080667790351487</v>
      </c>
    </row>
    <row r="110" spans="2:39" ht="15" customHeight="1" x14ac:dyDescent="0.3">
      <c r="I110" s="207">
        <v>11</v>
      </c>
      <c r="J110" s="208">
        <f t="shared" si="24"/>
        <v>3.7488734569386639</v>
      </c>
    </row>
    <row r="111" spans="2:39" ht="15" customHeight="1" x14ac:dyDescent="0.3">
      <c r="I111" s="207">
        <v>12</v>
      </c>
      <c r="J111" s="208">
        <f t="shared" si="24"/>
        <v>4.0896801348421787</v>
      </c>
    </row>
    <row r="112" spans="2:39" ht="15" customHeight="1" x14ac:dyDescent="0.3">
      <c r="I112" s="207">
        <v>13</v>
      </c>
      <c r="J112" s="208">
        <f t="shared" si="24"/>
        <v>4.4304868127456931</v>
      </c>
    </row>
    <row r="113" spans="2:36" ht="15" customHeight="1" x14ac:dyDescent="0.3">
      <c r="I113" s="207">
        <v>14</v>
      </c>
      <c r="J113" s="208">
        <f t="shared" si="24"/>
        <v>4.7712934906492084</v>
      </c>
    </row>
    <row r="114" spans="2:36" ht="15" customHeight="1" x14ac:dyDescent="0.3">
      <c r="I114" s="207">
        <v>15</v>
      </c>
      <c r="J114" s="208">
        <f t="shared" si="24"/>
        <v>5.1121001685527236</v>
      </c>
    </row>
    <row r="115" spans="2:36" ht="15" customHeight="1" x14ac:dyDescent="0.3">
      <c r="I115" s="207">
        <v>16</v>
      </c>
      <c r="J115" s="208">
        <f t="shared" si="24"/>
        <v>5.452906846456238</v>
      </c>
    </row>
    <row r="116" spans="2:36" ht="15" customHeight="1" x14ac:dyDescent="0.3">
      <c r="I116" s="207">
        <v>17</v>
      </c>
      <c r="J116" s="208">
        <f t="shared" si="24"/>
        <v>5.7937135243597533</v>
      </c>
    </row>
    <row r="117" spans="2:36" ht="15" customHeight="1" x14ac:dyDescent="0.3">
      <c r="I117" s="207">
        <v>18</v>
      </c>
      <c r="J117" s="208">
        <f t="shared" si="24"/>
        <v>6.1345202022632686</v>
      </c>
    </row>
    <row r="118" spans="2:36" ht="15" customHeight="1" x14ac:dyDescent="0.3">
      <c r="I118" s="207">
        <v>19</v>
      </c>
      <c r="J118" s="208">
        <f t="shared" si="24"/>
        <v>6.4753268801667829</v>
      </c>
    </row>
    <row r="119" spans="2:36" ht="15" customHeight="1" x14ac:dyDescent="0.3">
      <c r="I119" s="207">
        <v>20</v>
      </c>
      <c r="J119" s="208">
        <f t="shared" si="24"/>
        <v>6.8161335580702973</v>
      </c>
    </row>
    <row r="120" spans="2:36" ht="15" customHeight="1" x14ac:dyDescent="0.3">
      <c r="I120" s="207">
        <v>21</v>
      </c>
      <c r="J120" s="208">
        <f t="shared" si="24"/>
        <v>7.1569402359738126</v>
      </c>
    </row>
    <row r="121" spans="2:36" ht="15" customHeight="1" x14ac:dyDescent="0.3">
      <c r="I121" s="207">
        <v>22</v>
      </c>
      <c r="J121" s="208">
        <f t="shared" si="24"/>
        <v>7.4977469138773278</v>
      </c>
      <c r="K121" s="169" t="s">
        <v>423</v>
      </c>
      <c r="T121" s="169" t="s">
        <v>423</v>
      </c>
      <c r="AD121" s="169" t="s">
        <v>423</v>
      </c>
    </row>
    <row r="122" spans="2:36" ht="15" customHeight="1" x14ac:dyDescent="0.3">
      <c r="I122" s="207">
        <v>23</v>
      </c>
      <c r="J122" s="208">
        <f t="shared" si="24"/>
        <v>7.8385535917808431</v>
      </c>
      <c r="N122" s="609" t="s">
        <v>424</v>
      </c>
      <c r="O122" s="609"/>
      <c r="P122" s="78">
        <f>MAX(BG64:BG94)</f>
        <v>10.46498112197402</v>
      </c>
      <c r="Q122" s="31" t="s">
        <v>427</v>
      </c>
      <c r="W122" s="609" t="s">
        <v>424</v>
      </c>
      <c r="X122" s="609"/>
      <c r="Y122" s="78">
        <f>MAX(BO64:BO94)</f>
        <v>11.181009880708917</v>
      </c>
      <c r="Z122" s="31" t="s">
        <v>427</v>
      </c>
      <c r="AG122" s="609" t="s">
        <v>424</v>
      </c>
      <c r="AH122" s="609"/>
      <c r="AI122" s="78">
        <f>MAX(BW64:BW94)</f>
        <v>13.266685238476615</v>
      </c>
      <c r="AJ122" s="31" t="s">
        <v>427</v>
      </c>
    </row>
    <row r="123" spans="2:36" ht="15" customHeight="1" thickBot="1" x14ac:dyDescent="0.35">
      <c r="I123" s="209">
        <v>24</v>
      </c>
      <c r="J123" s="210">
        <f t="shared" si="24"/>
        <v>8.1793602696843575</v>
      </c>
      <c r="L123" s="610" t="s">
        <v>425</v>
      </c>
      <c r="M123" s="610"/>
      <c r="N123" s="610"/>
      <c r="O123" s="610"/>
      <c r="P123" s="28">
        <f>VLOOKUP(P122,BG64:BH94,2,FALSE)</f>
        <v>30</v>
      </c>
      <c r="Q123" s="31" t="s">
        <v>749</v>
      </c>
      <c r="U123" s="610" t="s">
        <v>425</v>
      </c>
      <c r="V123" s="610"/>
      <c r="W123" s="610"/>
      <c r="X123" s="610"/>
      <c r="Y123" s="28">
        <f>VLOOKUP(Y122,BO64:BP94,2,FALSE)</f>
        <v>30</v>
      </c>
      <c r="Z123" s="31" t="s">
        <v>749</v>
      </c>
      <c r="AE123" s="610" t="s">
        <v>425</v>
      </c>
      <c r="AF123" s="610"/>
      <c r="AG123" s="610"/>
      <c r="AH123" s="610"/>
      <c r="AI123" s="28">
        <f>VLOOKUP(AI122,BW64:BX94,2,FALSE)</f>
        <v>30</v>
      </c>
      <c r="AJ123" s="31" t="s">
        <v>749</v>
      </c>
    </row>
    <row r="124" spans="2:36" ht="15" customHeight="1" x14ac:dyDescent="0.3"/>
    <row r="125" spans="2:36" ht="15" customHeight="1" x14ac:dyDescent="0.3">
      <c r="B125" s="598" t="s">
        <v>738</v>
      </c>
      <c r="C125" s="598"/>
      <c r="D125" s="598"/>
      <c r="E125" s="598"/>
      <c r="F125" s="598"/>
      <c r="G125" s="598"/>
      <c r="H125" s="598"/>
      <c r="I125" s="598"/>
      <c r="J125" s="598"/>
    </row>
    <row r="126" spans="2:36" ht="15" customHeight="1" x14ac:dyDescent="0.3"/>
    <row r="127" spans="2:36" ht="15" customHeight="1" x14ac:dyDescent="0.3">
      <c r="B127" s="70" t="s">
        <v>82</v>
      </c>
      <c r="C127" s="31" t="s">
        <v>739</v>
      </c>
    </row>
    <row r="128" spans="2:36" ht="15" customHeight="1" x14ac:dyDescent="0.3"/>
    <row r="129" spans="1:8" ht="15" customHeight="1" x14ac:dyDescent="0.3">
      <c r="B129" s="169" t="s">
        <v>750</v>
      </c>
    </row>
    <row r="130" spans="1:8" ht="15" customHeight="1" x14ac:dyDescent="0.3"/>
    <row r="131" spans="1:8" ht="15" customHeight="1" x14ac:dyDescent="0.3">
      <c r="B131" s="24" t="s">
        <v>335</v>
      </c>
      <c r="D131" s="16"/>
      <c r="E131" s="16"/>
    </row>
    <row r="132" spans="1:8" ht="15" customHeight="1" x14ac:dyDescent="0.3">
      <c r="D132" s="16"/>
      <c r="E132" s="16"/>
    </row>
    <row r="133" spans="1:8" ht="15" customHeight="1" x14ac:dyDescent="0.3">
      <c r="B133" s="23" t="s">
        <v>358</v>
      </c>
      <c r="C133" s="190">
        <f>C9</f>
        <v>2039.3996629999999</v>
      </c>
      <c r="D133" s="169" t="s">
        <v>359</v>
      </c>
      <c r="E133" s="21" t="s">
        <v>360</v>
      </c>
    </row>
    <row r="134" spans="1:8" ht="15" customHeight="1" x14ac:dyDescent="0.3">
      <c r="B134" s="23" t="s">
        <v>363</v>
      </c>
      <c r="C134" s="190">
        <f>C10</f>
        <v>83.9</v>
      </c>
      <c r="D134" s="21" t="s">
        <v>267</v>
      </c>
      <c r="E134" s="21" t="s">
        <v>364</v>
      </c>
    </row>
    <row r="135" spans="1:8" ht="15" customHeight="1" x14ac:dyDescent="0.3">
      <c r="B135" s="23" t="s">
        <v>30</v>
      </c>
      <c r="C135" s="344">
        <f>Cuadros!J9</f>
        <v>4.5089392133492251E-2</v>
      </c>
      <c r="D135" s="21" t="s">
        <v>741</v>
      </c>
      <c r="E135" s="21" t="s">
        <v>740</v>
      </c>
    </row>
    <row r="136" spans="1:8" ht="15" customHeight="1" x14ac:dyDescent="0.3">
      <c r="B136" s="23" t="s">
        <v>440</v>
      </c>
      <c r="C136" s="192">
        <f>C73</f>
        <v>86</v>
      </c>
      <c r="D136" s="21"/>
      <c r="E136" s="36" t="s">
        <v>339</v>
      </c>
    </row>
    <row r="137" spans="1:8" ht="15" customHeight="1" x14ac:dyDescent="0.3">
      <c r="A137" t="s">
        <v>755</v>
      </c>
      <c r="B137" s="23" t="s">
        <v>752</v>
      </c>
      <c r="C137" s="197" t="s">
        <v>755</v>
      </c>
      <c r="D137" s="21"/>
      <c r="E137" s="36" t="s">
        <v>753</v>
      </c>
    </row>
    <row r="138" spans="1:8" ht="15" customHeight="1" x14ac:dyDescent="0.3">
      <c r="A138" t="s">
        <v>754</v>
      </c>
      <c r="B138" s="23"/>
      <c r="C138" s="190"/>
      <c r="E138" s="24"/>
    </row>
    <row r="139" spans="1:8" ht="15" customHeight="1" x14ac:dyDescent="0.3">
      <c r="B139" s="24" t="s">
        <v>340</v>
      </c>
    </row>
    <row r="140" spans="1:8" ht="15" customHeight="1" x14ac:dyDescent="0.3"/>
    <row r="141" spans="1:8" ht="15" customHeight="1" x14ac:dyDescent="0.3">
      <c r="B141" s="36" t="s">
        <v>742</v>
      </c>
      <c r="E141" s="23" t="s">
        <v>751</v>
      </c>
      <c r="F141" s="213">
        <v>3</v>
      </c>
      <c r="G141" s="21" t="s">
        <v>756</v>
      </c>
    </row>
    <row r="142" spans="1:8" ht="15" customHeight="1" x14ac:dyDescent="0.3">
      <c r="H142" s="36"/>
    </row>
    <row r="143" spans="1:8" ht="15" customHeight="1" x14ac:dyDescent="0.3">
      <c r="A143" s="351">
        <f>0.3*((C134)/((C135)^0.25))^0.76</f>
        <v>15.664127615311775</v>
      </c>
      <c r="B143" s="23" t="s">
        <v>443</v>
      </c>
      <c r="C143" s="190">
        <f>0.3*((C134)/((C135)^0.25))^0.76</f>
        <v>15.664127615311775</v>
      </c>
      <c r="D143" s="21" t="s">
        <v>288</v>
      </c>
      <c r="E143" s="220" t="s">
        <v>757</v>
      </c>
    </row>
    <row r="144" spans="1:8" ht="15" customHeight="1" x14ac:dyDescent="0.3">
      <c r="A144" t="e">
        <f>(1/(1+SQRT(F141*(2-F141))))*0.3*((C134)/((C135)^0.25))^0.76</f>
        <v>#NUM!</v>
      </c>
      <c r="B144" s="23" t="s">
        <v>443</v>
      </c>
      <c r="C144" s="192">
        <f>C143*60</f>
        <v>939.84765691870655</v>
      </c>
      <c r="D144" s="21" t="s">
        <v>382</v>
      </c>
    </row>
    <row r="145" spans="2:5" ht="15" customHeight="1" x14ac:dyDescent="0.3">
      <c r="B145" s="23"/>
      <c r="C145" s="192"/>
      <c r="D145" s="21"/>
      <c r="E145" s="220" t="s">
        <v>758</v>
      </c>
    </row>
    <row r="146" spans="2:5" ht="15" customHeight="1" x14ac:dyDescent="0.3">
      <c r="B146" s="23"/>
      <c r="C146" s="192"/>
      <c r="D146" s="21"/>
      <c r="E146" s="23"/>
    </row>
    <row r="147" spans="2:5" ht="15" customHeight="1" x14ac:dyDescent="0.3">
      <c r="B147" s="23"/>
      <c r="C147" s="192"/>
      <c r="D147" s="21"/>
      <c r="E147" s="220" t="s">
        <v>759</v>
      </c>
    </row>
    <row r="148" spans="2:5" ht="15" customHeight="1" x14ac:dyDescent="0.3">
      <c r="B148" s="23"/>
      <c r="C148" s="192"/>
      <c r="D148" s="21"/>
    </row>
    <row r="149" spans="2:5" ht="15" customHeight="1" x14ac:dyDescent="0.3"/>
    <row r="150" spans="2:5" ht="15" customHeight="1" x14ac:dyDescent="0.3">
      <c r="B150" s="36" t="s">
        <v>743</v>
      </c>
    </row>
    <row r="151" spans="2:5" ht="15" customHeight="1" x14ac:dyDescent="0.3"/>
    <row r="152" spans="2:5" ht="15" customHeight="1" x14ac:dyDescent="0.3">
      <c r="B152" s="23" t="s">
        <v>111</v>
      </c>
      <c r="C152" s="190">
        <f>1+(C143^1.25)/((C143^1.25)+14)</f>
        <v>1.6900085369564497</v>
      </c>
      <c r="D152" s="21"/>
      <c r="E152" s="36"/>
    </row>
    <row r="153" spans="2:5" ht="15" customHeight="1" x14ac:dyDescent="0.3"/>
    <row r="154" spans="2:5" ht="15" customHeight="1" x14ac:dyDescent="0.3">
      <c r="B154" s="36" t="s">
        <v>744</v>
      </c>
    </row>
    <row r="155" spans="2:5" ht="15" customHeight="1" x14ac:dyDescent="0.3"/>
    <row r="156" spans="2:5" ht="15" customHeight="1" x14ac:dyDescent="0.35">
      <c r="B156" s="23" t="s">
        <v>745</v>
      </c>
      <c r="C156" s="190">
        <f>IF(C133&gt;1,1-(LOG10(C133))/15,1)</f>
        <v>0.77936651045321037</v>
      </c>
      <c r="D156" s="21"/>
    </row>
    <row r="157" spans="2:5" ht="15" customHeight="1" x14ac:dyDescent="0.3">
      <c r="B157" s="23"/>
      <c r="C157" s="190"/>
      <c r="D157" s="21"/>
    </row>
    <row r="158" spans="2:5" ht="15" customHeight="1" x14ac:dyDescent="0.3">
      <c r="B158" s="36" t="s">
        <v>747</v>
      </c>
      <c r="C158" s="190"/>
      <c r="D158" s="21"/>
    </row>
    <row r="159" spans="2:5" ht="15" customHeight="1" x14ac:dyDescent="0.3">
      <c r="B159" s="23"/>
      <c r="C159" s="190"/>
      <c r="D159" s="21"/>
    </row>
    <row r="160" spans="2:5" ht="15" customHeight="1" x14ac:dyDescent="0.3">
      <c r="B160" s="23" t="s">
        <v>746</v>
      </c>
      <c r="C160" s="101">
        <f>(5000/C136)-50</f>
        <v>8.1395348837209269</v>
      </c>
      <c r="D160" s="21" t="s">
        <v>3</v>
      </c>
    </row>
    <row r="161" spans="2:10" ht="15" customHeight="1" x14ac:dyDescent="0.3"/>
    <row r="162" spans="2:10" ht="15" customHeight="1" x14ac:dyDescent="0.3">
      <c r="B162" s="24" t="s">
        <v>392</v>
      </c>
    </row>
    <row r="163" spans="2:10" ht="15" customHeight="1" thickBot="1" x14ac:dyDescent="0.35"/>
    <row r="164" spans="2:10" ht="15" customHeight="1" thickBot="1" x14ac:dyDescent="0.35">
      <c r="B164" s="352" t="s">
        <v>764</v>
      </c>
      <c r="C164" s="218" t="s">
        <v>762</v>
      </c>
      <c r="D164" s="218" t="s">
        <v>763</v>
      </c>
      <c r="E164" s="218" t="s">
        <v>760</v>
      </c>
      <c r="F164" s="218" t="s">
        <v>761</v>
      </c>
      <c r="G164" s="218" t="s">
        <v>766</v>
      </c>
      <c r="H164" s="283" t="s">
        <v>767</v>
      </c>
      <c r="I164" s="283" t="s">
        <v>602</v>
      </c>
      <c r="J164" s="219" t="s">
        <v>765</v>
      </c>
    </row>
    <row r="165" spans="2:10" ht="15" customHeight="1" x14ac:dyDescent="0.3">
      <c r="B165" s="348">
        <f>P24h_1!AP37</f>
        <v>2</v>
      </c>
      <c r="C165" s="391">
        <f>P24h_1!AQ37</f>
        <v>21.678240799372862</v>
      </c>
      <c r="D165" s="391">
        <f>$C$156*C165</f>
        <v>16.895294884571641</v>
      </c>
      <c r="E165" s="391">
        <f>IDF_1!$BI$198*(B165^IDF_1!$BI$199)/((60)^IDF_1!$BI$200)</f>
        <v>11.041010472742242</v>
      </c>
      <c r="F165" s="391">
        <f>C165/24</f>
        <v>0.90326003330720261</v>
      </c>
      <c r="G165" s="166">
        <f>E165/F165</f>
        <v>12.223512682518022</v>
      </c>
      <c r="H165" s="166">
        <f>(D165/24)*(G165^(((28^0.1)-($C$143^0.1))/((28^0.1)-1)))</f>
        <v>1.1588793157692341</v>
      </c>
      <c r="I165" s="347">
        <f t="shared" ref="I165:I176" si="25">((C165-$C$160)*(C165+23*$C$160))/((C165+11*$C$160)^2)</f>
        <v>0.22865337275699812</v>
      </c>
      <c r="J165" s="392">
        <f t="shared" ref="J165:J176" si="26">0.278*I165*H165*$C$133*$C$152</f>
        <v>253.89366269802352</v>
      </c>
    </row>
    <row r="166" spans="2:10" ht="15" customHeight="1" x14ac:dyDescent="0.3">
      <c r="B166" s="349">
        <f>P24h_1!AP38</f>
        <v>5</v>
      </c>
      <c r="C166" s="364">
        <f>P24h_1!AQ38</f>
        <v>29.012126430950175</v>
      </c>
      <c r="D166" s="364">
        <f t="shared" ref="D166:D176" si="27">$C$156*C166</f>
        <v>22.611079737316992</v>
      </c>
      <c r="E166" s="364">
        <f>IDF_1!$BI$198*(B166^IDF_1!$BI$199)/((60)^IDF_1!$BI$200)</f>
        <v>12.622758611962425</v>
      </c>
      <c r="F166" s="364">
        <f t="shared" ref="F166:F176" si="28">C166/24</f>
        <v>1.2088386012895906</v>
      </c>
      <c r="G166" s="115">
        <f t="shared" ref="G166:G176" si="29">E166/F166</f>
        <v>10.442054545988562</v>
      </c>
      <c r="H166" s="115">
        <f t="shared" ref="H166:H176" si="30">(D166/24)*(G166^(((28^0.1)-($C$143^0.1))/((28^0.1)-1)))</f>
        <v>1.5030445315642231</v>
      </c>
      <c r="I166" s="345">
        <f t="shared" si="25"/>
        <v>0.32113962573931071</v>
      </c>
      <c r="J166" s="393">
        <f t="shared" si="26"/>
        <v>462.48939884798966</v>
      </c>
    </row>
    <row r="167" spans="2:10" ht="15" customHeight="1" x14ac:dyDescent="0.3">
      <c r="B167" s="349">
        <f>P24h_1!AP39</f>
        <v>10</v>
      </c>
      <c r="C167" s="364">
        <f>P24h_1!AQ39</f>
        <v>33.229465718568122</v>
      </c>
      <c r="D167" s="364">
        <f t="shared" si="27"/>
        <v>25.897932741305016</v>
      </c>
      <c r="E167" s="364">
        <f>IDF_1!$BI$198*(B167^IDF_1!$BI$199)/((60)^IDF_1!$BI$200)</f>
        <v>13.96817335026812</v>
      </c>
      <c r="F167" s="364">
        <f t="shared" si="28"/>
        <v>1.3845610716070051</v>
      </c>
      <c r="G167" s="115">
        <f t="shared" si="29"/>
        <v>10.088520930359406</v>
      </c>
      <c r="H167" s="115">
        <f t="shared" si="30"/>
        <v>1.7097676680004505</v>
      </c>
      <c r="I167" s="345">
        <f t="shared" si="25"/>
        <v>0.36698043057377711</v>
      </c>
      <c r="J167" s="393">
        <f t="shared" si="26"/>
        <v>601.19594640570153</v>
      </c>
    </row>
    <row r="168" spans="2:10" ht="15" customHeight="1" x14ac:dyDescent="0.3">
      <c r="B168" s="349">
        <f>P24h_1!AP40</f>
        <v>20</v>
      </c>
      <c r="C168" s="364">
        <f>P24h_1!AQ40</f>
        <v>36.915997161120472</v>
      </c>
      <c r="D168" s="364">
        <f t="shared" si="27"/>
        <v>28.771091887363085</v>
      </c>
      <c r="E168" s="364">
        <f>IDF_1!$BI$198*(B168^IDF_1!$BI$199)/((60)^IDF_1!$BI$200)</f>
        <v>15.456991038253511</v>
      </c>
      <c r="F168" s="364">
        <f t="shared" si="28"/>
        <v>1.5381665483800198</v>
      </c>
      <c r="G168" s="115">
        <f t="shared" si="29"/>
        <v>10.048971000268239</v>
      </c>
      <c r="H168" s="115">
        <f t="shared" si="30"/>
        <v>1.8979670288430199</v>
      </c>
      <c r="I168" s="345">
        <f t="shared" si="25"/>
        <v>0.40335232654682557</v>
      </c>
      <c r="J168" s="393">
        <f t="shared" si="26"/>
        <v>733.51545291064758</v>
      </c>
    </row>
    <row r="169" spans="2:10" ht="15" customHeight="1" x14ac:dyDescent="0.3">
      <c r="B169" s="349">
        <f>P24h_1!AP41</f>
        <v>25</v>
      </c>
      <c r="C169" s="364">
        <f>P24h_1!AQ41</f>
        <v>38.025281803448721</v>
      </c>
      <c r="D169" s="364">
        <f t="shared" si="27"/>
        <v>29.635631188153788</v>
      </c>
      <c r="E169" s="364">
        <f>IDF_1!$BI$198*(B169^IDF_1!$BI$199)/((60)^IDF_1!$BI$200)</f>
        <v>15.969270284252284</v>
      </c>
      <c r="F169" s="364">
        <f t="shared" si="28"/>
        <v>1.5843867418103634</v>
      </c>
      <c r="G169" s="115">
        <f t="shared" si="29"/>
        <v>10.07914915142837</v>
      </c>
      <c r="H169" s="115">
        <f t="shared" si="30"/>
        <v>1.9561664777795202</v>
      </c>
      <c r="I169" s="345">
        <f t="shared" si="25"/>
        <v>0.41368430298742337</v>
      </c>
      <c r="J169" s="393">
        <f t="shared" si="26"/>
        <v>775.37338922805088</v>
      </c>
    </row>
    <row r="170" spans="2:10" ht="15" customHeight="1" x14ac:dyDescent="0.3">
      <c r="B170" s="349">
        <f>P24h_1!AP44</f>
        <v>50</v>
      </c>
      <c r="C170" s="364">
        <f>P24h_1!AQ44</f>
        <v>41.291723892266013</v>
      </c>
      <c r="D170" s="364">
        <f t="shared" si="27"/>
        <v>32.181386760512815</v>
      </c>
      <c r="E170" s="364">
        <f>IDF_1!$BI$198*(B170^IDF_1!$BI$199)/((60)^IDF_1!$BI$200)</f>
        <v>17.671377744348909</v>
      </c>
      <c r="F170" s="364">
        <f t="shared" si="28"/>
        <v>1.720488495511084</v>
      </c>
      <c r="G170" s="115">
        <f t="shared" si="29"/>
        <v>10.271139731800121</v>
      </c>
      <c r="H170" s="115">
        <f t="shared" si="30"/>
        <v>2.1322009693147366</v>
      </c>
      <c r="I170" s="345">
        <f t="shared" si="25"/>
        <v>0.4425967335258964</v>
      </c>
      <c r="J170" s="393">
        <f t="shared" si="26"/>
        <v>904.21639733115046</v>
      </c>
    </row>
    <row r="171" spans="2:10" ht="15" customHeight="1" x14ac:dyDescent="0.3">
      <c r="B171" s="349">
        <f>P24h_1!AP46</f>
        <v>75</v>
      </c>
      <c r="C171" s="364">
        <f>P24h_1!AQ46</f>
        <v>43.100058851484796</v>
      </c>
      <c r="D171" s="364">
        <f t="shared" si="27"/>
        <v>33.590742467409704</v>
      </c>
      <c r="E171" s="364">
        <f>IDF_1!$BI$198*(B171^IDF_1!$BI$199)/((60)^IDF_1!$BI$200)</f>
        <v>18.749953040318147</v>
      </c>
      <c r="F171" s="364">
        <f t="shared" si="28"/>
        <v>1.7958357854785332</v>
      </c>
      <c r="G171" s="115">
        <f t="shared" si="29"/>
        <v>10.440794861052332</v>
      </c>
      <c r="H171" s="115">
        <f t="shared" si="30"/>
        <v>2.2328508641434941</v>
      </c>
      <c r="I171" s="345">
        <f t="shared" si="25"/>
        <v>0.45769231071394789</v>
      </c>
      <c r="J171" s="393">
        <f t="shared" si="26"/>
        <v>979.19541355520153</v>
      </c>
    </row>
    <row r="172" spans="2:10" ht="15" customHeight="1" x14ac:dyDescent="0.3">
      <c r="B172" s="349">
        <f>P24h_1!AP47</f>
        <v>100</v>
      </c>
      <c r="C172" s="364">
        <f>P24h_1!AQ47</f>
        <v>44.345476961094342</v>
      </c>
      <c r="D172" s="364">
        <f t="shared" si="27"/>
        <v>34.561379633551333</v>
      </c>
      <c r="E172" s="364">
        <f>IDF_1!$BI$198*(B172^IDF_1!$BI$199)/((60)^IDF_1!$BI$200)</f>
        <v>19.554906756848823</v>
      </c>
      <c r="F172" s="364">
        <f t="shared" si="28"/>
        <v>1.8477282067122642</v>
      </c>
      <c r="G172" s="115">
        <f t="shared" si="29"/>
        <v>10.58321601944024</v>
      </c>
      <c r="H172" s="115">
        <f t="shared" si="30"/>
        <v>2.3035775217750123</v>
      </c>
      <c r="I172" s="345">
        <f t="shared" si="25"/>
        <v>0.4677349841926467</v>
      </c>
      <c r="J172" s="393">
        <f t="shared" si="26"/>
        <v>1032.3779586084304</v>
      </c>
    </row>
    <row r="173" spans="2:10" ht="15" customHeight="1" x14ac:dyDescent="0.3">
      <c r="B173" s="349">
        <f>P24h_1!AP49</f>
        <v>150</v>
      </c>
      <c r="C173" s="364">
        <f>P24h_1!AQ49</f>
        <v>46.05463834635961</v>
      </c>
      <c r="D173" s="364">
        <f t="shared" si="27"/>
        <v>35.893442778186902</v>
      </c>
      <c r="E173" s="364">
        <f>IDF_1!$BI$198*(B173^IDF_1!$BI$199)/((60)^IDF_1!$BI$200)</f>
        <v>20.748443539778137</v>
      </c>
      <c r="F173" s="364">
        <f t="shared" si="28"/>
        <v>1.9189432644316504</v>
      </c>
      <c r="G173" s="115">
        <f t="shared" si="29"/>
        <v>10.812431990230507</v>
      </c>
      <c r="H173" s="115">
        <f t="shared" si="30"/>
        <v>2.402590994096593</v>
      </c>
      <c r="I173" s="345">
        <f t="shared" si="25"/>
        <v>0.48106924570018456</v>
      </c>
      <c r="J173" s="393">
        <f t="shared" si="26"/>
        <v>1107.4483390613116</v>
      </c>
    </row>
    <row r="174" spans="2:10" ht="15" customHeight="1" x14ac:dyDescent="0.3">
      <c r="B174" s="349">
        <f>P24h_1!AP50</f>
        <v>200</v>
      </c>
      <c r="C174" s="364">
        <f>P24h_1!AQ50</f>
        <v>47.238109107904457</v>
      </c>
      <c r="D174" s="364">
        <f t="shared" si="27"/>
        <v>36.815800255835512</v>
      </c>
      <c r="E174" s="364">
        <f>IDF_1!$BI$198*(B174^IDF_1!$BI$199)/((60)^IDF_1!$BI$200)</f>
        <v>21.639194396788707</v>
      </c>
      <c r="F174" s="364">
        <f t="shared" si="28"/>
        <v>1.9682545461626857</v>
      </c>
      <c r="G174" s="115">
        <f t="shared" si="29"/>
        <v>10.994103602593748</v>
      </c>
      <c r="H174" s="115">
        <f t="shared" si="30"/>
        <v>2.472520498018786</v>
      </c>
      <c r="I174" s="345">
        <f t="shared" si="25"/>
        <v>0.49001081152509529</v>
      </c>
      <c r="J174" s="393">
        <f t="shared" si="26"/>
        <v>1160.8646877283302</v>
      </c>
    </row>
    <row r="175" spans="2:10" ht="15" customHeight="1" x14ac:dyDescent="0.3">
      <c r="B175" s="349">
        <f>P24h_1!AP51</f>
        <v>500</v>
      </c>
      <c r="C175" s="364">
        <f>P24h_1!AQ51</f>
        <v>50.871238809632288</v>
      </c>
      <c r="D175" s="364">
        <f t="shared" si="27"/>
        <v>39.647339873495042</v>
      </c>
      <c r="E175" s="364">
        <f>IDF_1!$BI$198*(B175^IDF_1!$BI$199)/((60)^IDF_1!$BI$200)</f>
        <v>24.739250823312791</v>
      </c>
      <c r="F175" s="364">
        <f t="shared" si="28"/>
        <v>2.1196349504013452</v>
      </c>
      <c r="G175" s="115">
        <f t="shared" si="29"/>
        <v>11.67146768297461</v>
      </c>
      <c r="H175" s="115">
        <f t="shared" si="30"/>
        <v>2.6945733969298673</v>
      </c>
      <c r="I175" s="345">
        <f t="shared" si="25"/>
        <v>0.51606216454695697</v>
      </c>
      <c r="J175" s="393">
        <f t="shared" si="26"/>
        <v>1332.3799077964679</v>
      </c>
    </row>
    <row r="176" spans="2:10" ht="15" customHeight="1" thickBot="1" x14ac:dyDescent="0.35">
      <c r="B176" s="350">
        <f>P24h_1!AP52</f>
        <v>1000</v>
      </c>
      <c r="C176" s="374">
        <f>P24h_1!AQ52</f>
        <v>53.504639886556831</v>
      </c>
      <c r="D176" s="374">
        <f t="shared" si="27"/>
        <v>41.69972448144145</v>
      </c>
      <c r="E176" s="374">
        <f>IDF_1!$BI$198*(B176^IDF_1!$BI$199)/((60)^IDF_1!$BI$200)</f>
        <v>27.376119173213976</v>
      </c>
      <c r="F176" s="374">
        <f t="shared" si="28"/>
        <v>2.2293599952732013</v>
      </c>
      <c r="G176" s="116">
        <f t="shared" si="29"/>
        <v>12.279810901450716</v>
      </c>
      <c r="H176" s="116">
        <f t="shared" si="30"/>
        <v>2.8628790278314336</v>
      </c>
      <c r="I176" s="346">
        <f t="shared" si="25"/>
        <v>0.53371702409076915</v>
      </c>
      <c r="J176" s="394">
        <f t="shared" si="26"/>
        <v>1464.0303855208751</v>
      </c>
    </row>
    <row r="177" spans="2:2" ht="15" customHeight="1" x14ac:dyDescent="0.3"/>
    <row r="178" spans="2:2" ht="15" customHeight="1" x14ac:dyDescent="0.3">
      <c r="B178" s="99" t="s">
        <v>748</v>
      </c>
    </row>
    <row r="179" spans="2:2" ht="15" customHeight="1" x14ac:dyDescent="0.3"/>
    <row r="180" spans="2:2" ht="15" customHeight="1" x14ac:dyDescent="0.3"/>
    <row r="181" spans="2:2" ht="15" customHeight="1" x14ac:dyDescent="0.3"/>
    <row r="182" spans="2:2" ht="15" customHeight="1" x14ac:dyDescent="0.3"/>
    <row r="183" spans="2:2" ht="15" customHeight="1" x14ac:dyDescent="0.3"/>
    <row r="184" spans="2:2" ht="15" customHeight="1" x14ac:dyDescent="0.3"/>
    <row r="185" spans="2:2" ht="15" customHeight="1" x14ac:dyDescent="0.3"/>
    <row r="186" spans="2:2" ht="15" customHeight="1" x14ac:dyDescent="0.3"/>
    <row r="187" spans="2:2" ht="15" customHeight="1" x14ac:dyDescent="0.3"/>
    <row r="188" spans="2:2" ht="15" customHeight="1" x14ac:dyDescent="0.3"/>
    <row r="189" spans="2:2" ht="15" customHeight="1" x14ac:dyDescent="0.3"/>
    <row r="190" spans="2:2" ht="15" customHeight="1" x14ac:dyDescent="0.3"/>
    <row r="191" spans="2:2" ht="15" customHeight="1" x14ac:dyDescent="0.3"/>
    <row r="192" spans="2:2" ht="15" customHeight="1" x14ac:dyDescent="0.3"/>
    <row r="193" ht="15" customHeight="1" x14ac:dyDescent="0.3"/>
  </sheetData>
  <mergeCells count="52">
    <mergeCell ref="B125:J125"/>
    <mergeCell ref="BJ62:BJ63"/>
    <mergeCell ref="BK62:BK63"/>
    <mergeCell ref="BR62:BR63"/>
    <mergeCell ref="BS62:BS63"/>
    <mergeCell ref="Z101:AA101"/>
    <mergeCell ref="AJ101:AK101"/>
    <mergeCell ref="BB62:BB63"/>
    <mergeCell ref="BC62:BC63"/>
    <mergeCell ref="B62:J62"/>
    <mergeCell ref="E100:E101"/>
    <mergeCell ref="F100:F101"/>
    <mergeCell ref="K62:S62"/>
    <mergeCell ref="I97:I98"/>
    <mergeCell ref="J97:J98"/>
    <mergeCell ref="P101:Q101"/>
    <mergeCell ref="B1:J1"/>
    <mergeCell ref="K1:S1"/>
    <mergeCell ref="N33:N34"/>
    <mergeCell ref="O33:O34"/>
    <mergeCell ref="I47:I48"/>
    <mergeCell ref="J47:J48"/>
    <mergeCell ref="R28:R29"/>
    <mergeCell ref="S28:S29"/>
    <mergeCell ref="BJ1:BJ2"/>
    <mergeCell ref="BK1:BK2"/>
    <mergeCell ref="BR1:BR2"/>
    <mergeCell ref="BS1:BS2"/>
    <mergeCell ref="AY1:AY2"/>
    <mergeCell ref="AZ1:AZ2"/>
    <mergeCell ref="BB1:BB2"/>
    <mergeCell ref="BC1:BC2"/>
    <mergeCell ref="T1:AC1"/>
    <mergeCell ref="AN1:AW1"/>
    <mergeCell ref="AD1:AM1"/>
    <mergeCell ref="AR60:AS60"/>
    <mergeCell ref="AP61:AS61"/>
    <mergeCell ref="X60:Y60"/>
    <mergeCell ref="V61:Y61"/>
    <mergeCell ref="AJ40:AK40"/>
    <mergeCell ref="AH60:AI60"/>
    <mergeCell ref="AF61:AI61"/>
    <mergeCell ref="Z40:AA40"/>
    <mergeCell ref="AT40:AU40"/>
    <mergeCell ref="N122:O122"/>
    <mergeCell ref="L123:O123"/>
    <mergeCell ref="T62:AC62"/>
    <mergeCell ref="AD62:AM62"/>
    <mergeCell ref="W122:X122"/>
    <mergeCell ref="U123:X123"/>
    <mergeCell ref="AG122:AH122"/>
    <mergeCell ref="AE123:AH123"/>
  </mergeCells>
  <dataValidations disablePrompts="1" count="1">
    <dataValidation type="list" allowBlank="1" showInputMessage="1" showErrorMessage="1" sqref="C137" xr:uid="{00000000-0002-0000-0700-000000000000}">
      <formula1>$A$137:$A$138</formula1>
    </dataValidation>
  </dataValidations>
  <printOptions horizontalCentered="1"/>
  <pageMargins left="0.78740157480314965" right="0.39370078740157483" top="0.86614173228346458" bottom="0.86614173228346458" header="0.31496062992125984" footer="0.31496062992125984"/>
  <pageSetup paperSize="9" scale="75" pageOrder="overThenDown" orientation="portrait" r:id="rId1"/>
  <headerFooter scaleWithDoc="0">
    <oddHeader xml:space="preserve">&amp;R&amp;"Arial Narrow,Negrita"&amp;9Ing. Aquiles Berrocal Rodríguez
&amp;"Arial Narrow,Normal"Ing. Civil – CIP: 196696
Especialista Hidrología, Hidráulica y Drenaje </oddHeader>
    <oddFooter>&amp;L&amp;"Arial Narrow,Normal"&amp;9Rev.:B - Marzo 2018
Proyecto: Rehabilitación de Defensa Izquierda Existente y Diseño de
Nuevas Defensas Ribereñas en ambas márgenes del Río Pisco - Ica&amp;R&amp;"Arial Narrow,Negrita"&amp;9ANEXO A: HIDROLOGIA</oddFooter>
  </headerFooter>
  <rowBreaks count="2" manualBreakCount="2">
    <brk id="61" min="1" max="48" man="1"/>
    <brk id="124" min="1" max="48" man="1"/>
  </rowBreaks>
  <colBreaks count="4" manualBreakCount="4">
    <brk id="10" max="181" man="1"/>
    <brk id="19" max="181" man="1"/>
    <brk id="29" max="181" man="1"/>
    <brk id="39" max="181" man="1"/>
  </col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0">
    <tabColor rgb="FF7030A0"/>
  </sheetPr>
  <dimension ref="B2:AC302"/>
  <sheetViews>
    <sheetView showGridLines="0" view="pageBreakPreview" topLeftCell="K1" zoomScaleNormal="100" zoomScaleSheetLayoutView="100" workbookViewId="0">
      <selection activeCell="H12" sqref="H12"/>
    </sheetView>
  </sheetViews>
  <sheetFormatPr baseColWidth="10" defaultColWidth="11.44140625" defaultRowHeight="14.4" x14ac:dyDescent="0.3"/>
  <cols>
    <col min="1" max="1" width="10.88671875" customWidth="1"/>
    <col min="2" max="2" width="24.44140625" customWidth="1"/>
    <col min="3" max="3" width="44.5546875" customWidth="1"/>
    <col min="4" max="16" width="9.6640625" customWidth="1"/>
    <col min="17" max="17" width="8.6640625" customWidth="1"/>
    <col min="18" max="19" width="7.6640625" customWidth="1"/>
    <col min="20" max="20" width="15.33203125" customWidth="1"/>
    <col min="21" max="21" width="5" customWidth="1"/>
  </cols>
  <sheetData>
    <row r="2" spans="2:29" ht="15" customHeight="1" x14ac:dyDescent="0.3">
      <c r="B2" s="667" t="s">
        <v>596</v>
      </c>
      <c r="C2" s="667"/>
      <c r="D2" s="667"/>
      <c r="E2" s="667"/>
      <c r="F2" s="667"/>
      <c r="G2" s="667"/>
      <c r="H2" s="667"/>
      <c r="I2" s="667"/>
      <c r="J2" s="667"/>
      <c r="K2" s="667"/>
      <c r="L2" s="667"/>
      <c r="M2" s="667"/>
      <c r="N2" s="667"/>
      <c r="O2" s="667"/>
      <c r="P2" s="281"/>
    </row>
    <row r="3" spans="2:29" ht="14.1" customHeight="1" x14ac:dyDescent="0.3"/>
    <row r="4" spans="2:29" ht="14.1" customHeight="1" x14ac:dyDescent="0.3">
      <c r="B4" s="282" t="s">
        <v>597</v>
      </c>
    </row>
    <row r="5" spans="2:29" ht="14.1" customHeight="1" thickBot="1" x14ac:dyDescent="0.35"/>
    <row r="6" spans="2:29" ht="14.1" customHeight="1" thickBot="1" x14ac:dyDescent="0.35">
      <c r="B6" s="668" t="s">
        <v>598</v>
      </c>
      <c r="C6" s="669"/>
      <c r="D6" s="674" t="s">
        <v>599</v>
      </c>
      <c r="E6" s="623"/>
      <c r="F6" s="623"/>
      <c r="G6" s="623"/>
      <c r="H6" s="623"/>
      <c r="I6" s="623"/>
      <c r="J6" s="623"/>
      <c r="K6" s="623"/>
      <c r="L6" s="623"/>
      <c r="M6" s="623"/>
      <c r="N6" s="623"/>
      <c r="O6" s="658"/>
      <c r="P6" s="239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</row>
    <row r="7" spans="2:29" ht="14.1" customHeight="1" thickBot="1" x14ac:dyDescent="0.35">
      <c r="B7" s="670"/>
      <c r="C7" s="671"/>
      <c r="D7" s="674" t="s">
        <v>600</v>
      </c>
      <c r="E7" s="623"/>
      <c r="F7" s="623"/>
      <c r="G7" s="623" t="s">
        <v>601</v>
      </c>
      <c r="H7" s="623"/>
      <c r="I7" s="623"/>
      <c r="J7" s="623" t="s">
        <v>602</v>
      </c>
      <c r="K7" s="623"/>
      <c r="L7" s="623"/>
      <c r="M7" s="623" t="s">
        <v>603</v>
      </c>
      <c r="N7" s="623"/>
      <c r="O7" s="658"/>
      <c r="P7" s="27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</row>
    <row r="8" spans="2:29" ht="14.1" customHeight="1" thickBot="1" x14ac:dyDescent="0.35">
      <c r="B8" s="672"/>
      <c r="C8" s="673"/>
      <c r="D8" s="272" t="s">
        <v>438</v>
      </c>
      <c r="E8" s="243" t="s">
        <v>604</v>
      </c>
      <c r="F8" s="283" t="s">
        <v>605</v>
      </c>
      <c r="G8" s="243" t="s">
        <v>606</v>
      </c>
      <c r="H8" s="243" t="s">
        <v>604</v>
      </c>
      <c r="I8" s="283" t="s">
        <v>605</v>
      </c>
      <c r="J8" s="243" t="s">
        <v>606</v>
      </c>
      <c r="K8" s="243" t="s">
        <v>604</v>
      </c>
      <c r="L8" s="283" t="s">
        <v>605</v>
      </c>
      <c r="M8" s="243" t="s">
        <v>606</v>
      </c>
      <c r="N8" s="243" t="s">
        <v>604</v>
      </c>
      <c r="O8" s="284" t="s">
        <v>605</v>
      </c>
      <c r="P8" s="27"/>
      <c r="S8" s="21"/>
      <c r="T8" s="21"/>
      <c r="U8" s="21"/>
      <c r="V8" s="21"/>
      <c r="W8" s="21"/>
      <c r="X8" s="21"/>
      <c r="AC8" s="21"/>
    </row>
    <row r="9" spans="2:29" ht="14.1" customHeight="1" x14ac:dyDescent="0.3">
      <c r="B9" s="298" t="s">
        <v>607</v>
      </c>
      <c r="C9" s="299" t="s">
        <v>609</v>
      </c>
      <c r="D9" s="300"/>
      <c r="E9" s="301">
        <f>IF($C$9="sin tratamientos de conservación",72,62)</f>
        <v>72</v>
      </c>
      <c r="F9" s="301">
        <f>D9*E9</f>
        <v>0</v>
      </c>
      <c r="G9" s="302">
        <v>5</v>
      </c>
      <c r="H9" s="301">
        <f>IF($C$9="sin tratamientos de conservación",81,71)</f>
        <v>81</v>
      </c>
      <c r="I9" s="301">
        <f>G9*H9</f>
        <v>405</v>
      </c>
      <c r="J9" s="302">
        <v>5</v>
      </c>
      <c r="K9" s="301">
        <f>IF($C$9="sin tratamientos de conservación",88,78)</f>
        <v>88</v>
      </c>
      <c r="L9" s="301">
        <f>J9*K9</f>
        <v>440</v>
      </c>
      <c r="M9" s="302"/>
      <c r="N9" s="301">
        <f>IF($C$9="sin tratamientos de conservación",91,81)</f>
        <v>91</v>
      </c>
      <c r="O9" s="303">
        <f>M9*N9</f>
        <v>0</v>
      </c>
      <c r="P9" s="192"/>
      <c r="S9" s="285"/>
      <c r="T9" s="21" t="s">
        <v>609</v>
      </c>
      <c r="U9" s="21"/>
      <c r="W9" s="21"/>
      <c r="X9" s="21"/>
      <c r="AC9" s="21"/>
    </row>
    <row r="10" spans="2:29" ht="14.1" customHeight="1" x14ac:dyDescent="0.3">
      <c r="B10" s="304" t="s">
        <v>610</v>
      </c>
      <c r="C10" s="305" t="s">
        <v>613</v>
      </c>
      <c r="D10" s="306"/>
      <c r="E10" s="274">
        <f>IF($C$10="condiciones pobres",68,39)</f>
        <v>68</v>
      </c>
      <c r="F10" s="274">
        <f t="shared" ref="F10:F18" si="0">D10*E10</f>
        <v>0</v>
      </c>
      <c r="G10" s="280">
        <v>5</v>
      </c>
      <c r="H10" s="274">
        <f>IF($C$10="condiciones pobres",79,61)</f>
        <v>79</v>
      </c>
      <c r="I10" s="274">
        <f t="shared" ref="I10:I18" si="1">G10*H10</f>
        <v>395</v>
      </c>
      <c r="J10" s="280">
        <v>20</v>
      </c>
      <c r="K10" s="274">
        <f>IF($C$10="condiciones pobres",86,74)</f>
        <v>86</v>
      </c>
      <c r="L10" s="274">
        <f t="shared" ref="L10:L18" si="2">J10*K10</f>
        <v>1720</v>
      </c>
      <c r="M10" s="280"/>
      <c r="N10" s="274">
        <f>IF($C$10="condiciones pobres",89,80)</f>
        <v>89</v>
      </c>
      <c r="O10" s="307">
        <f t="shared" ref="O10:O18" si="3">M10*N10</f>
        <v>0</v>
      </c>
      <c r="P10" s="192"/>
      <c r="S10" s="285"/>
      <c r="T10" s="21" t="s">
        <v>608</v>
      </c>
      <c r="U10" s="21"/>
      <c r="W10" s="21"/>
      <c r="X10" s="21"/>
      <c r="AC10" s="21"/>
    </row>
    <row r="11" spans="2:29" ht="14.1" customHeight="1" x14ac:dyDescent="0.3">
      <c r="B11" s="304" t="s">
        <v>612</v>
      </c>
      <c r="C11" s="305" t="s">
        <v>611</v>
      </c>
      <c r="D11" s="306"/>
      <c r="E11" s="274">
        <v>30</v>
      </c>
      <c r="F11" s="274">
        <f t="shared" si="0"/>
        <v>0</v>
      </c>
      <c r="G11" s="280"/>
      <c r="H11" s="274">
        <v>58</v>
      </c>
      <c r="I11" s="274">
        <f t="shared" si="1"/>
        <v>0</v>
      </c>
      <c r="J11" s="280">
        <v>12.5</v>
      </c>
      <c r="K11" s="274">
        <v>71</v>
      </c>
      <c r="L11" s="274">
        <f t="shared" si="2"/>
        <v>887.5</v>
      </c>
      <c r="M11" s="280"/>
      <c r="N11" s="274">
        <v>78</v>
      </c>
      <c r="O11" s="307">
        <f t="shared" si="3"/>
        <v>0</v>
      </c>
      <c r="P11" s="192"/>
      <c r="S11" s="285"/>
      <c r="T11" s="21" t="s">
        <v>613</v>
      </c>
      <c r="U11" s="21"/>
      <c r="W11" s="21"/>
      <c r="X11" s="21"/>
      <c r="AC11" s="21"/>
    </row>
    <row r="12" spans="2:29" ht="14.1" customHeight="1" x14ac:dyDescent="0.3">
      <c r="B12" s="304" t="s">
        <v>614</v>
      </c>
      <c r="C12" s="305" t="s">
        <v>618</v>
      </c>
      <c r="D12" s="306"/>
      <c r="E12" s="274">
        <f>IF($C$12="cubierta pobre",45,25)</f>
        <v>45</v>
      </c>
      <c r="F12" s="274">
        <f t="shared" si="0"/>
        <v>0</v>
      </c>
      <c r="G12" s="280">
        <v>5</v>
      </c>
      <c r="H12" s="274">
        <f>IF($C$12="cubierta pobre",66,55)</f>
        <v>66</v>
      </c>
      <c r="I12" s="274">
        <f t="shared" si="1"/>
        <v>330</v>
      </c>
      <c r="J12" s="280">
        <v>35</v>
      </c>
      <c r="K12" s="274">
        <f>IF($C$12="cubierta pobre",77,70)</f>
        <v>77</v>
      </c>
      <c r="L12" s="274">
        <f t="shared" si="2"/>
        <v>2695</v>
      </c>
      <c r="M12" s="280"/>
      <c r="N12" s="274">
        <f>IF($C$12="cubierta pobre",83,77)</f>
        <v>83</v>
      </c>
      <c r="O12" s="307">
        <f t="shared" si="3"/>
        <v>0</v>
      </c>
      <c r="P12" s="192"/>
      <c r="S12" s="285"/>
      <c r="T12" s="21" t="s">
        <v>611</v>
      </c>
      <c r="U12" s="21"/>
      <c r="W12" s="21"/>
      <c r="X12" s="21"/>
      <c r="AC12" s="21"/>
    </row>
    <row r="13" spans="2:29" ht="14.1" customHeight="1" x14ac:dyDescent="0.3">
      <c r="B13" s="304" t="s">
        <v>616</v>
      </c>
      <c r="C13" s="305" t="s">
        <v>624</v>
      </c>
      <c r="D13" s="306"/>
      <c r="E13" s="274">
        <f>IF($C$13="óptimas condiciones",39,49)</f>
        <v>49</v>
      </c>
      <c r="F13" s="274">
        <f t="shared" si="0"/>
        <v>0</v>
      </c>
      <c r="G13" s="280">
        <v>5</v>
      </c>
      <c r="H13" s="274">
        <f>IF($C$13="óptimas condiciones",61,69)</f>
        <v>69</v>
      </c>
      <c r="I13" s="274">
        <f t="shared" si="1"/>
        <v>345</v>
      </c>
      <c r="J13" s="280">
        <v>5</v>
      </c>
      <c r="K13" s="274">
        <f>IF($C$13="óptimas condiciones",74,79)</f>
        <v>79</v>
      </c>
      <c r="L13" s="274">
        <f t="shared" si="2"/>
        <v>395</v>
      </c>
      <c r="M13" s="280"/>
      <c r="N13" s="274">
        <f>IF($C$13="óptimas condiciones",80,84)</f>
        <v>84</v>
      </c>
      <c r="O13" s="307">
        <f t="shared" si="3"/>
        <v>0</v>
      </c>
      <c r="P13" s="192"/>
      <c r="S13" s="285"/>
      <c r="T13" s="21" t="s">
        <v>618</v>
      </c>
      <c r="U13" s="21"/>
      <c r="W13" s="21"/>
      <c r="X13" s="21"/>
      <c r="Y13" s="21"/>
      <c r="Z13" s="21"/>
      <c r="AA13" s="21"/>
      <c r="AB13" s="21"/>
      <c r="AC13" s="21"/>
    </row>
    <row r="14" spans="2:29" ht="14.1" customHeight="1" x14ac:dyDescent="0.3">
      <c r="B14" s="304" t="s">
        <v>619</v>
      </c>
      <c r="C14" s="305"/>
      <c r="D14" s="306"/>
      <c r="E14" s="274">
        <v>89</v>
      </c>
      <c r="F14" s="274">
        <f t="shared" si="0"/>
        <v>0</v>
      </c>
      <c r="G14" s="280"/>
      <c r="H14" s="274">
        <v>92</v>
      </c>
      <c r="I14" s="274">
        <f t="shared" si="1"/>
        <v>0</v>
      </c>
      <c r="J14" s="280">
        <v>0.5</v>
      </c>
      <c r="K14" s="274">
        <v>94</v>
      </c>
      <c r="L14" s="274">
        <f t="shared" si="2"/>
        <v>47</v>
      </c>
      <c r="M14" s="280"/>
      <c r="N14" s="274">
        <v>95</v>
      </c>
      <c r="O14" s="307">
        <f t="shared" si="3"/>
        <v>0</v>
      </c>
      <c r="P14" s="192"/>
      <c r="S14" s="285"/>
      <c r="T14" s="21" t="s">
        <v>615</v>
      </c>
      <c r="U14" s="21"/>
      <c r="W14" s="21"/>
      <c r="X14" s="21"/>
      <c r="Y14" s="21"/>
      <c r="Z14" s="21"/>
      <c r="AA14" s="21"/>
      <c r="AB14" s="21"/>
      <c r="AC14" s="21"/>
    </row>
    <row r="15" spans="2:29" ht="14.1" customHeight="1" x14ac:dyDescent="0.3">
      <c r="B15" s="304" t="s">
        <v>620</v>
      </c>
      <c r="C15" s="308"/>
      <c r="D15" s="306"/>
      <c r="E15" s="274">
        <v>81</v>
      </c>
      <c r="F15" s="274">
        <f t="shared" si="0"/>
        <v>0</v>
      </c>
      <c r="G15" s="280"/>
      <c r="H15" s="274">
        <v>88</v>
      </c>
      <c r="I15" s="274">
        <f t="shared" si="1"/>
        <v>0</v>
      </c>
      <c r="J15" s="280">
        <v>0.5</v>
      </c>
      <c r="K15" s="274">
        <v>91</v>
      </c>
      <c r="L15" s="274">
        <f t="shared" si="2"/>
        <v>45.5</v>
      </c>
      <c r="M15" s="280"/>
      <c r="N15" s="274">
        <v>93</v>
      </c>
      <c r="O15" s="307">
        <f t="shared" si="3"/>
        <v>0</v>
      </c>
      <c r="P15" s="192"/>
      <c r="S15" s="285"/>
      <c r="T15" s="21" t="s">
        <v>621</v>
      </c>
      <c r="U15" s="21"/>
      <c r="V15" s="21" t="s">
        <v>617</v>
      </c>
      <c r="W15" s="21"/>
      <c r="X15" s="21"/>
      <c r="Y15" s="21"/>
      <c r="Z15" s="21"/>
      <c r="AA15" s="21"/>
      <c r="AB15" s="21"/>
      <c r="AC15" s="21"/>
    </row>
    <row r="16" spans="2:29" ht="14.1" customHeight="1" x14ac:dyDescent="0.3">
      <c r="B16" s="304" t="s">
        <v>622</v>
      </c>
      <c r="C16" s="309" t="s">
        <v>677</v>
      </c>
      <c r="D16" s="310"/>
      <c r="E16" s="311">
        <f>IF(C16="506 m²  (65% impermeable)",77,IF(C16="1012 m²  (38% impermeable)",61,IF(C16="1349 m²  (30% impermeable)",57,IF(C16="2023 m²  (25% impermeable)",54,IF(C16="4047 m²  (20% impermeable)",51,"-")))))</f>
        <v>57</v>
      </c>
      <c r="F16" s="274">
        <f t="shared" si="0"/>
        <v>0</v>
      </c>
      <c r="G16" s="312"/>
      <c r="H16" s="311">
        <f>IF(C16="506 m²  (65% impermeable)",85,IF(C16="1012 m²  (38% impermeable)",75,IF(C16="1349 m²  (30% impermeable)",72,IF(C16="2023 m²  (25% impermeable)",70,IF(C16="4047 m²  (20% impermeable)",68,"-")))))</f>
        <v>72</v>
      </c>
      <c r="I16" s="274">
        <f t="shared" si="1"/>
        <v>0</v>
      </c>
      <c r="J16" s="312">
        <v>0.5</v>
      </c>
      <c r="K16" s="311">
        <f>IF(C16="506 m²  (65% impermeable)",90,IF(C16="1012 m²  (38% impermeable)",83,IF(C16="1349 m²  (30% impermeable)",81,IF(C16="2023 m²  (25% impermeable)",80,IF(C16="4047 m²  (20% impermeable)",79,"-")))))</f>
        <v>81</v>
      </c>
      <c r="L16" s="274">
        <f t="shared" si="2"/>
        <v>40.5</v>
      </c>
      <c r="M16" s="312"/>
      <c r="N16" s="311">
        <f>IF(C16="506 m²  (65% impermeable)",92,IF(C16="1012 m²  (38% impermeable)",87,IF(C16="1349 m²  (30% impermeable)",86,IF(C16="2023 m²  (25% impermeable)",85,IF(C16="4047 m²  (20% impermeable)",84,"-")))))</f>
        <v>86</v>
      </c>
      <c r="O16" s="307">
        <f t="shared" si="3"/>
        <v>0</v>
      </c>
      <c r="P16" s="192"/>
      <c r="S16" s="285"/>
      <c r="T16" s="286" t="s">
        <v>623</v>
      </c>
      <c r="U16" s="21"/>
      <c r="V16" s="21" t="s">
        <v>624</v>
      </c>
      <c r="W16" s="21"/>
      <c r="X16" s="21"/>
      <c r="Y16" s="21"/>
      <c r="Z16" s="21"/>
      <c r="AA16" s="21"/>
      <c r="AB16" s="21"/>
      <c r="AC16" s="21"/>
    </row>
    <row r="17" spans="2:29" ht="14.1" customHeight="1" x14ac:dyDescent="0.3">
      <c r="B17" s="304" t="s">
        <v>625</v>
      </c>
      <c r="C17" s="309"/>
      <c r="D17" s="310"/>
      <c r="E17" s="311">
        <v>98</v>
      </c>
      <c r="F17" s="274">
        <f t="shared" si="0"/>
        <v>0</v>
      </c>
      <c r="G17" s="312"/>
      <c r="H17" s="311">
        <v>98</v>
      </c>
      <c r="I17" s="274">
        <f t="shared" si="1"/>
        <v>0</v>
      </c>
      <c r="J17" s="312">
        <v>0.5</v>
      </c>
      <c r="K17" s="311">
        <v>98</v>
      </c>
      <c r="L17" s="274">
        <f t="shared" si="2"/>
        <v>49</v>
      </c>
      <c r="M17" s="312"/>
      <c r="N17" s="311">
        <v>98</v>
      </c>
      <c r="O17" s="307">
        <f t="shared" si="3"/>
        <v>0</v>
      </c>
      <c r="P17" s="192"/>
      <c r="S17" s="285"/>
      <c r="T17" s="286" t="s">
        <v>626</v>
      </c>
      <c r="U17" s="21"/>
      <c r="V17" s="21" t="s">
        <v>627</v>
      </c>
      <c r="W17" s="21"/>
      <c r="X17" s="21"/>
      <c r="Y17" s="21"/>
      <c r="Z17" s="21"/>
      <c r="AA17" s="21"/>
      <c r="AB17" s="21"/>
      <c r="AC17" s="21"/>
    </row>
    <row r="18" spans="2:29" ht="14.1" customHeight="1" thickBot="1" x14ac:dyDescent="0.35">
      <c r="B18" s="313" t="s">
        <v>628</v>
      </c>
      <c r="C18" s="314" t="s">
        <v>627</v>
      </c>
      <c r="D18" s="315"/>
      <c r="E18" s="279">
        <f>IF($C$18="pavimentados",98,IF($C$18="grava",76,72))</f>
        <v>72</v>
      </c>
      <c r="F18" s="279">
        <f t="shared" si="0"/>
        <v>0</v>
      </c>
      <c r="G18" s="316"/>
      <c r="H18" s="279">
        <f>IF($C$18="pavimentados",98,IF($C$18="grava",85,82))</f>
        <v>82</v>
      </c>
      <c r="I18" s="279">
        <f t="shared" si="1"/>
        <v>0</v>
      </c>
      <c r="J18" s="316">
        <v>0.5</v>
      </c>
      <c r="K18" s="279">
        <f>IF($C$18="pavimentados",98,IF($C$18="grava",89,87))</f>
        <v>87</v>
      </c>
      <c r="L18" s="279">
        <f t="shared" si="2"/>
        <v>43.5</v>
      </c>
      <c r="M18" s="316"/>
      <c r="N18" s="279">
        <f>IF($C$18="pavimentados",98,IF($C$18="grava",91,89))</f>
        <v>89</v>
      </c>
      <c r="O18" s="317">
        <f t="shared" si="3"/>
        <v>0</v>
      </c>
      <c r="P18" s="192"/>
      <c r="S18" s="285"/>
      <c r="T18" s="286" t="s">
        <v>630</v>
      </c>
      <c r="U18" s="21"/>
      <c r="V18" s="21" t="s">
        <v>631</v>
      </c>
      <c r="W18" s="21"/>
      <c r="X18" s="21"/>
      <c r="Y18" s="21"/>
      <c r="Z18" s="21"/>
      <c r="AA18" s="21"/>
      <c r="AB18" s="21"/>
      <c r="AC18" s="21"/>
    </row>
    <row r="19" spans="2:29" ht="14.1" customHeight="1" thickBot="1" x14ac:dyDescent="0.35">
      <c r="B19" s="21"/>
      <c r="C19" s="21"/>
      <c r="D19" s="287">
        <f>SUM(D9:D18)</f>
        <v>0</v>
      </c>
      <c r="E19" s="287"/>
      <c r="F19" s="287">
        <f>SUM(F9:F18)</f>
        <v>0</v>
      </c>
      <c r="G19" s="287">
        <f>SUM(G9:G18)</f>
        <v>20</v>
      </c>
      <c r="H19" s="287"/>
      <c r="I19" s="287">
        <f>SUM(I9:I18)</f>
        <v>1475</v>
      </c>
      <c r="J19" s="287">
        <f>SUM(J9:J18)</f>
        <v>80</v>
      </c>
      <c r="K19" s="287"/>
      <c r="L19" s="287">
        <f>SUM(L9:L18)</f>
        <v>6363</v>
      </c>
      <c r="M19" s="287">
        <f>SUM(M9:M18)</f>
        <v>0</v>
      </c>
      <c r="N19" s="287"/>
      <c r="O19" s="287">
        <f>SUM(O9:O18)</f>
        <v>0</v>
      </c>
      <c r="P19" s="288">
        <f>SUM(D19+G19+J19+M19)</f>
        <v>100</v>
      </c>
      <c r="S19" s="21"/>
      <c r="T19" s="286" t="s">
        <v>632</v>
      </c>
      <c r="U19" s="21"/>
      <c r="V19" s="21" t="s">
        <v>629</v>
      </c>
      <c r="W19" s="21"/>
      <c r="X19" s="21"/>
      <c r="Y19" s="21"/>
      <c r="Z19" s="21"/>
      <c r="AA19" s="21"/>
      <c r="AB19" s="21"/>
      <c r="AC19" s="21"/>
    </row>
    <row r="20" spans="2:29" ht="14.1" customHeight="1" x14ac:dyDescent="0.3">
      <c r="B20" s="21"/>
      <c r="C20" s="21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S20" s="21"/>
      <c r="T20" s="286" t="s">
        <v>633</v>
      </c>
      <c r="U20" s="21"/>
      <c r="V20" s="21"/>
      <c r="W20" s="21"/>
      <c r="X20" s="21"/>
      <c r="Y20" s="21"/>
      <c r="Z20" s="21"/>
      <c r="AA20" s="21"/>
      <c r="AB20" s="21"/>
      <c r="AC20" s="21"/>
    </row>
    <row r="21" spans="2:29" ht="14.1" customHeight="1" x14ac:dyDescent="0.3">
      <c r="B21" s="23" t="s">
        <v>92</v>
      </c>
      <c r="C21" s="21"/>
      <c r="D21" s="289"/>
      <c r="E21" s="193"/>
      <c r="F21" s="193"/>
      <c r="G21" s="193"/>
      <c r="H21" s="193"/>
      <c r="I21" s="193"/>
      <c r="J21" s="193"/>
      <c r="K21" s="193"/>
      <c r="L21" s="193"/>
      <c r="M21" s="193"/>
      <c r="N21" s="193"/>
      <c r="O21" s="193"/>
      <c r="P21" s="193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</row>
    <row r="22" spans="2:29" ht="14.1" customHeight="1" x14ac:dyDescent="0.3">
      <c r="B22" s="23"/>
      <c r="C22" s="25" t="s">
        <v>634</v>
      </c>
      <c r="D22" s="20">
        <f>ROUND((F19+I19+L19+O19)/100,1)</f>
        <v>78.400000000000006</v>
      </c>
      <c r="E22" s="36" t="s">
        <v>635</v>
      </c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</row>
    <row r="23" spans="2:29" ht="14.1" customHeight="1" x14ac:dyDescent="0.3">
      <c r="B23" s="76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</row>
    <row r="24" spans="2:29" ht="14.1" customHeight="1" x14ac:dyDescent="0.3">
      <c r="B24" s="23" t="s">
        <v>636</v>
      </c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</row>
    <row r="25" spans="2:29" ht="14.1" customHeight="1" x14ac:dyDescent="0.3">
      <c r="C25" s="25" t="s">
        <v>637</v>
      </c>
      <c r="D25" s="20">
        <f>(4.2*D22)/(10-0.058*D22)</f>
        <v>60.387323943661976</v>
      </c>
      <c r="E25" s="36" t="s">
        <v>638</v>
      </c>
    </row>
    <row r="26" spans="2:29" ht="14.1" customHeight="1" x14ac:dyDescent="0.3">
      <c r="C26" s="76"/>
    </row>
    <row r="27" spans="2:29" ht="14.1" customHeight="1" x14ac:dyDescent="0.3">
      <c r="C27" s="25" t="s">
        <v>639</v>
      </c>
      <c r="D27" s="20">
        <f>(23*D22)/(10+0.13*D22)</f>
        <v>89.302694136291606</v>
      </c>
      <c r="E27" s="36" t="s">
        <v>640</v>
      </c>
      <c r="X27" s="290"/>
    </row>
    <row r="28" spans="2:29" ht="14.1" customHeight="1" x14ac:dyDescent="0.3">
      <c r="D28" s="287"/>
      <c r="X28" s="290"/>
    </row>
    <row r="29" spans="2:29" ht="14.1" customHeight="1" x14ac:dyDescent="0.3">
      <c r="D29" s="287"/>
      <c r="X29" s="290"/>
    </row>
    <row r="30" spans="2:29" ht="14.1" customHeight="1" x14ac:dyDescent="0.3">
      <c r="D30" s="287"/>
      <c r="X30" s="290"/>
    </row>
    <row r="31" spans="2:29" ht="14.1" customHeight="1" x14ac:dyDescent="0.3">
      <c r="D31" s="287"/>
      <c r="X31" s="290"/>
    </row>
    <row r="32" spans="2:29" ht="14.1" customHeight="1" x14ac:dyDescent="0.3">
      <c r="D32" s="287"/>
      <c r="U32" t="s">
        <v>641</v>
      </c>
      <c r="X32" s="290"/>
    </row>
    <row r="33" spans="4:24" ht="14.1" customHeight="1" x14ac:dyDescent="0.3">
      <c r="D33" s="287"/>
      <c r="X33" s="290"/>
    </row>
    <row r="34" spans="4:24" ht="14.1" customHeight="1" x14ac:dyDescent="0.3">
      <c r="D34" s="287"/>
      <c r="X34" s="290"/>
    </row>
    <row r="35" spans="4:24" ht="14.1" customHeight="1" x14ac:dyDescent="0.3">
      <c r="D35" s="287"/>
      <c r="X35" s="290"/>
    </row>
    <row r="36" spans="4:24" ht="14.1" customHeight="1" x14ac:dyDescent="0.3">
      <c r="D36" s="287"/>
      <c r="X36" s="290"/>
    </row>
    <row r="37" spans="4:24" ht="14.1" customHeight="1" x14ac:dyDescent="0.3">
      <c r="D37" s="287"/>
      <c r="X37" s="290"/>
    </row>
    <row r="38" spans="4:24" ht="14.1" customHeight="1" x14ac:dyDescent="0.3">
      <c r="D38" s="287"/>
      <c r="X38" s="290"/>
    </row>
    <row r="39" spans="4:24" ht="14.1" customHeight="1" x14ac:dyDescent="0.3">
      <c r="D39" s="287"/>
      <c r="X39" s="290"/>
    </row>
    <row r="40" spans="4:24" ht="14.1" customHeight="1" x14ac:dyDescent="0.3">
      <c r="D40" s="287"/>
      <c r="X40" s="290"/>
    </row>
    <row r="41" spans="4:24" ht="14.1" customHeight="1" x14ac:dyDescent="0.3">
      <c r="D41" s="287"/>
      <c r="X41" s="290"/>
    </row>
    <row r="42" spans="4:24" ht="14.1" customHeight="1" x14ac:dyDescent="0.3">
      <c r="D42" s="287"/>
      <c r="X42" s="290"/>
    </row>
    <row r="43" spans="4:24" ht="14.1" customHeight="1" x14ac:dyDescent="0.3">
      <c r="D43" s="287"/>
      <c r="X43" s="290"/>
    </row>
    <row r="44" spans="4:24" ht="14.1" customHeight="1" x14ac:dyDescent="0.3">
      <c r="D44" s="287"/>
      <c r="X44" s="290"/>
    </row>
    <row r="45" spans="4:24" ht="14.1" customHeight="1" x14ac:dyDescent="0.3">
      <c r="D45" s="287"/>
      <c r="X45" s="290"/>
    </row>
    <row r="46" spans="4:24" ht="14.1" customHeight="1" x14ac:dyDescent="0.3">
      <c r="D46" s="287"/>
      <c r="X46" s="290"/>
    </row>
    <row r="47" spans="4:24" ht="14.1" customHeight="1" x14ac:dyDescent="0.3">
      <c r="D47" s="287"/>
      <c r="X47" s="290"/>
    </row>
    <row r="48" spans="4:24" ht="14.1" customHeight="1" x14ac:dyDescent="0.3">
      <c r="D48" s="287"/>
      <c r="X48" s="290"/>
    </row>
    <row r="49" spans="2:24" ht="14.1" customHeight="1" x14ac:dyDescent="0.3">
      <c r="D49" s="287"/>
      <c r="X49" s="290"/>
    </row>
    <row r="50" spans="2:24" ht="14.1" customHeight="1" x14ac:dyDescent="0.3">
      <c r="D50" s="287"/>
      <c r="X50" s="290"/>
    </row>
    <row r="51" spans="2:24" ht="14.1" customHeight="1" x14ac:dyDescent="0.3">
      <c r="D51" s="287"/>
      <c r="X51" s="290"/>
    </row>
    <row r="52" spans="2:24" ht="14.1" customHeight="1" x14ac:dyDescent="0.3">
      <c r="D52" s="287"/>
      <c r="X52" s="290"/>
    </row>
    <row r="53" spans="2:24" ht="14.1" customHeight="1" x14ac:dyDescent="0.3">
      <c r="X53" s="290"/>
    </row>
    <row r="54" spans="2:24" ht="14.1" customHeight="1" x14ac:dyDescent="0.3">
      <c r="X54" s="290"/>
    </row>
    <row r="55" spans="2:24" ht="14.1" customHeight="1" x14ac:dyDescent="0.3">
      <c r="X55" s="290"/>
    </row>
    <row r="56" spans="2:24" ht="14.1" customHeight="1" x14ac:dyDescent="0.3">
      <c r="X56" s="290"/>
    </row>
    <row r="57" spans="2:24" ht="14.1" customHeight="1" x14ac:dyDescent="0.3">
      <c r="X57" s="290"/>
    </row>
    <row r="58" spans="2:24" ht="14.1" customHeight="1" x14ac:dyDescent="0.3">
      <c r="X58" s="290"/>
    </row>
    <row r="59" spans="2:24" ht="14.1" customHeight="1" x14ac:dyDescent="0.3">
      <c r="X59" s="290"/>
    </row>
    <row r="60" spans="2:24" ht="14.1" customHeight="1" x14ac:dyDescent="0.3">
      <c r="J60" s="128"/>
      <c r="X60" s="290"/>
    </row>
    <row r="61" spans="2:24" ht="15" customHeight="1" x14ac:dyDescent="0.3">
      <c r="B61" s="667" t="s">
        <v>596</v>
      </c>
      <c r="C61" s="667"/>
      <c r="D61" s="667"/>
      <c r="E61" s="667"/>
      <c r="F61" s="667"/>
      <c r="G61" s="667"/>
      <c r="H61" s="667"/>
      <c r="I61" s="667"/>
      <c r="J61" s="667"/>
      <c r="K61" s="667"/>
      <c r="L61" s="667"/>
      <c r="M61" s="667"/>
      <c r="N61" s="667"/>
      <c r="O61" s="667"/>
      <c r="P61" s="281"/>
    </row>
    <row r="62" spans="2:24" ht="14.1" customHeight="1" x14ac:dyDescent="0.3"/>
    <row r="63" spans="2:24" ht="14.1" customHeight="1" x14ac:dyDescent="0.3">
      <c r="B63" s="282" t="s">
        <v>642</v>
      </c>
      <c r="H63" s="560" t="s">
        <v>643</v>
      </c>
      <c r="I63" s="560"/>
      <c r="J63" s="638"/>
      <c r="K63" s="638"/>
      <c r="L63" s="638"/>
      <c r="M63" s="638"/>
      <c r="N63" s="638"/>
    </row>
    <row r="64" spans="2:24" ht="14.1" customHeight="1" thickBot="1" x14ac:dyDescent="0.35"/>
    <row r="65" spans="2:21" ht="14.1" customHeight="1" thickBot="1" x14ac:dyDescent="0.35">
      <c r="B65" s="622" t="s">
        <v>644</v>
      </c>
      <c r="C65" s="623"/>
      <c r="D65" s="623"/>
      <c r="E65" s="623"/>
      <c r="F65" s="623"/>
      <c r="G65" s="623" t="s">
        <v>599</v>
      </c>
      <c r="H65" s="623"/>
      <c r="I65" s="623"/>
      <c r="J65" s="623"/>
      <c r="K65" s="623"/>
      <c r="L65" s="623"/>
      <c r="M65" s="623"/>
      <c r="N65" s="658"/>
      <c r="O65" s="238"/>
      <c r="P65" s="238"/>
      <c r="Q65" s="238"/>
      <c r="R65" s="238"/>
      <c r="S65" s="238"/>
    </row>
    <row r="66" spans="2:21" ht="14.1" customHeight="1" x14ac:dyDescent="0.3">
      <c r="B66" s="659" t="s">
        <v>645</v>
      </c>
      <c r="C66" s="661" t="s">
        <v>646</v>
      </c>
      <c r="D66" s="583" t="s">
        <v>647</v>
      </c>
      <c r="E66" s="630"/>
      <c r="F66" s="584"/>
      <c r="G66" s="664" t="s">
        <v>600</v>
      </c>
      <c r="H66" s="665"/>
      <c r="I66" s="665" t="s">
        <v>601</v>
      </c>
      <c r="J66" s="665"/>
      <c r="K66" s="665" t="s">
        <v>602</v>
      </c>
      <c r="L66" s="665"/>
      <c r="M66" s="665" t="s">
        <v>603</v>
      </c>
      <c r="N66" s="666"/>
    </row>
    <row r="67" spans="2:21" ht="14.1" customHeight="1" thickBot="1" x14ac:dyDescent="0.35">
      <c r="B67" s="660"/>
      <c r="C67" s="662"/>
      <c r="D67" s="632"/>
      <c r="E67" s="633"/>
      <c r="F67" s="663"/>
      <c r="G67" s="291" t="s">
        <v>438</v>
      </c>
      <c r="H67" s="292" t="s">
        <v>604</v>
      </c>
      <c r="I67" s="292" t="s">
        <v>438</v>
      </c>
      <c r="J67" s="292" t="s">
        <v>604</v>
      </c>
      <c r="K67" s="292" t="s">
        <v>438</v>
      </c>
      <c r="L67" s="292" t="s">
        <v>604</v>
      </c>
      <c r="M67" s="292" t="s">
        <v>438</v>
      </c>
      <c r="N67" s="293" t="s">
        <v>604</v>
      </c>
    </row>
    <row r="68" spans="2:21" ht="14.1" customHeight="1" x14ac:dyDescent="0.3">
      <c r="B68" s="642" t="s">
        <v>648</v>
      </c>
      <c r="C68" s="318" t="s">
        <v>649</v>
      </c>
      <c r="D68" s="645" t="s">
        <v>532</v>
      </c>
      <c r="E68" s="646"/>
      <c r="F68" s="647"/>
      <c r="G68" s="319"/>
      <c r="H68" s="258">
        <v>77</v>
      </c>
      <c r="I68" s="320"/>
      <c r="J68" s="258">
        <v>86</v>
      </c>
      <c r="K68" s="320"/>
      <c r="L68" s="258">
        <v>91</v>
      </c>
      <c r="M68" s="320"/>
      <c r="N68" s="259">
        <v>94</v>
      </c>
      <c r="Q68" t="s">
        <v>650</v>
      </c>
      <c r="R68">
        <f>G68*H68</f>
        <v>0</v>
      </c>
      <c r="S68">
        <f>I68*J68</f>
        <v>0</v>
      </c>
      <c r="T68">
        <f>K68*L68</f>
        <v>0</v>
      </c>
      <c r="U68">
        <f>M68*N68</f>
        <v>0</v>
      </c>
    </row>
    <row r="69" spans="2:21" ht="14.1" customHeight="1" thickBot="1" x14ac:dyDescent="0.35">
      <c r="B69" s="654"/>
      <c r="C69" s="321" t="s">
        <v>651</v>
      </c>
      <c r="D69" s="651" t="s">
        <v>650</v>
      </c>
      <c r="E69" s="652"/>
      <c r="F69" s="653"/>
      <c r="G69" s="306"/>
      <c r="H69" s="322">
        <f>IF($D$69="pobre",76,74)</f>
        <v>76</v>
      </c>
      <c r="I69" s="323"/>
      <c r="J69" s="322">
        <f>IF($D$69="pobre",85,83)</f>
        <v>85</v>
      </c>
      <c r="K69" s="323"/>
      <c r="L69" s="322">
        <f>IF($D$69="pobre",90,88)</f>
        <v>90</v>
      </c>
      <c r="M69" s="323"/>
      <c r="N69" s="324">
        <f>IF($D$69="pobre",93,90)</f>
        <v>93</v>
      </c>
      <c r="Q69" t="s">
        <v>652</v>
      </c>
      <c r="R69">
        <f t="shared" ref="R69:R90" si="4">G69*H69</f>
        <v>0</v>
      </c>
      <c r="S69">
        <f t="shared" ref="S69:S90" si="5">I69*J69</f>
        <v>0</v>
      </c>
      <c r="T69">
        <f t="shared" ref="T69:T85" si="6">K69*L69</f>
        <v>0</v>
      </c>
      <c r="U69">
        <f t="shared" ref="U69:U85" si="7">M69*N69</f>
        <v>0</v>
      </c>
    </row>
    <row r="70" spans="2:21" ht="14.1" customHeight="1" x14ac:dyDescent="0.3">
      <c r="B70" s="655" t="s">
        <v>653</v>
      </c>
      <c r="C70" s="318" t="s">
        <v>654</v>
      </c>
      <c r="D70" s="645" t="s">
        <v>650</v>
      </c>
      <c r="E70" s="646"/>
      <c r="F70" s="647"/>
      <c r="G70" s="306"/>
      <c r="H70" s="322">
        <f>IF($D$70="pobre",72,67)</f>
        <v>72</v>
      </c>
      <c r="I70" s="323"/>
      <c r="J70" s="322">
        <f>IF($D$70="pobre",81,78)</f>
        <v>81</v>
      </c>
      <c r="K70" s="323"/>
      <c r="L70" s="322">
        <f>IF($D$70="pobre",88,85)</f>
        <v>88</v>
      </c>
      <c r="M70" s="323"/>
      <c r="N70" s="324">
        <f>IF($D$70="pobre",91,89)</f>
        <v>91</v>
      </c>
      <c r="R70">
        <f t="shared" si="4"/>
        <v>0</v>
      </c>
      <c r="S70">
        <f t="shared" si="5"/>
        <v>0</v>
      </c>
      <c r="T70">
        <f t="shared" si="6"/>
        <v>0</v>
      </c>
      <c r="U70">
        <f t="shared" si="7"/>
        <v>0</v>
      </c>
    </row>
    <row r="71" spans="2:21" ht="14.1" customHeight="1" x14ac:dyDescent="0.3">
      <c r="B71" s="656"/>
      <c r="C71" s="325" t="s">
        <v>655</v>
      </c>
      <c r="D71" s="648" t="s">
        <v>650</v>
      </c>
      <c r="E71" s="649"/>
      <c r="F71" s="650"/>
      <c r="G71" s="306"/>
      <c r="H71" s="322">
        <f>IF($D$71="pobre",71,64)</f>
        <v>71</v>
      </c>
      <c r="I71" s="323"/>
      <c r="J71" s="322">
        <f>IF($D$71="pobre",80,75)</f>
        <v>80</v>
      </c>
      <c r="K71" s="323"/>
      <c r="L71" s="322">
        <f>IF($D$71="pobre",87,82)</f>
        <v>87</v>
      </c>
      <c r="M71" s="323"/>
      <c r="N71" s="324">
        <f>IF($D$71="pobre",90,85)</f>
        <v>90</v>
      </c>
      <c r="R71">
        <f t="shared" si="4"/>
        <v>0</v>
      </c>
      <c r="S71">
        <f t="shared" si="5"/>
        <v>0</v>
      </c>
      <c r="T71">
        <f t="shared" si="6"/>
        <v>0</v>
      </c>
      <c r="U71">
        <f t="shared" si="7"/>
        <v>0</v>
      </c>
    </row>
    <row r="72" spans="2:21" ht="14.1" customHeight="1" x14ac:dyDescent="0.3">
      <c r="B72" s="656"/>
      <c r="C72" s="325" t="s">
        <v>656</v>
      </c>
      <c r="D72" s="648" t="s">
        <v>652</v>
      </c>
      <c r="E72" s="649"/>
      <c r="F72" s="650"/>
      <c r="G72" s="306"/>
      <c r="H72" s="322">
        <f>IF($D$72="pobre",70,65)</f>
        <v>65</v>
      </c>
      <c r="I72" s="323"/>
      <c r="J72" s="322">
        <f>IF($D$72="pobre",79,75)</f>
        <v>75</v>
      </c>
      <c r="K72" s="323"/>
      <c r="L72" s="322">
        <f>IF($D$72="pobre",84,82)</f>
        <v>82</v>
      </c>
      <c r="M72" s="323"/>
      <c r="N72" s="324">
        <f>IF($D$72="pobre",88,86)</f>
        <v>86</v>
      </c>
      <c r="R72">
        <f t="shared" si="4"/>
        <v>0</v>
      </c>
      <c r="S72">
        <f t="shared" si="5"/>
        <v>0</v>
      </c>
      <c r="T72">
        <f t="shared" si="6"/>
        <v>0</v>
      </c>
      <c r="U72">
        <f t="shared" si="7"/>
        <v>0</v>
      </c>
    </row>
    <row r="73" spans="2:21" ht="14.1" customHeight="1" x14ac:dyDescent="0.3">
      <c r="B73" s="656"/>
      <c r="C73" s="325" t="s">
        <v>657</v>
      </c>
      <c r="D73" s="648" t="s">
        <v>650</v>
      </c>
      <c r="E73" s="649"/>
      <c r="F73" s="650"/>
      <c r="G73" s="306"/>
      <c r="H73" s="322">
        <f>IF($D$73="pobre",69,64)</f>
        <v>69</v>
      </c>
      <c r="I73" s="323"/>
      <c r="J73" s="322">
        <f>IF($D$73="pobre",78,74)</f>
        <v>78</v>
      </c>
      <c r="K73" s="323"/>
      <c r="L73" s="322">
        <f>IF($D$73="pobre",83,81)</f>
        <v>83</v>
      </c>
      <c r="M73" s="323"/>
      <c r="N73" s="324">
        <f>IF($D$73="pobre",87,85)</f>
        <v>87</v>
      </c>
      <c r="R73">
        <f t="shared" si="4"/>
        <v>0</v>
      </c>
      <c r="S73">
        <f t="shared" si="5"/>
        <v>0</v>
      </c>
      <c r="T73">
        <f t="shared" si="6"/>
        <v>0</v>
      </c>
      <c r="U73">
        <f t="shared" si="7"/>
        <v>0</v>
      </c>
    </row>
    <row r="74" spans="2:21" ht="14.1" customHeight="1" x14ac:dyDescent="0.3">
      <c r="B74" s="656"/>
      <c r="C74" s="325" t="s">
        <v>658</v>
      </c>
      <c r="D74" s="648" t="s">
        <v>652</v>
      </c>
      <c r="E74" s="649"/>
      <c r="F74" s="650"/>
      <c r="G74" s="306"/>
      <c r="H74" s="322">
        <f>IF($D$74="pobre",66,62)</f>
        <v>62</v>
      </c>
      <c r="I74" s="323"/>
      <c r="J74" s="322">
        <f>IF($D$74="pobre",74,71)</f>
        <v>71</v>
      </c>
      <c r="K74" s="323"/>
      <c r="L74" s="322">
        <f>IF($D$74="pobre",80,78)</f>
        <v>78</v>
      </c>
      <c r="M74" s="323"/>
      <c r="N74" s="324">
        <f>IF($D$74="pobre",82,81)</f>
        <v>81</v>
      </c>
      <c r="R74">
        <f t="shared" si="4"/>
        <v>0</v>
      </c>
      <c r="S74">
        <f t="shared" si="5"/>
        <v>0</v>
      </c>
      <c r="T74">
        <f t="shared" si="6"/>
        <v>0</v>
      </c>
      <c r="U74">
        <f t="shared" si="7"/>
        <v>0</v>
      </c>
    </row>
    <row r="75" spans="2:21" ht="14.1" customHeight="1" thickBot="1" x14ac:dyDescent="0.35">
      <c r="B75" s="657"/>
      <c r="C75" s="321" t="s">
        <v>659</v>
      </c>
      <c r="D75" s="651" t="s">
        <v>652</v>
      </c>
      <c r="E75" s="652"/>
      <c r="F75" s="653"/>
      <c r="G75" s="306"/>
      <c r="H75" s="322">
        <f>IF($D$75="pobre",65,61)</f>
        <v>61</v>
      </c>
      <c r="I75" s="323"/>
      <c r="J75" s="322">
        <f>IF($D$75="pobre",73,70)</f>
        <v>70</v>
      </c>
      <c r="K75" s="323"/>
      <c r="L75" s="322">
        <f>IF($D$75="pobre",79,77)</f>
        <v>77</v>
      </c>
      <c r="M75" s="323"/>
      <c r="N75" s="324">
        <f>IF($D$75="pobre",81,80)</f>
        <v>80</v>
      </c>
      <c r="R75">
        <f t="shared" si="4"/>
        <v>0</v>
      </c>
      <c r="S75">
        <f t="shared" si="5"/>
        <v>0</v>
      </c>
      <c r="T75">
        <f t="shared" si="6"/>
        <v>0</v>
      </c>
      <c r="U75">
        <f t="shared" si="7"/>
        <v>0</v>
      </c>
    </row>
    <row r="76" spans="2:21" ht="14.1" customHeight="1" x14ac:dyDescent="0.3">
      <c r="B76" s="642" t="s">
        <v>660</v>
      </c>
      <c r="C76" s="318" t="s">
        <v>654</v>
      </c>
      <c r="D76" s="645" t="s">
        <v>650</v>
      </c>
      <c r="E76" s="646"/>
      <c r="F76" s="647"/>
      <c r="G76" s="306"/>
      <c r="H76" s="322">
        <f>IF($D$76="pobre",65,63)</f>
        <v>65</v>
      </c>
      <c r="I76" s="323"/>
      <c r="J76" s="322">
        <f>IF($D$76="pobre",76,75)</f>
        <v>76</v>
      </c>
      <c r="K76" s="323"/>
      <c r="L76" s="322">
        <f>IF($D$76="pobre",84,83)</f>
        <v>84</v>
      </c>
      <c r="M76" s="323"/>
      <c r="N76" s="324">
        <f>IF($D$76="pobre",88,87)</f>
        <v>88</v>
      </c>
      <c r="R76">
        <f t="shared" si="4"/>
        <v>0</v>
      </c>
      <c r="S76">
        <f t="shared" si="5"/>
        <v>0</v>
      </c>
      <c r="T76">
        <f t="shared" si="6"/>
        <v>0</v>
      </c>
      <c r="U76">
        <f t="shared" si="7"/>
        <v>0</v>
      </c>
    </row>
    <row r="77" spans="2:21" ht="14.1" customHeight="1" x14ac:dyDescent="0.3">
      <c r="B77" s="643"/>
      <c r="C77" s="325" t="s">
        <v>655</v>
      </c>
      <c r="D77" s="648" t="s">
        <v>650</v>
      </c>
      <c r="E77" s="649"/>
      <c r="F77" s="650"/>
      <c r="G77" s="306"/>
      <c r="H77" s="322">
        <f>IF($D$77="pobre",64,60)</f>
        <v>64</v>
      </c>
      <c r="I77" s="323"/>
      <c r="J77" s="322">
        <f>IF($D$77="pobre",75,72)</f>
        <v>75</v>
      </c>
      <c r="K77" s="323"/>
      <c r="L77" s="322">
        <f>IF($D$77="pobre",83,80)</f>
        <v>83</v>
      </c>
      <c r="M77" s="323"/>
      <c r="N77" s="324">
        <f>IF($D$77="pobre",86,84)</f>
        <v>86</v>
      </c>
      <c r="R77">
        <f t="shared" si="4"/>
        <v>0</v>
      </c>
      <c r="S77">
        <f t="shared" si="5"/>
        <v>0</v>
      </c>
      <c r="T77">
        <f t="shared" si="6"/>
        <v>0</v>
      </c>
      <c r="U77">
        <f t="shared" si="7"/>
        <v>0</v>
      </c>
    </row>
    <row r="78" spans="2:21" ht="14.1" customHeight="1" x14ac:dyDescent="0.3">
      <c r="B78" s="643"/>
      <c r="C78" s="325" t="s">
        <v>656</v>
      </c>
      <c r="D78" s="648" t="s">
        <v>650</v>
      </c>
      <c r="E78" s="649"/>
      <c r="F78" s="650"/>
      <c r="G78" s="306"/>
      <c r="H78" s="322">
        <f>IF($D$78="pobre",63,61)</f>
        <v>63</v>
      </c>
      <c r="I78" s="323"/>
      <c r="J78" s="322">
        <f>IF($D$78="pobre",74,73)</f>
        <v>74</v>
      </c>
      <c r="K78" s="323"/>
      <c r="L78" s="322">
        <f>IF($D$78="pobre",82,81)</f>
        <v>82</v>
      </c>
      <c r="M78" s="323"/>
      <c r="N78" s="324">
        <f>IF($D$78="pobre",85,84)</f>
        <v>85</v>
      </c>
      <c r="R78">
        <f t="shared" si="4"/>
        <v>0</v>
      </c>
      <c r="S78">
        <f t="shared" si="5"/>
        <v>0</v>
      </c>
      <c r="T78">
        <f t="shared" si="6"/>
        <v>0</v>
      </c>
      <c r="U78">
        <f t="shared" si="7"/>
        <v>0</v>
      </c>
    </row>
    <row r="79" spans="2:21" ht="14.1" customHeight="1" x14ac:dyDescent="0.3">
      <c r="B79" s="643"/>
      <c r="C79" s="325" t="s">
        <v>657</v>
      </c>
      <c r="D79" s="648" t="s">
        <v>650</v>
      </c>
      <c r="E79" s="649"/>
      <c r="F79" s="650"/>
      <c r="G79" s="306"/>
      <c r="H79" s="322">
        <f>IF($D$79="pobre",62,60)</f>
        <v>62</v>
      </c>
      <c r="I79" s="323"/>
      <c r="J79" s="322">
        <f>IF($D$79="pobre",73,72)</f>
        <v>73</v>
      </c>
      <c r="K79" s="323"/>
      <c r="L79" s="322">
        <f>IF($D$79="pobre",81,80)</f>
        <v>81</v>
      </c>
      <c r="M79" s="323"/>
      <c r="N79" s="324">
        <f>IF($D$79="pobre",84,83)</f>
        <v>84</v>
      </c>
      <c r="R79">
        <f t="shared" si="4"/>
        <v>0</v>
      </c>
      <c r="S79">
        <f t="shared" si="5"/>
        <v>0</v>
      </c>
      <c r="T79">
        <f t="shared" si="6"/>
        <v>0</v>
      </c>
      <c r="U79">
        <f t="shared" si="7"/>
        <v>0</v>
      </c>
    </row>
    <row r="80" spans="2:21" ht="14.1" customHeight="1" x14ac:dyDescent="0.3">
      <c r="B80" s="643"/>
      <c r="C80" s="325" t="s">
        <v>658</v>
      </c>
      <c r="D80" s="648" t="s">
        <v>652</v>
      </c>
      <c r="E80" s="649"/>
      <c r="F80" s="650"/>
      <c r="G80" s="306"/>
      <c r="H80" s="322">
        <f>IF($D$80="pobre",61,59)</f>
        <v>59</v>
      </c>
      <c r="I80" s="323"/>
      <c r="J80" s="322">
        <f>IF($D$80="pobre",72,70)</f>
        <v>70</v>
      </c>
      <c r="K80" s="323"/>
      <c r="L80" s="322">
        <f>IF($D$80="pobre",79,78)</f>
        <v>78</v>
      </c>
      <c r="M80" s="323"/>
      <c r="N80" s="324">
        <f>IF($D$80="pobre",82,81)</f>
        <v>81</v>
      </c>
      <c r="R80">
        <f t="shared" si="4"/>
        <v>0</v>
      </c>
      <c r="S80">
        <f t="shared" si="5"/>
        <v>0</v>
      </c>
      <c r="T80">
        <f t="shared" si="6"/>
        <v>0</v>
      </c>
      <c r="U80">
        <f t="shared" si="7"/>
        <v>0</v>
      </c>
    </row>
    <row r="81" spans="2:21" ht="14.1" customHeight="1" thickBot="1" x14ac:dyDescent="0.35">
      <c r="B81" s="654"/>
      <c r="C81" s="321" t="s">
        <v>659</v>
      </c>
      <c r="D81" s="651" t="s">
        <v>652</v>
      </c>
      <c r="E81" s="652"/>
      <c r="F81" s="653"/>
      <c r="G81" s="306"/>
      <c r="H81" s="322">
        <f>IF($D$81="pobre",60,58)</f>
        <v>58</v>
      </c>
      <c r="I81" s="323"/>
      <c r="J81" s="322">
        <f>IF($D$81="pobre",71,69)</f>
        <v>69</v>
      </c>
      <c r="K81" s="323"/>
      <c r="L81" s="322">
        <f>IF($D$81="pobre",78,77)</f>
        <v>77</v>
      </c>
      <c r="M81" s="323"/>
      <c r="N81" s="324">
        <f>IF($D$81="pobre",81,80)</f>
        <v>80</v>
      </c>
      <c r="R81">
        <f t="shared" si="4"/>
        <v>0</v>
      </c>
      <c r="S81">
        <f t="shared" si="5"/>
        <v>0</v>
      </c>
      <c r="T81">
        <f t="shared" si="6"/>
        <v>0</v>
      </c>
      <c r="U81">
        <f t="shared" si="7"/>
        <v>0</v>
      </c>
    </row>
    <row r="82" spans="2:21" ht="14.1" customHeight="1" x14ac:dyDescent="0.3">
      <c r="B82" s="642" t="s">
        <v>661</v>
      </c>
      <c r="C82" s="318" t="s">
        <v>654</v>
      </c>
      <c r="D82" s="645" t="s">
        <v>650</v>
      </c>
      <c r="E82" s="646"/>
      <c r="F82" s="647"/>
      <c r="G82" s="306"/>
      <c r="H82" s="322">
        <f>IF($D$82="pobre",66,58)</f>
        <v>66</v>
      </c>
      <c r="I82" s="323"/>
      <c r="J82" s="322">
        <f>IF($D$82="pobre",77,72)</f>
        <v>77</v>
      </c>
      <c r="K82" s="323"/>
      <c r="L82" s="322">
        <f>IF($D$82="pobre",85,81)</f>
        <v>85</v>
      </c>
      <c r="M82" s="323"/>
      <c r="N82" s="324">
        <f>IF($D$82="pobre",89,85)</f>
        <v>89</v>
      </c>
      <c r="R82">
        <f t="shared" si="4"/>
        <v>0</v>
      </c>
      <c r="S82">
        <f t="shared" si="5"/>
        <v>0</v>
      </c>
      <c r="T82">
        <f t="shared" si="6"/>
        <v>0</v>
      </c>
      <c r="U82">
        <f t="shared" si="7"/>
        <v>0</v>
      </c>
    </row>
    <row r="83" spans="2:21" ht="14.1" customHeight="1" x14ac:dyDescent="0.3">
      <c r="B83" s="643"/>
      <c r="C83" s="325" t="s">
        <v>656</v>
      </c>
      <c r="D83" s="648" t="s">
        <v>652</v>
      </c>
      <c r="E83" s="649"/>
      <c r="F83" s="650"/>
      <c r="G83" s="306"/>
      <c r="H83" s="322">
        <f>IF($D$83="pobre",64,55)</f>
        <v>55</v>
      </c>
      <c r="I83" s="323"/>
      <c r="J83" s="322">
        <f>IF($D$83="pobre",75,69)</f>
        <v>69</v>
      </c>
      <c r="K83" s="323"/>
      <c r="L83" s="322">
        <f>IF($D$83="pobre",83,78)</f>
        <v>78</v>
      </c>
      <c r="M83" s="323"/>
      <c r="N83" s="324">
        <f>IF($D$83="pobre",85,83)</f>
        <v>83</v>
      </c>
      <c r="R83">
        <f t="shared" si="4"/>
        <v>0</v>
      </c>
      <c r="S83">
        <f t="shared" si="5"/>
        <v>0</v>
      </c>
      <c r="T83">
        <f t="shared" si="6"/>
        <v>0</v>
      </c>
      <c r="U83">
        <f t="shared" si="7"/>
        <v>0</v>
      </c>
    </row>
    <row r="84" spans="2:21" ht="14.1" customHeight="1" thickBot="1" x14ac:dyDescent="0.35">
      <c r="B84" s="644"/>
      <c r="C84" s="321" t="s">
        <v>658</v>
      </c>
      <c r="D84" s="651" t="s">
        <v>652</v>
      </c>
      <c r="E84" s="652"/>
      <c r="F84" s="653"/>
      <c r="G84" s="306"/>
      <c r="H84" s="322">
        <f>IF($D$84="pobre",63,51)</f>
        <v>51</v>
      </c>
      <c r="I84" s="323"/>
      <c r="J84" s="322">
        <f>IF($D$84="pobre",73,67)</f>
        <v>67</v>
      </c>
      <c r="K84" s="323"/>
      <c r="L84" s="322">
        <f>IF($D$84="pobre",80,76)</f>
        <v>76</v>
      </c>
      <c r="M84" s="323"/>
      <c r="N84" s="324">
        <f>IF($D$84="pobre",83,80)</f>
        <v>80</v>
      </c>
      <c r="R84">
        <f t="shared" si="4"/>
        <v>0</v>
      </c>
      <c r="S84">
        <f t="shared" si="5"/>
        <v>0</v>
      </c>
      <c r="T84">
        <f t="shared" si="6"/>
        <v>0</v>
      </c>
      <c r="U84">
        <f t="shared" si="7"/>
        <v>0</v>
      </c>
    </row>
    <row r="85" spans="2:21" ht="14.1" customHeight="1" thickBot="1" x14ac:dyDescent="0.35">
      <c r="B85" s="617" t="s">
        <v>662</v>
      </c>
      <c r="C85" s="618"/>
      <c r="D85" s="619" t="s">
        <v>652</v>
      </c>
      <c r="E85" s="620"/>
      <c r="F85" s="639"/>
      <c r="G85" s="306"/>
      <c r="H85" s="322">
        <f>IF($D$85="pobre",68,IF($D$85="regular",49,39))</f>
        <v>39</v>
      </c>
      <c r="I85" s="323"/>
      <c r="J85" s="322">
        <f>IF($D$85="pobre",79,IF($D$85="regular",69,61))</f>
        <v>61</v>
      </c>
      <c r="K85" s="323"/>
      <c r="L85" s="322">
        <f>IF($D$85="pobre",86,IF($D$85="regular",79,74))</f>
        <v>74</v>
      </c>
      <c r="M85" s="323"/>
      <c r="N85" s="324">
        <f>IF($D$85="pobre",89,IF($D$85="regular",84,80))</f>
        <v>80</v>
      </c>
      <c r="O85" s="77"/>
      <c r="Q85" t="s">
        <v>650</v>
      </c>
      <c r="R85">
        <f t="shared" si="4"/>
        <v>0</v>
      </c>
      <c r="S85">
        <f t="shared" si="5"/>
        <v>0</v>
      </c>
      <c r="T85">
        <f t="shared" si="6"/>
        <v>0</v>
      </c>
      <c r="U85">
        <f t="shared" si="7"/>
        <v>0</v>
      </c>
    </row>
    <row r="86" spans="2:21" ht="14.1" customHeight="1" thickBot="1" x14ac:dyDescent="0.35">
      <c r="B86" s="617" t="s">
        <v>663</v>
      </c>
      <c r="C86" s="618"/>
      <c r="D86" s="619" t="s">
        <v>532</v>
      </c>
      <c r="E86" s="620"/>
      <c r="F86" s="639"/>
      <c r="G86" s="323"/>
      <c r="H86" s="322">
        <v>30</v>
      </c>
      <c r="I86" s="323"/>
      <c r="J86" s="322">
        <v>58</v>
      </c>
      <c r="K86" s="323"/>
      <c r="L86" s="322">
        <v>71</v>
      </c>
      <c r="M86" s="323"/>
      <c r="N86" s="324">
        <v>78</v>
      </c>
      <c r="Q86" t="s">
        <v>664</v>
      </c>
      <c r="R86">
        <f t="shared" si="4"/>
        <v>0</v>
      </c>
      <c r="S86">
        <f t="shared" si="5"/>
        <v>0</v>
      </c>
      <c r="T86">
        <f>K86*L86</f>
        <v>0</v>
      </c>
      <c r="U86">
        <f>M86*N86</f>
        <v>0</v>
      </c>
    </row>
    <row r="87" spans="2:21" ht="14.1" customHeight="1" thickBot="1" x14ac:dyDescent="0.35">
      <c r="B87" s="640" t="s">
        <v>665</v>
      </c>
      <c r="C87" s="641"/>
      <c r="D87" s="619" t="s">
        <v>664</v>
      </c>
      <c r="E87" s="620"/>
      <c r="F87" s="639"/>
      <c r="G87" s="323"/>
      <c r="H87" s="322">
        <f>IF($D$87="pobre",48,IF($D$87="regular",35,30))</f>
        <v>35</v>
      </c>
      <c r="I87" s="323"/>
      <c r="J87" s="322">
        <f>IF($D$87="pobre",67,IF($D$87="regular",56,48))</f>
        <v>56</v>
      </c>
      <c r="K87" s="323"/>
      <c r="L87" s="322">
        <f>IF($D$87="pobre",77,IF($D$87="regular",70,65))</f>
        <v>70</v>
      </c>
      <c r="M87" s="323"/>
      <c r="N87" s="324">
        <f>IF($D$87="pobre",83,IF($D$87="regular",77,73))</f>
        <v>77</v>
      </c>
      <c r="Q87" t="s">
        <v>652</v>
      </c>
      <c r="R87">
        <f t="shared" si="4"/>
        <v>0</v>
      </c>
      <c r="S87">
        <f t="shared" si="5"/>
        <v>0</v>
      </c>
      <c r="T87">
        <f>K87*L87</f>
        <v>0</v>
      </c>
      <c r="U87">
        <f>M87*N87</f>
        <v>0</v>
      </c>
    </row>
    <row r="88" spans="2:21" ht="14.1" customHeight="1" thickBot="1" x14ac:dyDescent="0.35">
      <c r="B88" s="617" t="s">
        <v>666</v>
      </c>
      <c r="C88" s="618"/>
      <c r="D88" s="619" t="s">
        <v>664</v>
      </c>
      <c r="E88" s="620"/>
      <c r="F88" s="639"/>
      <c r="G88" s="323"/>
      <c r="H88" s="322">
        <f>IF($D$88="pobre",57,IF($D$88="regular",43,32))</f>
        <v>43</v>
      </c>
      <c r="I88" s="323"/>
      <c r="J88" s="322">
        <f>IF($D$88="pobre",73,IF($D$88="regular",65,58))</f>
        <v>65</v>
      </c>
      <c r="K88" s="323"/>
      <c r="L88" s="322">
        <f>IF($D$88="pobre",82,IF($D$88="regular",76,72))</f>
        <v>76</v>
      </c>
      <c r="M88" s="323"/>
      <c r="N88" s="324">
        <f>IF($D$88="pobre",86,IF($D$88="regular",82,79))</f>
        <v>82</v>
      </c>
      <c r="R88">
        <f t="shared" si="4"/>
        <v>0</v>
      </c>
      <c r="S88">
        <f t="shared" si="5"/>
        <v>0</v>
      </c>
      <c r="T88">
        <f>K88*L88</f>
        <v>0</v>
      </c>
      <c r="U88">
        <f>M88*N88</f>
        <v>0</v>
      </c>
    </row>
    <row r="89" spans="2:21" ht="14.1" customHeight="1" thickBot="1" x14ac:dyDescent="0.35">
      <c r="B89" s="617" t="s">
        <v>667</v>
      </c>
      <c r="C89" s="618"/>
      <c r="D89" s="619" t="s">
        <v>664</v>
      </c>
      <c r="E89" s="620"/>
      <c r="F89" s="639"/>
      <c r="G89" s="323"/>
      <c r="H89" s="322">
        <f>IF($D$89="pobre",45,IF($D$89="regular",36,30))</f>
        <v>36</v>
      </c>
      <c r="I89" s="323"/>
      <c r="J89" s="322">
        <f>IF($D$89="pobre",66,IF($D$89="regular",60,55))</f>
        <v>60</v>
      </c>
      <c r="K89" s="323"/>
      <c r="L89" s="322">
        <f>IF($D$89="pobre",77,IF($D$89="regular",73,70))</f>
        <v>73</v>
      </c>
      <c r="M89" s="323"/>
      <c r="N89" s="324">
        <f>IF($D$89="pobre",83,IF($D$89="regular",79,77))</f>
        <v>79</v>
      </c>
      <c r="R89">
        <f t="shared" si="4"/>
        <v>0</v>
      </c>
      <c r="S89">
        <f t="shared" si="5"/>
        <v>0</v>
      </c>
      <c r="T89">
        <f>K89*L89</f>
        <v>0</v>
      </c>
      <c r="U89">
        <f>M89*N89</f>
        <v>0</v>
      </c>
    </row>
    <row r="90" spans="2:21" ht="14.1" customHeight="1" thickBot="1" x14ac:dyDescent="0.35">
      <c r="B90" s="617" t="s">
        <v>668</v>
      </c>
      <c r="C90" s="618"/>
      <c r="D90" s="619" t="s">
        <v>532</v>
      </c>
      <c r="E90" s="620"/>
      <c r="F90" s="639"/>
      <c r="G90" s="326"/>
      <c r="H90" s="327">
        <v>59</v>
      </c>
      <c r="I90" s="326"/>
      <c r="J90" s="327">
        <v>74</v>
      </c>
      <c r="K90" s="326"/>
      <c r="L90" s="327">
        <v>82</v>
      </c>
      <c r="M90" s="326"/>
      <c r="N90" s="328">
        <v>86</v>
      </c>
      <c r="R90">
        <f t="shared" si="4"/>
        <v>0</v>
      </c>
      <c r="S90">
        <f t="shared" si="5"/>
        <v>0</v>
      </c>
      <c r="T90">
        <f>K90*L90</f>
        <v>0</v>
      </c>
      <c r="U90">
        <f>M90*N90</f>
        <v>0</v>
      </c>
    </row>
    <row r="91" spans="2:21" ht="14.1" customHeight="1" thickBot="1" x14ac:dyDescent="0.35">
      <c r="G91" s="287">
        <f>SUM(G68:G90)</f>
        <v>0</v>
      </c>
      <c r="I91" s="287">
        <f>SUM(I68:I90)</f>
        <v>0</v>
      </c>
      <c r="K91" s="287">
        <f>SUM(K68:K90)</f>
        <v>0</v>
      </c>
      <c r="M91" s="287">
        <f>SUM(M68:M90)</f>
        <v>0</v>
      </c>
      <c r="P91" s="288">
        <f>SUM(G91+I91+K91+M91)</f>
        <v>0</v>
      </c>
      <c r="R91" s="294">
        <f>SUM(R68:R90)</f>
        <v>0</v>
      </c>
      <c r="S91" s="294">
        <f>SUM(S68:S90)</f>
        <v>0</v>
      </c>
      <c r="T91" s="294">
        <f>SUM(T68:T90)</f>
        <v>0</v>
      </c>
      <c r="U91" s="294">
        <f>SUM(U68:U90)</f>
        <v>0</v>
      </c>
    </row>
    <row r="92" spans="2:21" ht="14.1" customHeight="1" x14ac:dyDescent="0.3"/>
    <row r="93" spans="2:21" ht="14.1" customHeight="1" x14ac:dyDescent="0.3">
      <c r="B93" s="23" t="s">
        <v>92</v>
      </c>
      <c r="C93" s="21"/>
      <c r="D93" s="289"/>
      <c r="E93" s="193"/>
      <c r="F93" s="193"/>
    </row>
    <row r="94" spans="2:21" ht="14.1" customHeight="1" x14ac:dyDescent="0.3">
      <c r="B94" s="23"/>
      <c r="C94" s="25" t="s">
        <v>634</v>
      </c>
      <c r="D94" s="20">
        <f>ROUND((R91+S91+T91+U91)/100,2)</f>
        <v>0</v>
      </c>
      <c r="E94" s="36" t="s">
        <v>635</v>
      </c>
      <c r="F94" s="193"/>
    </row>
    <row r="95" spans="2:21" ht="14.1" customHeight="1" x14ac:dyDescent="0.3">
      <c r="B95" s="76"/>
    </row>
    <row r="96" spans="2:21" ht="14.1" customHeight="1" x14ac:dyDescent="0.3">
      <c r="B96" s="23" t="s">
        <v>636</v>
      </c>
    </row>
    <row r="97" spans="3:16" ht="14.1" customHeight="1" x14ac:dyDescent="0.3">
      <c r="C97" s="25" t="s">
        <v>637</v>
      </c>
      <c r="D97" s="20">
        <f>(4.2*D94)/(10-0.058*D94)</f>
        <v>0</v>
      </c>
      <c r="E97" s="36" t="s">
        <v>638</v>
      </c>
      <c r="P97" s="281"/>
    </row>
    <row r="98" spans="3:16" ht="14.1" customHeight="1" x14ac:dyDescent="0.3">
      <c r="C98" s="76"/>
    </row>
    <row r="99" spans="3:16" ht="14.1" customHeight="1" x14ac:dyDescent="0.3">
      <c r="C99" s="25" t="s">
        <v>639</v>
      </c>
      <c r="D99" s="20">
        <f>(23*D94)/(10+0.13*D94)</f>
        <v>0</v>
      </c>
      <c r="E99" s="36" t="s">
        <v>640</v>
      </c>
    </row>
    <row r="100" spans="3:16" ht="14.1" customHeight="1" x14ac:dyDescent="0.3"/>
    <row r="101" spans="3:16" ht="14.1" customHeight="1" x14ac:dyDescent="0.3"/>
    <row r="102" spans="3:16" ht="14.1" customHeight="1" x14ac:dyDescent="0.3"/>
    <row r="103" spans="3:16" ht="14.1" customHeight="1" x14ac:dyDescent="0.3"/>
    <row r="104" spans="3:16" ht="14.1" customHeight="1" x14ac:dyDescent="0.3"/>
    <row r="105" spans="3:16" ht="14.1" customHeight="1" x14ac:dyDescent="0.3"/>
    <row r="106" spans="3:16" ht="14.1" customHeight="1" x14ac:dyDescent="0.3"/>
    <row r="107" spans="3:16" ht="14.1" customHeight="1" x14ac:dyDescent="0.3"/>
    <row r="108" spans="3:16" ht="14.1" customHeight="1" x14ac:dyDescent="0.3"/>
    <row r="109" spans="3:16" ht="14.1" customHeight="1" x14ac:dyDescent="0.3"/>
    <row r="110" spans="3:16" ht="13.5" customHeight="1" x14ac:dyDescent="0.3"/>
    <row r="111" spans="3:16" ht="14.1" customHeight="1" x14ac:dyDescent="0.3"/>
    <row r="112" spans="3:16" ht="14.1" customHeight="1" x14ac:dyDescent="0.3"/>
    <row r="113" spans="2:21" ht="14.1" customHeight="1" x14ac:dyDescent="0.3"/>
    <row r="114" spans="2:21" ht="14.1" customHeight="1" x14ac:dyDescent="0.3"/>
    <row r="115" spans="2:21" ht="14.1" customHeight="1" x14ac:dyDescent="0.3"/>
    <row r="116" spans="2:21" ht="14.1" customHeight="1" x14ac:dyDescent="0.3"/>
    <row r="117" spans="2:21" ht="14.1" customHeight="1" x14ac:dyDescent="0.3"/>
    <row r="118" spans="2:21" ht="14.1" customHeight="1" x14ac:dyDescent="0.3"/>
    <row r="119" spans="2:21" ht="14.1" customHeight="1" x14ac:dyDescent="0.3">
      <c r="B119" s="282"/>
    </row>
    <row r="120" spans="2:21" ht="15" customHeight="1" x14ac:dyDescent="0.3">
      <c r="B120" s="536" t="s">
        <v>596</v>
      </c>
      <c r="C120" s="536"/>
      <c r="D120" s="536"/>
      <c r="E120" s="536"/>
      <c r="F120" s="536"/>
      <c r="G120" s="536"/>
      <c r="H120" s="536"/>
      <c r="I120" s="536"/>
      <c r="J120" s="536"/>
      <c r="K120" s="536"/>
      <c r="L120" s="536"/>
      <c r="M120" s="536"/>
      <c r="N120" s="536"/>
      <c r="O120" s="536"/>
    </row>
    <row r="121" spans="2:21" ht="14.1" customHeight="1" x14ac:dyDescent="0.3"/>
    <row r="122" spans="2:21" ht="14.1" customHeight="1" x14ac:dyDescent="0.3">
      <c r="B122" s="282" t="s">
        <v>669</v>
      </c>
      <c r="H122" s="560" t="s">
        <v>643</v>
      </c>
      <c r="I122" s="560"/>
      <c r="J122" s="638"/>
      <c r="K122" s="638"/>
      <c r="L122" s="638"/>
      <c r="M122" s="638"/>
      <c r="N122" s="638"/>
    </row>
    <row r="123" spans="2:21" ht="14.1" customHeight="1" thickBot="1" x14ac:dyDescent="0.35"/>
    <row r="124" spans="2:21" ht="14.1" customHeight="1" thickBot="1" x14ac:dyDescent="0.35">
      <c r="B124" s="622" t="s">
        <v>644</v>
      </c>
      <c r="C124" s="623"/>
      <c r="D124" s="623"/>
      <c r="E124" s="623"/>
      <c r="F124" s="624"/>
      <c r="G124" s="625" t="s">
        <v>599</v>
      </c>
      <c r="H124" s="626"/>
      <c r="I124" s="626"/>
      <c r="J124" s="626"/>
      <c r="K124" s="626"/>
      <c r="L124" s="626"/>
      <c r="M124" s="626"/>
      <c r="N124" s="627"/>
    </row>
    <row r="125" spans="2:21" ht="14.1" customHeight="1" x14ac:dyDescent="0.3">
      <c r="B125" s="625" t="s">
        <v>670</v>
      </c>
      <c r="C125" s="627"/>
      <c r="D125" s="583" t="s">
        <v>647</v>
      </c>
      <c r="E125" s="630"/>
      <c r="F125" s="631"/>
      <c r="G125" s="635" t="s">
        <v>600</v>
      </c>
      <c r="H125" s="636"/>
      <c r="I125" s="636" t="s">
        <v>601</v>
      </c>
      <c r="J125" s="636"/>
      <c r="K125" s="636" t="s">
        <v>602</v>
      </c>
      <c r="L125" s="636"/>
      <c r="M125" s="636" t="s">
        <v>603</v>
      </c>
      <c r="N125" s="637"/>
    </row>
    <row r="126" spans="2:21" ht="14.1" customHeight="1" thickBot="1" x14ac:dyDescent="0.35">
      <c r="B126" s="628"/>
      <c r="C126" s="629"/>
      <c r="D126" s="632"/>
      <c r="E126" s="633"/>
      <c r="F126" s="634"/>
      <c r="G126" s="295" t="s">
        <v>438</v>
      </c>
      <c r="H126" s="296" t="s">
        <v>604</v>
      </c>
      <c r="I126" s="296" t="s">
        <v>438</v>
      </c>
      <c r="J126" s="296" t="s">
        <v>604</v>
      </c>
      <c r="K126" s="296" t="s">
        <v>438</v>
      </c>
      <c r="L126" s="296" t="s">
        <v>604</v>
      </c>
      <c r="M126" s="296" t="s">
        <v>438</v>
      </c>
      <c r="N126" s="297" t="s">
        <v>604</v>
      </c>
    </row>
    <row r="127" spans="2:21" ht="14.1" customHeight="1" thickBot="1" x14ac:dyDescent="0.35">
      <c r="B127" s="617" t="s">
        <v>671</v>
      </c>
      <c r="C127" s="618"/>
      <c r="D127" s="619" t="s">
        <v>652</v>
      </c>
      <c r="E127" s="620"/>
      <c r="F127" s="621"/>
      <c r="G127" s="329"/>
      <c r="H127" s="330"/>
      <c r="I127" s="320"/>
      <c r="J127" s="258">
        <f>IF($D$127="pobre",80,IF($D$127="regular",71,62))</f>
        <v>62</v>
      </c>
      <c r="K127" s="320"/>
      <c r="L127" s="258">
        <f>IF($D$127="pobre",87,IF($D$127="regular",81,74))</f>
        <v>74</v>
      </c>
      <c r="M127" s="320"/>
      <c r="N127" s="259">
        <f>IF($D$127="pobre",93,IF($D$127="regular",89,85))</f>
        <v>85</v>
      </c>
      <c r="S127">
        <f>I127*J127</f>
        <v>0</v>
      </c>
      <c r="T127">
        <f>K127*L127</f>
        <v>0</v>
      </c>
      <c r="U127">
        <f>M127*N127</f>
        <v>0</v>
      </c>
    </row>
    <row r="128" spans="2:21" ht="14.1" customHeight="1" thickBot="1" x14ac:dyDescent="0.35">
      <c r="B128" s="617" t="s">
        <v>672</v>
      </c>
      <c r="C128" s="618"/>
      <c r="D128" s="619" t="s">
        <v>652</v>
      </c>
      <c r="E128" s="620"/>
      <c r="F128" s="621"/>
      <c r="G128" s="331"/>
      <c r="H128" s="332"/>
      <c r="I128" s="323"/>
      <c r="J128" s="322">
        <f>IF($D$128="pobre",66,IF($D$128="regular",48,30))</f>
        <v>30</v>
      </c>
      <c r="K128" s="323"/>
      <c r="L128" s="322">
        <f>IF($D$128="pobre",74,IF($D$128="regular",57,41))</f>
        <v>41</v>
      </c>
      <c r="M128" s="323"/>
      <c r="N128" s="324">
        <f>IF($D$128="pobre",79,IF($D$128="regular",63,48))</f>
        <v>48</v>
      </c>
      <c r="S128">
        <f>I128*J128</f>
        <v>0</v>
      </c>
      <c r="T128">
        <f>K128*L128</f>
        <v>0</v>
      </c>
      <c r="U128">
        <f>M128*N128</f>
        <v>0</v>
      </c>
    </row>
    <row r="129" spans="2:21" ht="14.1" customHeight="1" thickBot="1" x14ac:dyDescent="0.35">
      <c r="B129" s="617" t="s">
        <v>673</v>
      </c>
      <c r="C129" s="618"/>
      <c r="D129" s="619" t="s">
        <v>650</v>
      </c>
      <c r="E129" s="620"/>
      <c r="F129" s="621"/>
      <c r="G129" s="331"/>
      <c r="H129" s="332"/>
      <c r="I129" s="323"/>
      <c r="J129" s="322">
        <f>IF($D$129="pobre",75,IF($D$129="regular",58,41))</f>
        <v>75</v>
      </c>
      <c r="K129" s="323"/>
      <c r="L129" s="322">
        <f>IF($D$129="pobre",85,IF($D$129="regular",73,61))</f>
        <v>85</v>
      </c>
      <c r="M129" s="323"/>
      <c r="N129" s="324">
        <f>IF($D$129="pobre",89,IF($D$129="regular",80,71))</f>
        <v>89</v>
      </c>
      <c r="S129">
        <f>I129*J129</f>
        <v>0</v>
      </c>
      <c r="T129">
        <f>K129*L129</f>
        <v>0</v>
      </c>
      <c r="U129">
        <f>M129*N129</f>
        <v>0</v>
      </c>
    </row>
    <row r="130" spans="2:21" ht="14.1" customHeight="1" thickBot="1" x14ac:dyDescent="0.35">
      <c r="B130" s="617" t="s">
        <v>674</v>
      </c>
      <c r="C130" s="618"/>
      <c r="D130" s="619" t="s">
        <v>650</v>
      </c>
      <c r="E130" s="620"/>
      <c r="F130" s="621"/>
      <c r="G130" s="331"/>
      <c r="H130" s="332"/>
      <c r="I130" s="323"/>
      <c r="J130" s="322">
        <f>IF($D$130="pobre",67,IF($D$130="regular",51,35))</f>
        <v>67</v>
      </c>
      <c r="K130" s="323"/>
      <c r="L130" s="322">
        <f>IF($D$130="pobre",80,IF($D$130="regular",63,47))</f>
        <v>80</v>
      </c>
      <c r="M130" s="323"/>
      <c r="N130" s="324">
        <f>IF($D$130="pobre",85,IF($D$130="regular",70,55))</f>
        <v>85</v>
      </c>
      <c r="S130">
        <f>I130*J130</f>
        <v>0</v>
      </c>
      <c r="T130">
        <f>K130*L130</f>
        <v>0</v>
      </c>
      <c r="U130">
        <f>M130*N130</f>
        <v>0</v>
      </c>
    </row>
    <row r="131" spans="2:21" ht="14.1" customHeight="1" thickBot="1" x14ac:dyDescent="0.35">
      <c r="B131" s="617" t="s">
        <v>675</v>
      </c>
      <c r="C131" s="618"/>
      <c r="D131" s="619" t="s">
        <v>650</v>
      </c>
      <c r="E131" s="620"/>
      <c r="F131" s="621"/>
      <c r="G131" s="333"/>
      <c r="H131" s="327">
        <f>IF($D$131="pobre",63,IF($D$131="regular",55,49))</f>
        <v>63</v>
      </c>
      <c r="I131" s="326"/>
      <c r="J131" s="327">
        <f>IF($D$131="pobre",77,IF($D$131="regular",72,68))</f>
        <v>77</v>
      </c>
      <c r="K131" s="326"/>
      <c r="L131" s="327">
        <f>IF($D$131="pobre",85,IF($D$131="regular",81,79))</f>
        <v>85</v>
      </c>
      <c r="M131" s="326"/>
      <c r="N131" s="328">
        <f>IF($D$131="pobre",88,IF($D$131="regular",86,84))</f>
        <v>88</v>
      </c>
      <c r="R131">
        <f>G131*H131</f>
        <v>0</v>
      </c>
      <c r="S131">
        <f>I131*J131</f>
        <v>0</v>
      </c>
      <c r="T131">
        <f>K131*L131</f>
        <v>0</v>
      </c>
      <c r="U131">
        <f>M131*N131</f>
        <v>0</v>
      </c>
    </row>
    <row r="132" spans="2:21" ht="14.1" customHeight="1" thickBot="1" x14ac:dyDescent="0.35">
      <c r="B132" s="24"/>
      <c r="C132" s="24"/>
      <c r="D132" s="73"/>
      <c r="E132" s="73"/>
      <c r="F132" s="73"/>
      <c r="G132" s="287">
        <f>G131</f>
        <v>0</v>
      </c>
      <c r="I132" s="287">
        <f>SUM(I127:I131)</f>
        <v>0</v>
      </c>
      <c r="K132" s="287">
        <f>SUM(K127:K131)</f>
        <v>0</v>
      </c>
      <c r="M132" s="287">
        <f>SUM(M127:M131)</f>
        <v>0</v>
      </c>
      <c r="P132" s="288">
        <f>SUM(I132+K132+M132+G132)</f>
        <v>0</v>
      </c>
      <c r="R132" s="294">
        <f>R131</f>
        <v>0</v>
      </c>
      <c r="S132" s="294">
        <f>SUM(S127:S131)</f>
        <v>0</v>
      </c>
      <c r="T132" s="294">
        <f>SUM(T127:T131)</f>
        <v>0</v>
      </c>
      <c r="U132" s="294">
        <f>SUM(U127:U131)</f>
        <v>0</v>
      </c>
    </row>
    <row r="133" spans="2:21" ht="14.1" customHeight="1" x14ac:dyDescent="0.3"/>
    <row r="134" spans="2:21" ht="14.1" customHeight="1" x14ac:dyDescent="0.3">
      <c r="B134" s="23" t="s">
        <v>92</v>
      </c>
      <c r="C134" s="21"/>
      <c r="D134" s="289"/>
      <c r="E134" s="193"/>
      <c r="F134" s="193"/>
    </row>
    <row r="135" spans="2:21" ht="14.1" customHeight="1" x14ac:dyDescent="0.3">
      <c r="B135" s="23"/>
      <c r="C135" s="25" t="s">
        <v>634</v>
      </c>
      <c r="D135" s="20">
        <f>ROUND((S132+T132+U132+R132)/100,2)</f>
        <v>0</v>
      </c>
      <c r="E135" s="36" t="s">
        <v>676</v>
      </c>
      <c r="F135" s="193"/>
    </row>
    <row r="136" spans="2:21" ht="14.1" customHeight="1" x14ac:dyDescent="0.3">
      <c r="B136" s="76"/>
    </row>
    <row r="137" spans="2:21" ht="14.1" customHeight="1" x14ac:dyDescent="0.3">
      <c r="B137" s="23" t="s">
        <v>636</v>
      </c>
    </row>
    <row r="138" spans="2:21" ht="14.1" customHeight="1" x14ac:dyDescent="0.3">
      <c r="C138" s="25" t="s">
        <v>637</v>
      </c>
      <c r="D138" s="20">
        <f>(4.2*D135)/(10-0.058*D135)</f>
        <v>0</v>
      </c>
      <c r="E138" s="36" t="s">
        <v>638</v>
      </c>
    </row>
    <row r="139" spans="2:21" ht="14.1" customHeight="1" x14ac:dyDescent="0.3">
      <c r="C139" s="76"/>
    </row>
    <row r="140" spans="2:21" ht="14.1" customHeight="1" x14ac:dyDescent="0.3">
      <c r="C140" s="25" t="s">
        <v>639</v>
      </c>
      <c r="D140" s="20">
        <f>(23*D135)/(10+0.13*D135)</f>
        <v>0</v>
      </c>
      <c r="E140" s="36" t="s">
        <v>640</v>
      </c>
    </row>
    <row r="141" spans="2:21" ht="14.1" customHeight="1" x14ac:dyDescent="0.3"/>
    <row r="142" spans="2:21" ht="14.1" customHeight="1" x14ac:dyDescent="0.3"/>
    <row r="143" spans="2:21" ht="14.1" customHeight="1" x14ac:dyDescent="0.3"/>
    <row r="144" spans="2:21" ht="14.1" customHeight="1" x14ac:dyDescent="0.3"/>
    <row r="145" spans="20:27" ht="14.1" customHeight="1" x14ac:dyDescent="0.3"/>
    <row r="146" spans="20:27" ht="14.1" customHeight="1" x14ac:dyDescent="0.3">
      <c r="T146" s="21"/>
      <c r="U146" s="21"/>
    </row>
    <row r="147" spans="20:27" ht="14.1" customHeight="1" x14ac:dyDescent="0.3">
      <c r="T147" s="21"/>
      <c r="U147" s="21"/>
      <c r="Z147" s="21"/>
      <c r="AA147" s="21"/>
    </row>
    <row r="148" spans="20:27" ht="14.1" customHeight="1" x14ac:dyDescent="0.3">
      <c r="T148" s="21"/>
      <c r="U148" s="21"/>
      <c r="Z148" s="21"/>
      <c r="AA148" s="21"/>
    </row>
    <row r="149" spans="20:27" ht="14.1" customHeight="1" x14ac:dyDescent="0.3">
      <c r="T149" s="21"/>
      <c r="U149" s="21"/>
    </row>
    <row r="150" spans="20:27" ht="14.1" customHeight="1" x14ac:dyDescent="0.3"/>
    <row r="151" spans="20:27" ht="14.1" customHeight="1" x14ac:dyDescent="0.3"/>
    <row r="152" spans="20:27" ht="14.1" customHeight="1" x14ac:dyDescent="0.3"/>
    <row r="153" spans="20:27" ht="14.1" customHeight="1" x14ac:dyDescent="0.3"/>
    <row r="154" spans="20:27" ht="14.1" customHeight="1" x14ac:dyDescent="0.3"/>
    <row r="155" spans="20:27" ht="14.1" customHeight="1" x14ac:dyDescent="0.3"/>
    <row r="156" spans="20:27" ht="14.1" customHeight="1" x14ac:dyDescent="0.3"/>
    <row r="157" spans="20:27" ht="14.1" customHeight="1" x14ac:dyDescent="0.3"/>
    <row r="158" spans="20:27" ht="14.1" customHeight="1" x14ac:dyDescent="0.3"/>
    <row r="159" spans="20:27" ht="14.1" customHeight="1" x14ac:dyDescent="0.3"/>
    <row r="160" spans="20:27" ht="14.1" customHeight="1" x14ac:dyDescent="0.3"/>
    <row r="161" ht="14.1" customHeight="1" x14ac:dyDescent="0.3"/>
    <row r="162" ht="14.1" customHeight="1" x14ac:dyDescent="0.3"/>
    <row r="163" ht="14.1" customHeight="1" x14ac:dyDescent="0.3"/>
    <row r="164" ht="14.1" customHeight="1" x14ac:dyDescent="0.3"/>
    <row r="165" ht="14.1" customHeight="1" x14ac:dyDescent="0.3"/>
    <row r="166" ht="14.1" customHeight="1" x14ac:dyDescent="0.3"/>
    <row r="167" ht="14.1" customHeight="1" x14ac:dyDescent="0.3"/>
    <row r="168" ht="14.1" customHeight="1" x14ac:dyDescent="0.3"/>
    <row r="169" ht="14.1" customHeight="1" x14ac:dyDescent="0.3"/>
    <row r="170" ht="14.1" customHeight="1" x14ac:dyDescent="0.3"/>
    <row r="171" ht="14.1" customHeight="1" x14ac:dyDescent="0.3"/>
    <row r="172" ht="14.1" customHeight="1" x14ac:dyDescent="0.3"/>
    <row r="173" ht="14.1" customHeight="1" x14ac:dyDescent="0.3"/>
    <row r="174" ht="14.1" customHeight="1" x14ac:dyDescent="0.3"/>
    <row r="175" ht="14.1" customHeight="1" x14ac:dyDescent="0.3"/>
    <row r="176" ht="14.1" customHeight="1" x14ac:dyDescent="0.3"/>
    <row r="177" spans="2:11" ht="14.1" customHeight="1" x14ac:dyDescent="0.3">
      <c r="C177" s="132"/>
    </row>
    <row r="178" spans="2:11" ht="14.1" customHeight="1" x14ac:dyDescent="0.3">
      <c r="B178" s="36"/>
      <c r="J178" s="25"/>
      <c r="K178" s="20"/>
    </row>
    <row r="302" ht="15" customHeight="1" x14ac:dyDescent="0.3"/>
  </sheetData>
  <mergeCells count="73">
    <mergeCell ref="B61:O61"/>
    <mergeCell ref="H63:I63"/>
    <mergeCell ref="J63:N63"/>
    <mergeCell ref="B2:O2"/>
    <mergeCell ref="B6:C8"/>
    <mergeCell ref="D6:O6"/>
    <mergeCell ref="D7:F7"/>
    <mergeCell ref="G7:I7"/>
    <mergeCell ref="J7:L7"/>
    <mergeCell ref="M7:O7"/>
    <mergeCell ref="B65:F65"/>
    <mergeCell ref="G65:N65"/>
    <mergeCell ref="B66:B67"/>
    <mergeCell ref="C66:C67"/>
    <mergeCell ref="D66:F67"/>
    <mergeCell ref="G66:H66"/>
    <mergeCell ref="I66:J66"/>
    <mergeCell ref="K66:L66"/>
    <mergeCell ref="M66:N66"/>
    <mergeCell ref="B68:B69"/>
    <mergeCell ref="D68:F68"/>
    <mergeCell ref="D69:F69"/>
    <mergeCell ref="B70:B75"/>
    <mergeCell ref="D70:F70"/>
    <mergeCell ref="D71:F71"/>
    <mergeCell ref="D72:F72"/>
    <mergeCell ref="D73:F73"/>
    <mergeCell ref="D74:F74"/>
    <mergeCell ref="D75:F75"/>
    <mergeCell ref="B76:B81"/>
    <mergeCell ref="D76:F76"/>
    <mergeCell ref="D77:F77"/>
    <mergeCell ref="D78:F78"/>
    <mergeCell ref="D79:F79"/>
    <mergeCell ref="D80:F80"/>
    <mergeCell ref="D81:F81"/>
    <mergeCell ref="B82:B84"/>
    <mergeCell ref="D82:F82"/>
    <mergeCell ref="D83:F83"/>
    <mergeCell ref="D84:F84"/>
    <mergeCell ref="B85:C85"/>
    <mergeCell ref="D85:F85"/>
    <mergeCell ref="H122:I122"/>
    <mergeCell ref="J122:N122"/>
    <mergeCell ref="B86:C86"/>
    <mergeCell ref="D86:F86"/>
    <mergeCell ref="B87:C87"/>
    <mergeCell ref="D87:F87"/>
    <mergeCell ref="B88:C88"/>
    <mergeCell ref="D88:F88"/>
    <mergeCell ref="B89:C89"/>
    <mergeCell ref="D89:F89"/>
    <mergeCell ref="B90:C90"/>
    <mergeCell ref="D90:F90"/>
    <mergeCell ref="B120:O120"/>
    <mergeCell ref="G124:N124"/>
    <mergeCell ref="B125:C126"/>
    <mergeCell ref="D125:F126"/>
    <mergeCell ref="G125:H125"/>
    <mergeCell ref="I125:J125"/>
    <mergeCell ref="K125:L125"/>
    <mergeCell ref="M125:N125"/>
    <mergeCell ref="B130:C130"/>
    <mergeCell ref="D130:F130"/>
    <mergeCell ref="B131:C131"/>
    <mergeCell ref="D131:F131"/>
    <mergeCell ref="B124:F124"/>
    <mergeCell ref="B127:C127"/>
    <mergeCell ref="D127:F127"/>
    <mergeCell ref="B128:C128"/>
    <mergeCell ref="D128:F128"/>
    <mergeCell ref="B129:C129"/>
    <mergeCell ref="D129:F129"/>
  </mergeCells>
  <dataValidations count="8">
    <dataValidation type="list" allowBlank="1" showInputMessage="1" showErrorMessage="1" sqref="D85:F85 D87:F89 D127:F132" xr:uid="{00000000-0002-0000-1D00-000000000000}">
      <formula1>$Q$85:$Q$87</formula1>
    </dataValidation>
    <dataValidation type="list" allowBlank="1" showInputMessage="1" showErrorMessage="1" sqref="D69:F84" xr:uid="{00000000-0002-0000-1D00-000001000000}">
      <formula1>$Q$68:$Q$69</formula1>
    </dataValidation>
    <dataValidation type="list" allowBlank="1" showInputMessage="1" showErrorMessage="1" sqref="C16" xr:uid="{00000000-0002-0000-1D00-000002000000}">
      <formula1>$T$15:$T$20</formula1>
    </dataValidation>
    <dataValidation type="list" allowBlank="1" showInputMessage="1" showErrorMessage="1" sqref="C18" xr:uid="{00000000-0002-0000-1D00-000003000000}">
      <formula1>$V$17:$V$19</formula1>
    </dataValidation>
    <dataValidation type="list" allowBlank="1" showInputMessage="1" showErrorMessage="1" sqref="C13" xr:uid="{00000000-0002-0000-1D00-000004000000}">
      <formula1>$V$15:$V$16</formula1>
    </dataValidation>
    <dataValidation type="list" allowBlank="1" showInputMessage="1" showErrorMessage="1" sqref="C12" xr:uid="{00000000-0002-0000-1D00-000005000000}">
      <formula1>$T$13:$T$14</formula1>
    </dataValidation>
    <dataValidation type="list" allowBlank="1" showInputMessage="1" showErrorMessage="1" sqref="C10" xr:uid="{00000000-0002-0000-1D00-000006000000}">
      <formula1>$T$11:$T$12</formula1>
    </dataValidation>
    <dataValidation type="list" allowBlank="1" showInputMessage="1" showErrorMessage="1" sqref="C9" xr:uid="{00000000-0002-0000-1D00-000007000000}">
      <formula1>$T$9:$T$10</formula1>
    </dataValidation>
  </dataValidations>
  <printOptions horizontalCentered="1" verticalCentered="1"/>
  <pageMargins left="0.82677165354330717" right="0.78740157480314965" top="0.55118110236220474" bottom="0.47244094488188981" header="0.43307086614173229" footer="0.39370078740157483"/>
  <pageSetup paperSize="9" scale="65" orientation="landscape" r:id="rId1"/>
  <rowBreaks count="4" manualBreakCount="4">
    <brk id="60" min="1" max="14" man="1"/>
    <brk id="119" min="1" max="14" man="1"/>
    <brk id="178" min="1" max="14" man="1"/>
    <brk id="234" min="1" max="14" man="1"/>
  </rowBreak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29">
    <tabColor rgb="FF7030A0"/>
  </sheetPr>
  <dimension ref="A1:AH116"/>
  <sheetViews>
    <sheetView showGridLines="0" zoomScaleNormal="100" zoomScaleSheetLayoutView="100" workbookViewId="0">
      <selection activeCell="D8" sqref="D8:N23"/>
    </sheetView>
  </sheetViews>
  <sheetFormatPr baseColWidth="10" defaultColWidth="11.44140625" defaultRowHeight="14.4" x14ac:dyDescent="0.3"/>
  <cols>
    <col min="1" max="1" width="12" customWidth="1"/>
    <col min="2" max="2" width="1.6640625" customWidth="1"/>
    <col min="3" max="6" width="10.6640625" customWidth="1"/>
    <col min="7" max="10" width="12.6640625" customWidth="1"/>
    <col min="11" max="12" width="10.6640625" customWidth="1"/>
    <col min="13" max="13" width="12.6640625" customWidth="1"/>
    <col min="14" max="14" width="14.6640625" customWidth="1"/>
  </cols>
  <sheetData>
    <row r="1" spans="1:34" x14ac:dyDescent="0.3">
      <c r="A1" s="273"/>
      <c r="B1" s="559" t="s">
        <v>860</v>
      </c>
      <c r="C1" s="559"/>
      <c r="D1" s="559"/>
      <c r="E1" s="559"/>
      <c r="F1" s="559"/>
      <c r="G1" s="559"/>
      <c r="H1" s="559"/>
      <c r="I1" s="559"/>
      <c r="J1" s="559"/>
      <c r="K1" s="559"/>
      <c r="L1" s="559"/>
      <c r="M1" s="559"/>
      <c r="N1" s="559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73"/>
      <c r="AA1" s="273"/>
      <c r="AB1" s="273"/>
      <c r="AC1" s="273"/>
      <c r="AD1" s="273"/>
      <c r="AE1" s="273"/>
      <c r="AF1" s="273"/>
      <c r="AG1" s="273"/>
      <c r="AH1" s="273"/>
    </row>
    <row r="2" spans="1:34" ht="14.1" customHeight="1" x14ac:dyDescent="0.3"/>
    <row r="3" spans="1:34" x14ac:dyDescent="0.3">
      <c r="D3" s="675" t="s">
        <v>871</v>
      </c>
      <c r="E3" s="675"/>
      <c r="F3" s="675"/>
      <c r="G3" s="675"/>
      <c r="H3" s="675"/>
      <c r="I3" s="675"/>
      <c r="J3" s="675"/>
    </row>
    <row r="4" spans="1:34" ht="50.1" customHeight="1" x14ac:dyDescent="0.3">
      <c r="D4" s="419" t="s">
        <v>533</v>
      </c>
      <c r="E4" s="419" t="s">
        <v>534</v>
      </c>
      <c r="F4" s="419" t="s">
        <v>535</v>
      </c>
      <c r="G4" s="419" t="s">
        <v>536</v>
      </c>
      <c r="H4" s="419" t="s">
        <v>542</v>
      </c>
      <c r="I4" s="419" t="s">
        <v>537</v>
      </c>
      <c r="J4" s="419" t="s">
        <v>538</v>
      </c>
    </row>
    <row r="5" spans="1:34" ht="15" customHeight="1" x14ac:dyDescent="0.3">
      <c r="D5" s="276">
        <v>2039.3996629999999</v>
      </c>
      <c r="E5" s="276">
        <v>83.9</v>
      </c>
      <c r="F5" s="397">
        <v>4350</v>
      </c>
      <c r="G5" s="397">
        <v>567</v>
      </c>
      <c r="H5" s="396">
        <f>F5-G5</f>
        <v>3783</v>
      </c>
      <c r="I5" s="275">
        <f>H5/(E5*1000)</f>
        <v>4.5089392133492251E-2</v>
      </c>
      <c r="J5" s="438">
        <f>I5</f>
        <v>4.5089392133492251E-2</v>
      </c>
    </row>
    <row r="6" spans="1:34" ht="14.1" customHeight="1" x14ac:dyDescent="0.3">
      <c r="C6" s="70"/>
      <c r="D6" s="31"/>
      <c r="O6" s="235"/>
      <c r="P6" s="235"/>
      <c r="Q6" s="235"/>
      <c r="R6" s="235"/>
      <c r="S6" s="235"/>
      <c r="V6" s="235"/>
      <c r="W6" s="235"/>
      <c r="X6" s="235"/>
      <c r="Y6" s="235"/>
    </row>
    <row r="7" spans="1:34" x14ac:dyDescent="0.3">
      <c r="C7" s="675" t="s">
        <v>872</v>
      </c>
      <c r="D7" s="675"/>
      <c r="E7" s="675"/>
      <c r="F7" s="675"/>
      <c r="G7" s="675"/>
      <c r="H7" s="675"/>
      <c r="I7" s="675"/>
      <c r="J7" s="675"/>
      <c r="K7" s="675"/>
      <c r="L7" s="675" t="s">
        <v>539</v>
      </c>
      <c r="M7" s="675"/>
      <c r="N7" s="675"/>
      <c r="O7" s="235"/>
      <c r="P7" s="235"/>
      <c r="Q7" s="235"/>
      <c r="R7" s="235"/>
      <c r="S7" s="235"/>
      <c r="V7" s="235"/>
      <c r="W7" s="235"/>
      <c r="X7" s="235"/>
      <c r="Y7" s="235"/>
    </row>
    <row r="8" spans="1:34" ht="50.1" customHeight="1" x14ac:dyDescent="0.3">
      <c r="C8" s="418" t="s">
        <v>540</v>
      </c>
      <c r="D8" s="419" t="s">
        <v>533</v>
      </c>
      <c r="E8" s="419" t="s">
        <v>534</v>
      </c>
      <c r="F8" s="419" t="s">
        <v>541</v>
      </c>
      <c r="G8" s="419" t="s">
        <v>535</v>
      </c>
      <c r="H8" s="419" t="s">
        <v>536</v>
      </c>
      <c r="I8" s="419" t="s">
        <v>542</v>
      </c>
      <c r="J8" s="419" t="s">
        <v>537</v>
      </c>
      <c r="K8" s="419" t="s">
        <v>543</v>
      </c>
      <c r="L8" s="419" t="s">
        <v>544</v>
      </c>
      <c r="M8" s="419" t="s">
        <v>545</v>
      </c>
      <c r="N8" s="419" t="s">
        <v>546</v>
      </c>
      <c r="O8" s="235"/>
      <c r="P8" s="235"/>
      <c r="Q8" s="235"/>
      <c r="R8" s="235"/>
      <c r="S8" s="235"/>
      <c r="V8" s="235"/>
      <c r="W8" s="235"/>
      <c r="X8" s="235"/>
      <c r="Y8" s="235"/>
    </row>
    <row r="9" spans="1:34" ht="14.1" customHeight="1" x14ac:dyDescent="0.3">
      <c r="C9" s="359" t="s">
        <v>874</v>
      </c>
      <c r="D9" s="276">
        <f>D5</f>
        <v>2039.3996629999999</v>
      </c>
      <c r="E9" s="276">
        <f>E5</f>
        <v>83.9</v>
      </c>
      <c r="F9" s="276">
        <v>83.9</v>
      </c>
      <c r="G9" s="397">
        <f>F5</f>
        <v>4350</v>
      </c>
      <c r="H9" s="397">
        <f>G5</f>
        <v>567</v>
      </c>
      <c r="I9" s="396">
        <f>G9-H9</f>
        <v>3783</v>
      </c>
      <c r="J9" s="275">
        <f>I9/(E9*1000)</f>
        <v>4.5089392133492251E-2</v>
      </c>
      <c r="K9" s="438">
        <f>J9</f>
        <v>4.5089392133492251E-2</v>
      </c>
      <c r="L9" s="277">
        <v>69</v>
      </c>
      <c r="M9" s="274">
        <f>(34.664*((F9)^0.8)*((1000/L9)-9)^0.7)/((K9)^0.5)</f>
        <v>18608.19026234738</v>
      </c>
      <c r="N9" s="274">
        <f>0.6*M9</f>
        <v>11164.914157408428</v>
      </c>
      <c r="O9" s="235"/>
      <c r="P9" s="235"/>
      <c r="Q9" s="235"/>
      <c r="R9" s="235"/>
      <c r="S9" s="235"/>
      <c r="V9" s="235"/>
      <c r="W9" s="235"/>
      <c r="X9" s="235"/>
      <c r="Y9" s="235"/>
    </row>
    <row r="10" spans="1:34" ht="14.1" customHeight="1" x14ac:dyDescent="0.3">
      <c r="C10" s="359" t="s">
        <v>873</v>
      </c>
      <c r="D10" s="276">
        <v>35.310944999999997</v>
      </c>
      <c r="E10" s="276">
        <v>10.199999999999999</v>
      </c>
      <c r="F10" s="276">
        <v>10.199999999999999</v>
      </c>
      <c r="G10" s="397">
        <v>1987</v>
      </c>
      <c r="H10" s="397">
        <v>657</v>
      </c>
      <c r="I10" s="396">
        <f>G10-H10</f>
        <v>1330</v>
      </c>
      <c r="J10" s="275">
        <f>I10/(E10*1000)</f>
        <v>0.13039215686274511</v>
      </c>
      <c r="K10" s="438">
        <f>J10</f>
        <v>0.13039215686274511</v>
      </c>
      <c r="L10" s="277">
        <v>69</v>
      </c>
      <c r="M10" s="274">
        <f>(34.664*((F10)^0.8)*((1000/L10)-9)^0.7)/((K10)^0.5)</f>
        <v>2027.6181135228233</v>
      </c>
      <c r="N10" s="274">
        <f>0.6*M10</f>
        <v>1216.5708681136939</v>
      </c>
      <c r="O10" s="235"/>
      <c r="P10" s="235"/>
      <c r="Q10" s="235"/>
      <c r="R10" s="235"/>
      <c r="S10" s="235"/>
      <c r="V10" s="235"/>
      <c r="W10" s="235"/>
      <c r="X10" s="235"/>
      <c r="Y10" s="235"/>
    </row>
    <row r="11" spans="1:34" ht="14.1" customHeight="1" x14ac:dyDescent="0.3">
      <c r="C11" s="359"/>
      <c r="D11" s="276"/>
      <c r="E11" s="276"/>
      <c r="F11" s="276"/>
      <c r="G11" s="397"/>
      <c r="H11" s="397"/>
      <c r="I11" s="396"/>
      <c r="J11" s="275"/>
      <c r="K11" s="280"/>
      <c r="L11" s="277"/>
      <c r="M11" s="274"/>
      <c r="N11" s="274"/>
      <c r="O11" s="235"/>
      <c r="P11" s="235"/>
      <c r="Q11" s="235"/>
      <c r="R11" s="235"/>
      <c r="S11" s="235"/>
      <c r="V11" s="235"/>
      <c r="W11" s="235"/>
      <c r="X11" s="235"/>
      <c r="Y11" s="235"/>
    </row>
    <row r="12" spans="1:34" ht="14.1" customHeight="1" x14ac:dyDescent="0.3">
      <c r="C12" s="359"/>
      <c r="D12" s="276"/>
      <c r="E12" s="276"/>
      <c r="F12" s="276"/>
      <c r="G12" s="397"/>
      <c r="H12" s="397"/>
      <c r="I12" s="396"/>
      <c r="J12" s="275"/>
      <c r="K12" s="280"/>
      <c r="L12" s="277"/>
      <c r="M12" s="274"/>
      <c r="N12" s="274"/>
      <c r="O12" s="235"/>
      <c r="P12" s="235"/>
      <c r="Q12" s="235"/>
      <c r="R12" s="235"/>
      <c r="S12" s="235"/>
      <c r="V12" s="235"/>
      <c r="W12" s="235"/>
      <c r="X12" s="235"/>
      <c r="Y12" s="235"/>
    </row>
    <row r="13" spans="1:34" ht="14.1" customHeight="1" x14ac:dyDescent="0.3">
      <c r="C13" s="359"/>
      <c r="D13" s="276"/>
      <c r="E13" s="276"/>
      <c r="F13" s="276"/>
      <c r="G13" s="397"/>
      <c r="H13" s="397"/>
      <c r="I13" s="396"/>
      <c r="J13" s="275"/>
      <c r="K13" s="280"/>
      <c r="L13" s="277"/>
      <c r="M13" s="274"/>
      <c r="N13" s="274"/>
      <c r="O13" s="235"/>
      <c r="P13" s="235"/>
      <c r="Q13" s="235"/>
      <c r="R13" s="235"/>
      <c r="S13" s="235"/>
      <c r="V13" s="235"/>
      <c r="W13" s="235"/>
      <c r="X13" s="235"/>
      <c r="Y13" s="235"/>
    </row>
    <row r="14" spans="1:34" ht="14.1" customHeight="1" x14ac:dyDescent="0.3">
      <c r="C14" s="359"/>
      <c r="D14" s="276"/>
      <c r="E14" s="276"/>
      <c r="F14" s="276"/>
      <c r="G14" s="397"/>
      <c r="H14" s="397"/>
      <c r="I14" s="396"/>
      <c r="J14" s="275"/>
      <c r="K14" s="280"/>
      <c r="L14" s="277"/>
      <c r="M14" s="274"/>
      <c r="N14" s="274"/>
      <c r="O14" s="235"/>
      <c r="P14" s="235"/>
      <c r="Q14" s="235"/>
      <c r="R14" s="235"/>
      <c r="S14" s="235"/>
      <c r="V14" s="235"/>
      <c r="W14" s="235"/>
      <c r="X14" s="235"/>
      <c r="Y14" s="235"/>
    </row>
    <row r="15" spans="1:34" ht="14.1" customHeight="1" x14ac:dyDescent="0.3">
      <c r="C15" s="359"/>
      <c r="D15" s="276"/>
      <c r="E15" s="276"/>
      <c r="F15" s="276"/>
      <c r="G15" s="397"/>
      <c r="H15" s="397"/>
      <c r="I15" s="396">
        <f t="shared" ref="I15:I38" si="0">G15-H15</f>
        <v>0</v>
      </c>
      <c r="J15" s="275" t="e">
        <f t="shared" ref="J15:J38" si="1">I15/(E15*1000)</f>
        <v>#DIV/0!</v>
      </c>
      <c r="K15" s="277"/>
      <c r="L15" s="277"/>
      <c r="M15" s="274" t="e">
        <f t="shared" ref="M15:M38" si="2">(34.664*((F15)^0.8)*((1000/L15)-9)^0.7)/((K15)^0.5)</f>
        <v>#DIV/0!</v>
      </c>
      <c r="N15" s="274" t="e">
        <f t="shared" ref="N15:N38" si="3">0.6*M15</f>
        <v>#DIV/0!</v>
      </c>
      <c r="O15" s="235"/>
      <c r="P15" s="235"/>
      <c r="Q15" s="235"/>
      <c r="R15" s="235"/>
      <c r="S15" s="235"/>
      <c r="V15" s="235"/>
      <c r="W15" s="235"/>
      <c r="X15" s="235"/>
      <c r="Y15" s="235"/>
    </row>
    <row r="16" spans="1:34" ht="14.1" customHeight="1" x14ac:dyDescent="0.3">
      <c r="C16" s="359"/>
      <c r="D16" s="276"/>
      <c r="E16" s="276"/>
      <c r="F16" s="276"/>
      <c r="G16" s="397"/>
      <c r="H16" s="397"/>
      <c r="I16" s="396">
        <f t="shared" si="0"/>
        <v>0</v>
      </c>
      <c r="J16" s="275" t="e">
        <f t="shared" si="1"/>
        <v>#DIV/0!</v>
      </c>
      <c r="K16" s="277"/>
      <c r="L16" s="277"/>
      <c r="M16" s="274" t="e">
        <f t="shared" si="2"/>
        <v>#DIV/0!</v>
      </c>
      <c r="N16" s="274" t="e">
        <f t="shared" si="3"/>
        <v>#DIV/0!</v>
      </c>
      <c r="O16" s="235"/>
      <c r="P16" s="235"/>
      <c r="Q16" s="235"/>
      <c r="R16" s="235"/>
      <c r="S16" s="235"/>
      <c r="V16" s="235"/>
      <c r="W16" s="235"/>
      <c r="X16" s="235"/>
      <c r="Y16" s="235"/>
    </row>
    <row r="17" spans="3:25" ht="14.1" customHeight="1" x14ac:dyDescent="0.3">
      <c r="C17" s="359"/>
      <c r="D17" s="276"/>
      <c r="E17" s="276"/>
      <c r="F17" s="276"/>
      <c r="G17" s="397"/>
      <c r="H17" s="397"/>
      <c r="I17" s="396">
        <f t="shared" si="0"/>
        <v>0</v>
      </c>
      <c r="J17" s="275" t="e">
        <f t="shared" si="1"/>
        <v>#DIV/0!</v>
      </c>
      <c r="K17" s="277"/>
      <c r="L17" s="277"/>
      <c r="M17" s="274" t="e">
        <f t="shared" si="2"/>
        <v>#DIV/0!</v>
      </c>
      <c r="N17" s="274" t="e">
        <f t="shared" si="3"/>
        <v>#DIV/0!</v>
      </c>
      <c r="O17" s="235"/>
      <c r="P17" s="235"/>
      <c r="Q17" s="235"/>
      <c r="R17" s="235"/>
      <c r="S17" s="235"/>
      <c r="V17" s="235"/>
      <c r="W17" s="235"/>
      <c r="X17" s="235"/>
      <c r="Y17" s="235"/>
    </row>
    <row r="18" spans="3:25" ht="14.1" customHeight="1" x14ac:dyDescent="0.3">
      <c r="C18" s="359"/>
      <c r="D18" s="276"/>
      <c r="E18" s="276"/>
      <c r="F18" s="276"/>
      <c r="G18" s="397"/>
      <c r="H18" s="397"/>
      <c r="I18" s="396">
        <f t="shared" si="0"/>
        <v>0</v>
      </c>
      <c r="J18" s="275" t="e">
        <f t="shared" si="1"/>
        <v>#DIV/0!</v>
      </c>
      <c r="K18" s="277"/>
      <c r="L18" s="277"/>
      <c r="M18" s="274" t="e">
        <f t="shared" si="2"/>
        <v>#DIV/0!</v>
      </c>
      <c r="N18" s="274" t="e">
        <f t="shared" si="3"/>
        <v>#DIV/0!</v>
      </c>
      <c r="O18" s="235"/>
      <c r="P18" s="235"/>
      <c r="Q18" s="235"/>
      <c r="R18" s="235"/>
      <c r="S18" s="235"/>
      <c r="V18" s="235"/>
      <c r="W18" s="235"/>
      <c r="X18" s="235"/>
      <c r="Y18" s="235"/>
    </row>
    <row r="19" spans="3:25" ht="14.1" customHeight="1" x14ac:dyDescent="0.3">
      <c r="C19" s="359"/>
      <c r="D19" s="276"/>
      <c r="E19" s="276"/>
      <c r="F19" s="276"/>
      <c r="G19" s="397"/>
      <c r="H19" s="397"/>
      <c r="I19" s="396">
        <f t="shared" si="0"/>
        <v>0</v>
      </c>
      <c r="J19" s="275" t="e">
        <f t="shared" si="1"/>
        <v>#DIV/0!</v>
      </c>
      <c r="K19" s="277"/>
      <c r="L19" s="277"/>
      <c r="M19" s="274" t="e">
        <f t="shared" si="2"/>
        <v>#DIV/0!</v>
      </c>
      <c r="N19" s="274" t="e">
        <f t="shared" si="3"/>
        <v>#DIV/0!</v>
      </c>
      <c r="O19" s="235"/>
      <c r="P19" s="235"/>
      <c r="Q19" s="235"/>
      <c r="R19" s="235"/>
      <c r="S19" s="235"/>
      <c r="V19" s="235"/>
      <c r="W19" s="235"/>
      <c r="X19" s="235"/>
      <c r="Y19" s="235"/>
    </row>
    <row r="20" spans="3:25" ht="14.1" customHeight="1" x14ac:dyDescent="0.3">
      <c r="C20" s="359"/>
      <c r="D20" s="276"/>
      <c r="E20" s="276"/>
      <c r="F20" s="276"/>
      <c r="G20" s="397"/>
      <c r="H20" s="397"/>
      <c r="I20" s="396">
        <f t="shared" si="0"/>
        <v>0</v>
      </c>
      <c r="J20" s="275" t="e">
        <f t="shared" si="1"/>
        <v>#DIV/0!</v>
      </c>
      <c r="K20" s="277"/>
      <c r="L20" s="277"/>
      <c r="M20" s="274" t="e">
        <f t="shared" si="2"/>
        <v>#DIV/0!</v>
      </c>
      <c r="N20" s="274" t="e">
        <f t="shared" si="3"/>
        <v>#DIV/0!</v>
      </c>
      <c r="O20" s="235"/>
      <c r="P20" s="235"/>
      <c r="Q20" s="235"/>
      <c r="R20" s="235"/>
      <c r="S20" s="235"/>
      <c r="V20" s="235"/>
      <c r="W20" s="235"/>
      <c r="X20" s="235"/>
      <c r="Y20" s="235"/>
    </row>
    <row r="21" spans="3:25" ht="14.1" customHeight="1" x14ac:dyDescent="0.3">
      <c r="C21" s="359"/>
      <c r="D21" s="276"/>
      <c r="E21" s="276"/>
      <c r="F21" s="276"/>
      <c r="G21" s="397"/>
      <c r="H21" s="397"/>
      <c r="I21" s="396">
        <f t="shared" si="0"/>
        <v>0</v>
      </c>
      <c r="J21" s="275" t="e">
        <f t="shared" si="1"/>
        <v>#DIV/0!</v>
      </c>
      <c r="K21" s="277"/>
      <c r="L21" s="277"/>
      <c r="M21" s="274" t="e">
        <f t="shared" si="2"/>
        <v>#DIV/0!</v>
      </c>
      <c r="N21" s="274" t="e">
        <f t="shared" si="3"/>
        <v>#DIV/0!</v>
      </c>
      <c r="O21" s="235"/>
      <c r="P21" s="235"/>
      <c r="Q21" s="235"/>
      <c r="R21" s="235"/>
      <c r="S21" s="235"/>
      <c r="V21" s="235"/>
      <c r="W21" s="235"/>
      <c r="X21" s="235"/>
      <c r="Y21" s="235"/>
    </row>
    <row r="22" spans="3:25" ht="14.1" customHeight="1" x14ac:dyDescent="0.3">
      <c r="C22" s="359"/>
      <c r="D22" s="276"/>
      <c r="E22" s="276"/>
      <c r="F22" s="276"/>
      <c r="G22" s="397"/>
      <c r="H22" s="397"/>
      <c r="I22" s="396">
        <f t="shared" si="0"/>
        <v>0</v>
      </c>
      <c r="J22" s="275" t="e">
        <f t="shared" si="1"/>
        <v>#DIV/0!</v>
      </c>
      <c r="K22" s="277"/>
      <c r="L22" s="277"/>
      <c r="M22" s="274" t="e">
        <f t="shared" si="2"/>
        <v>#DIV/0!</v>
      </c>
      <c r="N22" s="274" t="e">
        <f t="shared" si="3"/>
        <v>#DIV/0!</v>
      </c>
      <c r="O22" s="235"/>
      <c r="P22" s="235"/>
      <c r="Q22" s="235"/>
      <c r="R22" s="235"/>
      <c r="S22" s="235"/>
      <c r="V22" s="235"/>
      <c r="W22" s="235"/>
      <c r="X22" s="235"/>
      <c r="Y22" s="235"/>
    </row>
    <row r="23" spans="3:25" ht="14.1" customHeight="1" x14ac:dyDescent="0.3">
      <c r="C23" s="359"/>
      <c r="D23" s="276"/>
      <c r="E23" s="276"/>
      <c r="F23" s="276"/>
      <c r="G23" s="397"/>
      <c r="H23" s="397"/>
      <c r="I23" s="396">
        <f t="shared" si="0"/>
        <v>0</v>
      </c>
      <c r="J23" s="275" t="e">
        <f t="shared" si="1"/>
        <v>#DIV/0!</v>
      </c>
      <c r="K23" s="277"/>
      <c r="L23" s="277"/>
      <c r="M23" s="274" t="e">
        <f t="shared" si="2"/>
        <v>#DIV/0!</v>
      </c>
      <c r="N23" s="274" t="e">
        <f t="shared" si="3"/>
        <v>#DIV/0!</v>
      </c>
    </row>
    <row r="24" spans="3:25" ht="14.1" customHeight="1" x14ac:dyDescent="0.3">
      <c r="C24" s="359"/>
      <c r="D24" s="276"/>
      <c r="E24" s="276"/>
      <c r="F24" s="276"/>
      <c r="G24" s="397"/>
      <c r="H24" s="397"/>
      <c r="I24" s="396">
        <f t="shared" si="0"/>
        <v>0</v>
      </c>
      <c r="J24" s="275" t="e">
        <f t="shared" si="1"/>
        <v>#DIV/0!</v>
      </c>
      <c r="K24" s="277"/>
      <c r="L24" s="277"/>
      <c r="M24" s="274" t="e">
        <f t="shared" si="2"/>
        <v>#DIV/0!</v>
      </c>
      <c r="N24" s="274" t="e">
        <f t="shared" si="3"/>
        <v>#DIV/0!</v>
      </c>
    </row>
    <row r="25" spans="3:25" ht="14.1" customHeight="1" x14ac:dyDescent="0.3">
      <c r="C25" s="359"/>
      <c r="D25" s="276"/>
      <c r="E25" s="276"/>
      <c r="F25" s="276"/>
      <c r="G25" s="397"/>
      <c r="H25" s="397"/>
      <c r="I25" s="396">
        <f t="shared" si="0"/>
        <v>0</v>
      </c>
      <c r="J25" s="275" t="e">
        <f t="shared" si="1"/>
        <v>#DIV/0!</v>
      </c>
      <c r="K25" s="277"/>
      <c r="L25" s="277"/>
      <c r="M25" s="274" t="e">
        <f t="shared" si="2"/>
        <v>#DIV/0!</v>
      </c>
      <c r="N25" s="274" t="e">
        <f t="shared" si="3"/>
        <v>#DIV/0!</v>
      </c>
    </row>
    <row r="26" spans="3:25" ht="14.1" customHeight="1" x14ac:dyDescent="0.3">
      <c r="C26" s="359"/>
      <c r="D26" s="276"/>
      <c r="E26" s="276"/>
      <c r="F26" s="276"/>
      <c r="G26" s="397"/>
      <c r="H26" s="397"/>
      <c r="I26" s="396">
        <f t="shared" si="0"/>
        <v>0</v>
      </c>
      <c r="J26" s="275" t="e">
        <f t="shared" si="1"/>
        <v>#DIV/0!</v>
      </c>
      <c r="K26" s="277"/>
      <c r="L26" s="277"/>
      <c r="M26" s="274" t="e">
        <f t="shared" si="2"/>
        <v>#DIV/0!</v>
      </c>
      <c r="N26" s="274" t="e">
        <f t="shared" si="3"/>
        <v>#DIV/0!</v>
      </c>
    </row>
    <row r="27" spans="3:25" ht="14.1" customHeight="1" x14ac:dyDescent="0.3">
      <c r="C27" s="359"/>
      <c r="D27" s="276"/>
      <c r="E27" s="276"/>
      <c r="F27" s="276"/>
      <c r="G27" s="397"/>
      <c r="H27" s="397"/>
      <c r="I27" s="396">
        <f t="shared" si="0"/>
        <v>0</v>
      </c>
      <c r="J27" s="275" t="e">
        <f t="shared" si="1"/>
        <v>#DIV/0!</v>
      </c>
      <c r="K27" s="277"/>
      <c r="L27" s="277"/>
      <c r="M27" s="274" t="e">
        <f t="shared" si="2"/>
        <v>#DIV/0!</v>
      </c>
      <c r="N27" s="274" t="e">
        <f t="shared" si="3"/>
        <v>#DIV/0!</v>
      </c>
    </row>
    <row r="28" spans="3:25" ht="14.1" customHeight="1" x14ac:dyDescent="0.3">
      <c r="C28" s="359"/>
      <c r="D28" s="276"/>
      <c r="E28" s="276"/>
      <c r="F28" s="276"/>
      <c r="G28" s="397"/>
      <c r="H28" s="397"/>
      <c r="I28" s="396">
        <f t="shared" si="0"/>
        <v>0</v>
      </c>
      <c r="J28" s="275" t="e">
        <f t="shared" si="1"/>
        <v>#DIV/0!</v>
      </c>
      <c r="K28" s="277"/>
      <c r="L28" s="277"/>
      <c r="M28" s="274" t="e">
        <f t="shared" si="2"/>
        <v>#DIV/0!</v>
      </c>
      <c r="N28" s="274" t="e">
        <f t="shared" si="3"/>
        <v>#DIV/0!</v>
      </c>
    </row>
    <row r="29" spans="3:25" ht="14.1" customHeight="1" x14ac:dyDescent="0.3">
      <c r="C29" s="359"/>
      <c r="D29" s="276"/>
      <c r="E29" s="276"/>
      <c r="F29" s="276"/>
      <c r="G29" s="397"/>
      <c r="H29" s="397"/>
      <c r="I29" s="396">
        <f t="shared" si="0"/>
        <v>0</v>
      </c>
      <c r="J29" s="275" t="e">
        <f t="shared" si="1"/>
        <v>#DIV/0!</v>
      </c>
      <c r="K29" s="277"/>
      <c r="L29" s="277"/>
      <c r="M29" s="274" t="e">
        <f t="shared" si="2"/>
        <v>#DIV/0!</v>
      </c>
      <c r="N29" s="274" t="e">
        <f t="shared" si="3"/>
        <v>#DIV/0!</v>
      </c>
    </row>
    <row r="30" spans="3:25" ht="14.1" customHeight="1" x14ac:dyDescent="0.3">
      <c r="C30" s="359"/>
      <c r="D30" s="276"/>
      <c r="E30" s="276"/>
      <c r="F30" s="276"/>
      <c r="G30" s="397"/>
      <c r="H30" s="397"/>
      <c r="I30" s="396">
        <f t="shared" si="0"/>
        <v>0</v>
      </c>
      <c r="J30" s="275" t="e">
        <f t="shared" si="1"/>
        <v>#DIV/0!</v>
      </c>
      <c r="K30" s="277"/>
      <c r="L30" s="277"/>
      <c r="M30" s="274" t="e">
        <f t="shared" si="2"/>
        <v>#DIV/0!</v>
      </c>
      <c r="N30" s="274" t="e">
        <f t="shared" si="3"/>
        <v>#DIV/0!</v>
      </c>
    </row>
    <row r="31" spans="3:25" ht="14.1" customHeight="1" x14ac:dyDescent="0.3">
      <c r="C31" s="359"/>
      <c r="D31" s="276"/>
      <c r="E31" s="276"/>
      <c r="F31" s="276"/>
      <c r="G31" s="397"/>
      <c r="H31" s="397"/>
      <c r="I31" s="396">
        <f t="shared" si="0"/>
        <v>0</v>
      </c>
      <c r="J31" s="275" t="e">
        <f t="shared" si="1"/>
        <v>#DIV/0!</v>
      </c>
      <c r="K31" s="277"/>
      <c r="L31" s="277"/>
      <c r="M31" s="274" t="e">
        <f t="shared" si="2"/>
        <v>#DIV/0!</v>
      </c>
      <c r="N31" s="274" t="e">
        <f t="shared" si="3"/>
        <v>#DIV/0!</v>
      </c>
    </row>
    <row r="32" spans="3:25" ht="14.1" customHeight="1" x14ac:dyDescent="0.3">
      <c r="C32" s="359"/>
      <c r="D32" s="276"/>
      <c r="E32" s="276"/>
      <c r="F32" s="276"/>
      <c r="G32" s="397"/>
      <c r="H32" s="397"/>
      <c r="I32" s="396">
        <f t="shared" si="0"/>
        <v>0</v>
      </c>
      <c r="J32" s="275" t="e">
        <f t="shared" si="1"/>
        <v>#DIV/0!</v>
      </c>
      <c r="K32" s="277"/>
      <c r="L32" s="277"/>
      <c r="M32" s="274" t="e">
        <f t="shared" si="2"/>
        <v>#DIV/0!</v>
      </c>
      <c r="N32" s="274" t="e">
        <f t="shared" si="3"/>
        <v>#DIV/0!</v>
      </c>
    </row>
    <row r="33" spans="2:14" ht="14.1" customHeight="1" x14ac:dyDescent="0.3">
      <c r="C33" s="359"/>
      <c r="D33" s="276"/>
      <c r="E33" s="276"/>
      <c r="F33" s="276"/>
      <c r="G33" s="397"/>
      <c r="H33" s="397"/>
      <c r="I33" s="396">
        <f t="shared" si="0"/>
        <v>0</v>
      </c>
      <c r="J33" s="275" t="e">
        <f t="shared" si="1"/>
        <v>#DIV/0!</v>
      </c>
      <c r="K33" s="277"/>
      <c r="L33" s="277"/>
      <c r="M33" s="274" t="e">
        <f t="shared" si="2"/>
        <v>#DIV/0!</v>
      </c>
      <c r="N33" s="274" t="e">
        <f t="shared" si="3"/>
        <v>#DIV/0!</v>
      </c>
    </row>
    <row r="34" spans="2:14" ht="14.1" customHeight="1" x14ac:dyDescent="0.3">
      <c r="C34" s="359"/>
      <c r="D34" s="276"/>
      <c r="E34" s="276"/>
      <c r="F34" s="276"/>
      <c r="G34" s="397"/>
      <c r="H34" s="397"/>
      <c r="I34" s="396">
        <f t="shared" si="0"/>
        <v>0</v>
      </c>
      <c r="J34" s="275" t="e">
        <f t="shared" si="1"/>
        <v>#DIV/0!</v>
      </c>
      <c r="K34" s="277"/>
      <c r="L34" s="277"/>
      <c r="M34" s="274" t="e">
        <f t="shared" si="2"/>
        <v>#DIV/0!</v>
      </c>
      <c r="N34" s="274" t="e">
        <f t="shared" si="3"/>
        <v>#DIV/0!</v>
      </c>
    </row>
    <row r="35" spans="2:14" ht="14.1" customHeight="1" x14ac:dyDescent="0.3">
      <c r="C35" s="359"/>
      <c r="D35" s="276"/>
      <c r="E35" s="276"/>
      <c r="F35" s="276"/>
      <c r="G35" s="397"/>
      <c r="H35" s="397"/>
      <c r="I35" s="396">
        <f t="shared" si="0"/>
        <v>0</v>
      </c>
      <c r="J35" s="275" t="e">
        <f t="shared" si="1"/>
        <v>#DIV/0!</v>
      </c>
      <c r="K35" s="277"/>
      <c r="L35" s="277"/>
      <c r="M35" s="274" t="e">
        <f t="shared" si="2"/>
        <v>#DIV/0!</v>
      </c>
      <c r="N35" s="274" t="e">
        <f t="shared" si="3"/>
        <v>#DIV/0!</v>
      </c>
    </row>
    <row r="36" spans="2:14" ht="14.1" customHeight="1" x14ac:dyDescent="0.3">
      <c r="C36" s="359"/>
      <c r="D36" s="276"/>
      <c r="E36" s="276"/>
      <c r="F36" s="276"/>
      <c r="G36" s="397"/>
      <c r="H36" s="397"/>
      <c r="I36" s="396">
        <f t="shared" si="0"/>
        <v>0</v>
      </c>
      <c r="J36" s="275" t="e">
        <f t="shared" si="1"/>
        <v>#DIV/0!</v>
      </c>
      <c r="K36" s="277"/>
      <c r="L36" s="277"/>
      <c r="M36" s="274" t="e">
        <f t="shared" si="2"/>
        <v>#DIV/0!</v>
      </c>
      <c r="N36" s="274" t="e">
        <f t="shared" si="3"/>
        <v>#DIV/0!</v>
      </c>
    </row>
    <row r="37" spans="2:14" ht="14.1" customHeight="1" x14ac:dyDescent="0.3">
      <c r="C37" s="359"/>
      <c r="D37" s="276"/>
      <c r="E37" s="276"/>
      <c r="F37" s="276"/>
      <c r="G37" s="397"/>
      <c r="H37" s="397"/>
      <c r="I37" s="396">
        <f t="shared" si="0"/>
        <v>0</v>
      </c>
      <c r="J37" s="275" t="e">
        <f t="shared" si="1"/>
        <v>#DIV/0!</v>
      </c>
      <c r="K37" s="277"/>
      <c r="L37" s="277"/>
      <c r="M37" s="274" t="e">
        <f t="shared" si="2"/>
        <v>#DIV/0!</v>
      </c>
      <c r="N37" s="274" t="e">
        <f t="shared" si="3"/>
        <v>#DIV/0!</v>
      </c>
    </row>
    <row r="38" spans="2:14" ht="14.1" customHeight="1" x14ac:dyDescent="0.3">
      <c r="C38" s="359"/>
      <c r="D38" s="276"/>
      <c r="E38" s="276"/>
      <c r="F38" s="276"/>
      <c r="G38" s="397"/>
      <c r="H38" s="397"/>
      <c r="I38" s="396">
        <f t="shared" si="0"/>
        <v>0</v>
      </c>
      <c r="J38" s="275" t="e">
        <f t="shared" si="1"/>
        <v>#DIV/0!</v>
      </c>
      <c r="K38" s="277"/>
      <c r="L38" s="277"/>
      <c r="M38" s="274" t="e">
        <f t="shared" si="2"/>
        <v>#DIV/0!</v>
      </c>
      <c r="N38" s="274" t="e">
        <f t="shared" si="3"/>
        <v>#DIV/0!</v>
      </c>
    </row>
    <row r="39" spans="2:14" x14ac:dyDescent="0.3">
      <c r="B39" s="559" t="s">
        <v>861</v>
      </c>
      <c r="C39" s="559"/>
      <c r="D39" s="559"/>
      <c r="E39" s="559"/>
      <c r="F39" s="559"/>
      <c r="G39" s="559"/>
      <c r="H39" s="559"/>
      <c r="I39" s="559"/>
      <c r="J39" s="559"/>
      <c r="K39" s="559"/>
      <c r="L39" s="559"/>
      <c r="M39" s="559"/>
      <c r="N39" s="559"/>
    </row>
    <row r="40" spans="2:14" ht="14.1" customHeight="1" x14ac:dyDescent="0.3">
      <c r="C40" s="73"/>
      <c r="D40" s="190"/>
      <c r="E40" s="190"/>
      <c r="F40" s="190"/>
      <c r="G40" s="192"/>
      <c r="H40" s="192"/>
      <c r="I40" s="192"/>
      <c r="J40" s="102"/>
      <c r="K40" s="101"/>
      <c r="L40" s="192"/>
      <c r="M40" s="101"/>
      <c r="N40" s="101"/>
    </row>
    <row r="41" spans="2:14" x14ac:dyDescent="0.3">
      <c r="D41" s="675" t="str">
        <f>D3</f>
        <v>PARÁMETROS GEOMORFOLÓGICOS DE LA CUENCA DE  UCHIZA</v>
      </c>
      <c r="E41" s="675"/>
      <c r="F41" s="675"/>
      <c r="G41" s="675"/>
      <c r="H41" s="675"/>
      <c r="I41" s="675"/>
      <c r="J41" s="675"/>
      <c r="L41" s="192"/>
      <c r="M41" s="101"/>
      <c r="N41" s="101"/>
    </row>
    <row r="42" spans="2:14" ht="50.1" customHeight="1" x14ac:dyDescent="0.3">
      <c r="D42" s="419" t="s">
        <v>533</v>
      </c>
      <c r="E42" s="419" t="s">
        <v>534</v>
      </c>
      <c r="F42" s="419" t="s">
        <v>535</v>
      </c>
      <c r="G42" s="419" t="s">
        <v>536</v>
      </c>
      <c r="H42" s="419" t="s">
        <v>542</v>
      </c>
      <c r="I42" s="419" t="s">
        <v>537</v>
      </c>
      <c r="J42" s="419" t="s">
        <v>538</v>
      </c>
      <c r="L42" s="192"/>
      <c r="M42" s="101"/>
      <c r="N42" s="101"/>
    </row>
    <row r="43" spans="2:14" x14ac:dyDescent="0.3">
      <c r="D43" s="276">
        <f>137558400/(10^6)</f>
        <v>137.55840000000001</v>
      </c>
      <c r="E43" s="276">
        <f>17755.1/1000</f>
        <v>17.755099999999999</v>
      </c>
      <c r="F43" s="277">
        <v>2913.33</v>
      </c>
      <c r="G43" s="277">
        <v>1050.5899999999999</v>
      </c>
      <c r="H43" s="274">
        <f>F43-G43</f>
        <v>1862.74</v>
      </c>
      <c r="I43" s="275">
        <f>H43/(E43*1000)</f>
        <v>0.10491295458769594</v>
      </c>
      <c r="J43" s="280">
        <v>49.3</v>
      </c>
      <c r="L43" s="192"/>
      <c r="M43" s="101"/>
      <c r="N43" s="101"/>
    </row>
    <row r="44" spans="2:14" ht="14.1" customHeight="1" x14ac:dyDescent="0.3">
      <c r="C44" s="73"/>
      <c r="D44" s="190"/>
      <c r="E44" s="190"/>
      <c r="F44" s="190"/>
      <c r="G44" s="192"/>
      <c r="H44" s="192"/>
      <c r="I44" s="192"/>
      <c r="J44" s="102"/>
      <c r="K44" s="101"/>
      <c r="L44" s="192"/>
      <c r="M44" s="101"/>
      <c r="N44" s="101"/>
    </row>
    <row r="45" spans="2:14" x14ac:dyDescent="0.3">
      <c r="C45" s="73"/>
      <c r="D45" s="675" t="str">
        <f>C7</f>
        <v>PARÁMETROS GEOMORFOLÓGICOS DE CUENCA UCHIZA</v>
      </c>
      <c r="E45" s="675"/>
      <c r="F45" s="675"/>
      <c r="G45" s="675"/>
      <c r="H45" s="675"/>
      <c r="I45" s="675"/>
      <c r="J45" s="675"/>
      <c r="K45" s="675" t="s">
        <v>357</v>
      </c>
      <c r="L45" s="675"/>
      <c r="M45" s="675"/>
      <c r="N45" s="675"/>
    </row>
    <row r="46" spans="2:14" ht="20.100000000000001" customHeight="1" x14ac:dyDescent="0.3">
      <c r="C46" s="678" t="s">
        <v>540</v>
      </c>
      <c r="D46" s="680" t="s">
        <v>533</v>
      </c>
      <c r="E46" s="680" t="s">
        <v>534</v>
      </c>
      <c r="F46" s="680" t="s">
        <v>577</v>
      </c>
      <c r="G46" s="680" t="s">
        <v>535</v>
      </c>
      <c r="H46" s="680" t="s">
        <v>536</v>
      </c>
      <c r="I46" s="680" t="s">
        <v>542</v>
      </c>
      <c r="J46" s="680" t="s">
        <v>537</v>
      </c>
      <c r="K46" s="680" t="s">
        <v>578</v>
      </c>
      <c r="L46" s="680" t="s">
        <v>579</v>
      </c>
      <c r="M46" s="676" t="s">
        <v>580</v>
      </c>
      <c r="N46" s="677"/>
    </row>
    <row r="47" spans="2:14" ht="40.200000000000003" customHeight="1" x14ac:dyDescent="0.3">
      <c r="C47" s="679"/>
      <c r="D47" s="681"/>
      <c r="E47" s="681"/>
      <c r="F47" s="681"/>
      <c r="G47" s="681"/>
      <c r="H47" s="681"/>
      <c r="I47" s="681"/>
      <c r="J47" s="681"/>
      <c r="K47" s="681"/>
      <c r="L47" s="681"/>
      <c r="M47" s="419" t="s">
        <v>581</v>
      </c>
      <c r="N47" s="419" t="s">
        <v>582</v>
      </c>
    </row>
    <row r="48" spans="2:14" ht="14.1" customHeight="1" x14ac:dyDescent="0.3">
      <c r="C48" s="359" t="s">
        <v>547</v>
      </c>
      <c r="D48" s="276">
        <v>132.39179999999999</v>
      </c>
      <c r="E48" s="276">
        <v>23.94</v>
      </c>
      <c r="F48" s="276">
        <v>23.94</v>
      </c>
      <c r="G48" s="397">
        <v>3900</v>
      </c>
      <c r="H48" s="397">
        <v>1200</v>
      </c>
      <c r="I48" s="396">
        <f>G48-H48</f>
        <v>2700</v>
      </c>
      <c r="J48" s="275">
        <f>I48/(E48*1000)</f>
        <v>0.11278195488721804</v>
      </c>
      <c r="K48" s="276">
        <v>2.4</v>
      </c>
      <c r="L48" s="276">
        <v>0.57999999999999996</v>
      </c>
      <c r="M48" s="278">
        <f>0.75*K48*(E48*F48)^0.3</f>
        <v>12.09893079900764</v>
      </c>
      <c r="N48" s="340">
        <f>2.75*L48*D48/M48</f>
        <v>17.453188592277911</v>
      </c>
    </row>
    <row r="49" spans="3:14" ht="14.1" customHeight="1" x14ac:dyDescent="0.3">
      <c r="C49" s="359" t="s">
        <v>548</v>
      </c>
      <c r="D49" s="276">
        <v>494.58690000000001</v>
      </c>
      <c r="E49" s="276">
        <v>47.02</v>
      </c>
      <c r="F49" s="276">
        <v>47.02</v>
      </c>
      <c r="G49" s="397">
        <v>5146.75</v>
      </c>
      <c r="H49" s="397">
        <v>1200</v>
      </c>
      <c r="I49" s="396">
        <f t="shared" ref="I49:I77" si="4">G49-H49</f>
        <v>3946.75</v>
      </c>
      <c r="J49" s="275">
        <f t="shared" ref="J49:J77" si="5">I49/(E49*1000)</f>
        <v>8.3937686091025102E-2</v>
      </c>
      <c r="K49" s="276">
        <v>2.4</v>
      </c>
      <c r="L49" s="276">
        <v>0.57999999999999996</v>
      </c>
      <c r="M49" s="278">
        <f t="shared" ref="M49:M77" si="6">0.75*K49*(E49*F49)^0.3</f>
        <v>18.140200377039296</v>
      </c>
      <c r="N49" s="340">
        <f t="shared" ref="N49:N77" si="7">2.75*L49*D49/M49</f>
        <v>43.487177048964476</v>
      </c>
    </row>
    <row r="50" spans="3:14" ht="14.1" customHeight="1" x14ac:dyDescent="0.3">
      <c r="C50" s="359" t="s">
        <v>549</v>
      </c>
      <c r="D50" s="276">
        <v>1.6326000000000001</v>
      </c>
      <c r="E50" s="276">
        <v>2.96</v>
      </c>
      <c r="F50" s="276">
        <v>2.96</v>
      </c>
      <c r="G50" s="397">
        <v>2075.44</v>
      </c>
      <c r="H50" s="397">
        <v>1500</v>
      </c>
      <c r="I50" s="396">
        <f t="shared" si="4"/>
        <v>575.44000000000005</v>
      </c>
      <c r="J50" s="275">
        <f t="shared" si="5"/>
        <v>0.19440540540540543</v>
      </c>
      <c r="K50" s="276">
        <v>2.4</v>
      </c>
      <c r="L50" s="276">
        <v>0.57999999999999996</v>
      </c>
      <c r="M50" s="278">
        <f t="shared" si="6"/>
        <v>3.4518151596089526</v>
      </c>
      <c r="N50" s="340">
        <f t="shared" si="7"/>
        <v>0.75438483220955566</v>
      </c>
    </row>
    <row r="51" spans="3:14" ht="14.1" customHeight="1" x14ac:dyDescent="0.3">
      <c r="C51" s="359" t="s">
        <v>550</v>
      </c>
      <c r="D51" s="276">
        <v>241.23509999999999</v>
      </c>
      <c r="E51" s="276">
        <v>36.68</v>
      </c>
      <c r="F51" s="276">
        <v>36.68</v>
      </c>
      <c r="G51" s="397">
        <v>5047.16</v>
      </c>
      <c r="H51" s="397">
        <v>1550</v>
      </c>
      <c r="I51" s="396">
        <f t="shared" si="4"/>
        <v>3497.16</v>
      </c>
      <c r="J51" s="275">
        <f t="shared" si="5"/>
        <v>9.5342420937840774E-2</v>
      </c>
      <c r="K51" s="276">
        <v>2.4</v>
      </c>
      <c r="L51" s="276">
        <v>0.57999999999999996</v>
      </c>
      <c r="M51" s="278">
        <f t="shared" si="6"/>
        <v>15.628960778683311</v>
      </c>
      <c r="N51" s="340">
        <f t="shared" si="7"/>
        <v>24.619038332017336</v>
      </c>
    </row>
    <row r="52" spans="3:14" ht="14.1" customHeight="1" x14ac:dyDescent="0.3">
      <c r="C52" s="359" t="s">
        <v>551</v>
      </c>
      <c r="D52" s="276">
        <v>151.4691</v>
      </c>
      <c r="E52" s="276">
        <v>26.71</v>
      </c>
      <c r="F52" s="276">
        <v>26.71</v>
      </c>
      <c r="G52" s="397">
        <v>4945.49</v>
      </c>
      <c r="H52" s="397">
        <v>1550</v>
      </c>
      <c r="I52" s="396">
        <f t="shared" si="4"/>
        <v>3395.49</v>
      </c>
      <c r="J52" s="275">
        <f t="shared" si="5"/>
        <v>0.12712429801572445</v>
      </c>
      <c r="K52" s="276">
        <v>2.2000000000000002</v>
      </c>
      <c r="L52" s="276">
        <v>0.57999999999999996</v>
      </c>
      <c r="M52" s="278">
        <f t="shared" si="6"/>
        <v>11.843723966316217</v>
      </c>
      <c r="N52" s="340">
        <f t="shared" si="7"/>
        <v>20.398416510473886</v>
      </c>
    </row>
    <row r="53" spans="3:14" ht="14.1" customHeight="1" x14ac:dyDescent="0.3">
      <c r="C53" s="359" t="s">
        <v>552</v>
      </c>
      <c r="D53" s="276">
        <v>196.7868</v>
      </c>
      <c r="E53" s="276">
        <v>34.31</v>
      </c>
      <c r="F53" s="276">
        <v>34.31</v>
      </c>
      <c r="G53" s="397">
        <v>4950</v>
      </c>
      <c r="H53" s="397">
        <v>1800</v>
      </c>
      <c r="I53" s="396">
        <f t="shared" si="4"/>
        <v>3150</v>
      </c>
      <c r="J53" s="275">
        <f t="shared" si="5"/>
        <v>9.1809967939376277E-2</v>
      </c>
      <c r="K53" s="276">
        <v>2.2000000000000002</v>
      </c>
      <c r="L53" s="276">
        <v>0.57999999999999996</v>
      </c>
      <c r="M53" s="278">
        <f t="shared" si="6"/>
        <v>13.763737304172009</v>
      </c>
      <c r="N53" s="340">
        <f t="shared" si="7"/>
        <v>22.804485370761867</v>
      </c>
    </row>
    <row r="54" spans="3:14" ht="14.1" customHeight="1" x14ac:dyDescent="0.3">
      <c r="C54" s="359" t="s">
        <v>553</v>
      </c>
      <c r="D54" s="276">
        <v>21.712499999999999</v>
      </c>
      <c r="E54" s="276">
        <v>8.09</v>
      </c>
      <c r="F54" s="276">
        <v>8.09</v>
      </c>
      <c r="G54" s="397">
        <v>2884.21</v>
      </c>
      <c r="H54" s="397">
        <v>1500</v>
      </c>
      <c r="I54" s="396">
        <f t="shared" si="4"/>
        <v>1384.21</v>
      </c>
      <c r="J54" s="275">
        <f t="shared" si="5"/>
        <v>0.17110135970333745</v>
      </c>
      <c r="K54" s="276">
        <v>2.2000000000000002</v>
      </c>
      <c r="L54" s="276">
        <v>0.57999999999999996</v>
      </c>
      <c r="M54" s="278">
        <f t="shared" si="6"/>
        <v>5.7843299385928102</v>
      </c>
      <c r="N54" s="340">
        <f t="shared" si="7"/>
        <v>5.9871130913436454</v>
      </c>
    </row>
    <row r="55" spans="3:14" ht="14.1" customHeight="1" x14ac:dyDescent="0.3">
      <c r="C55" s="359" t="s">
        <v>554</v>
      </c>
      <c r="D55" s="276">
        <v>125.5671</v>
      </c>
      <c r="E55" s="276">
        <v>25.25</v>
      </c>
      <c r="F55" s="276">
        <v>25.25</v>
      </c>
      <c r="G55" s="397">
        <v>4950</v>
      </c>
      <c r="H55" s="397">
        <v>1800</v>
      </c>
      <c r="I55" s="396">
        <f t="shared" si="4"/>
        <v>3150</v>
      </c>
      <c r="J55" s="275">
        <f t="shared" si="5"/>
        <v>0.12475247524752475</v>
      </c>
      <c r="K55" s="276">
        <v>2.2000000000000002</v>
      </c>
      <c r="L55" s="276">
        <v>0.57999999999999996</v>
      </c>
      <c r="M55" s="278">
        <f t="shared" si="6"/>
        <v>11.450930365697177</v>
      </c>
      <c r="N55" s="340">
        <f t="shared" si="7"/>
        <v>17.490240365094227</v>
      </c>
    </row>
    <row r="56" spans="3:14" ht="14.1" customHeight="1" x14ac:dyDescent="0.3">
      <c r="C56" s="359" t="s">
        <v>555</v>
      </c>
      <c r="D56" s="276">
        <v>205.1892</v>
      </c>
      <c r="E56" s="276">
        <v>31.81</v>
      </c>
      <c r="F56" s="276">
        <v>31.81</v>
      </c>
      <c r="G56" s="397">
        <v>4969.25</v>
      </c>
      <c r="H56" s="397">
        <v>2504.2399999999998</v>
      </c>
      <c r="I56" s="396">
        <f t="shared" si="4"/>
        <v>2465.0100000000002</v>
      </c>
      <c r="J56" s="275">
        <f t="shared" si="5"/>
        <v>7.749166928638794E-2</v>
      </c>
      <c r="K56" s="276">
        <v>2.2000000000000002</v>
      </c>
      <c r="L56" s="276">
        <v>0.57999999999999996</v>
      </c>
      <c r="M56" s="278">
        <f t="shared" si="6"/>
        <v>13.152919002529645</v>
      </c>
      <c r="N56" s="340">
        <f t="shared" si="7"/>
        <v>24.882444264809678</v>
      </c>
    </row>
    <row r="57" spans="3:14" ht="14.1" customHeight="1" x14ac:dyDescent="0.3">
      <c r="C57" s="359" t="s">
        <v>556</v>
      </c>
      <c r="D57" s="276">
        <v>159.74369999999999</v>
      </c>
      <c r="E57" s="276">
        <v>24.8</v>
      </c>
      <c r="F57" s="276">
        <v>24.8</v>
      </c>
      <c r="G57" s="397">
        <v>5300</v>
      </c>
      <c r="H57" s="397">
        <v>2500</v>
      </c>
      <c r="I57" s="396">
        <f t="shared" si="4"/>
        <v>2800</v>
      </c>
      <c r="J57" s="275">
        <f t="shared" si="5"/>
        <v>0.11290322580645161</v>
      </c>
      <c r="K57" s="276">
        <v>2.2000000000000002</v>
      </c>
      <c r="L57" s="276">
        <v>0.57999999999999996</v>
      </c>
      <c r="M57" s="278">
        <f t="shared" si="6"/>
        <v>11.328044664847903</v>
      </c>
      <c r="N57" s="340">
        <f t="shared" si="7"/>
        <v>22.492072466013795</v>
      </c>
    </row>
    <row r="58" spans="3:14" ht="14.1" customHeight="1" x14ac:dyDescent="0.3">
      <c r="C58" s="359" t="s">
        <v>557</v>
      </c>
      <c r="D58" s="276">
        <v>28.978200000000001</v>
      </c>
      <c r="E58" s="276">
        <v>11.29</v>
      </c>
      <c r="F58" s="276">
        <v>11.29</v>
      </c>
      <c r="G58" s="397">
        <v>4750</v>
      </c>
      <c r="H58" s="397">
        <v>2800</v>
      </c>
      <c r="I58" s="396">
        <f t="shared" si="4"/>
        <v>1950</v>
      </c>
      <c r="J58" s="275">
        <f t="shared" si="5"/>
        <v>0.17271922054915856</v>
      </c>
      <c r="K58" s="276">
        <v>2.2000000000000002</v>
      </c>
      <c r="L58" s="276">
        <v>0.57999999999999996</v>
      </c>
      <c r="M58" s="278">
        <f t="shared" si="6"/>
        <v>7.0648071187572956</v>
      </c>
      <c r="N58" s="340">
        <f t="shared" si="7"/>
        <v>6.5423200128541055</v>
      </c>
    </row>
    <row r="59" spans="3:14" ht="14.1" customHeight="1" x14ac:dyDescent="0.3">
      <c r="C59" s="359" t="s">
        <v>558</v>
      </c>
      <c r="D59" s="276">
        <v>112.52249999999999</v>
      </c>
      <c r="E59" s="276">
        <v>25.27</v>
      </c>
      <c r="F59" s="276">
        <v>25.27</v>
      </c>
      <c r="G59" s="397">
        <v>4790.3999999999996</v>
      </c>
      <c r="H59" s="397">
        <v>2800</v>
      </c>
      <c r="I59" s="396">
        <f t="shared" si="4"/>
        <v>1990.3999999999996</v>
      </c>
      <c r="J59" s="275">
        <f t="shared" si="5"/>
        <v>7.8765334388603073E-2</v>
      </c>
      <c r="K59" s="276">
        <v>2.2000000000000002</v>
      </c>
      <c r="L59" s="276">
        <v>0.57999999999999996</v>
      </c>
      <c r="M59" s="278">
        <f t="shared" si="6"/>
        <v>11.456371530224928</v>
      </c>
      <c r="N59" s="340">
        <f t="shared" si="7"/>
        <v>15.665814173929494</v>
      </c>
    </row>
    <row r="60" spans="3:14" ht="14.1" customHeight="1" x14ac:dyDescent="0.3">
      <c r="C60" s="359" t="s">
        <v>559</v>
      </c>
      <c r="D60" s="276">
        <v>142.2756</v>
      </c>
      <c r="E60" s="276">
        <v>27.61</v>
      </c>
      <c r="F60" s="276">
        <v>27.61</v>
      </c>
      <c r="G60" s="397">
        <v>4950</v>
      </c>
      <c r="H60" s="397">
        <v>2800</v>
      </c>
      <c r="I60" s="396">
        <f t="shared" si="4"/>
        <v>2150</v>
      </c>
      <c r="J60" s="275">
        <f t="shared" si="5"/>
        <v>7.7870336834480261E-2</v>
      </c>
      <c r="K60" s="276">
        <v>2.2000000000000002</v>
      </c>
      <c r="L60" s="276">
        <v>0.57999999999999996</v>
      </c>
      <c r="M60" s="278">
        <f t="shared" si="6"/>
        <v>12.081581508046503</v>
      </c>
      <c r="N60" s="340">
        <f t="shared" si="7"/>
        <v>18.783102348716657</v>
      </c>
    </row>
    <row r="61" spans="3:14" ht="14.1" customHeight="1" x14ac:dyDescent="0.3">
      <c r="C61" s="359" t="s">
        <v>560</v>
      </c>
      <c r="D61" s="276">
        <v>22.3812</v>
      </c>
      <c r="E61" s="276">
        <v>8.59</v>
      </c>
      <c r="F61" s="276">
        <v>8.59</v>
      </c>
      <c r="G61" s="397">
        <v>4150</v>
      </c>
      <c r="H61" s="397">
        <v>2800.08</v>
      </c>
      <c r="I61" s="396">
        <f t="shared" si="4"/>
        <v>1349.92</v>
      </c>
      <c r="J61" s="275">
        <f t="shared" si="5"/>
        <v>0.15715017462165309</v>
      </c>
      <c r="K61" s="276">
        <v>2.2000000000000002</v>
      </c>
      <c r="L61" s="276">
        <v>0.57999999999999996</v>
      </c>
      <c r="M61" s="278">
        <f t="shared" si="6"/>
        <v>5.9962515330977171</v>
      </c>
      <c r="N61" s="340">
        <f t="shared" si="7"/>
        <v>5.9533883465289001</v>
      </c>
    </row>
    <row r="62" spans="3:14" ht="14.1" customHeight="1" x14ac:dyDescent="0.3">
      <c r="C62" s="359" t="s">
        <v>561</v>
      </c>
      <c r="D62" s="276">
        <v>182.29859999999999</v>
      </c>
      <c r="E62" s="276">
        <v>27.92</v>
      </c>
      <c r="F62" s="276">
        <v>27.92</v>
      </c>
      <c r="G62" s="397">
        <v>4900</v>
      </c>
      <c r="H62" s="397">
        <v>2850</v>
      </c>
      <c r="I62" s="396">
        <f t="shared" si="4"/>
        <v>2050</v>
      </c>
      <c r="J62" s="275">
        <f t="shared" si="5"/>
        <v>7.3424068767908315E-2</v>
      </c>
      <c r="K62" s="276">
        <v>2.2000000000000002</v>
      </c>
      <c r="L62" s="276">
        <v>0.57999999999999996</v>
      </c>
      <c r="M62" s="278">
        <f t="shared" si="6"/>
        <v>12.162789557748923</v>
      </c>
      <c r="N62" s="340">
        <f t="shared" si="7"/>
        <v>23.90621539733478</v>
      </c>
    </row>
    <row r="63" spans="3:14" ht="14.1" customHeight="1" x14ac:dyDescent="0.3">
      <c r="C63" s="359" t="s">
        <v>562</v>
      </c>
      <c r="D63" s="276">
        <v>169.8903</v>
      </c>
      <c r="E63" s="276">
        <v>26.12</v>
      </c>
      <c r="F63" s="276">
        <v>26.12</v>
      </c>
      <c r="G63" s="397">
        <v>4748.49</v>
      </c>
      <c r="H63" s="397">
        <v>2950</v>
      </c>
      <c r="I63" s="396">
        <f t="shared" si="4"/>
        <v>1798.4899999999998</v>
      </c>
      <c r="J63" s="275">
        <f t="shared" si="5"/>
        <v>6.8854900459418056E-2</v>
      </c>
      <c r="K63" s="276">
        <v>2</v>
      </c>
      <c r="L63" s="276">
        <v>0.57999999999999996</v>
      </c>
      <c r="M63" s="278">
        <f t="shared" si="6"/>
        <v>10.623684450840356</v>
      </c>
      <c r="N63" s="340">
        <f t="shared" si="7"/>
        <v>25.506690240462227</v>
      </c>
    </row>
    <row r="64" spans="3:14" ht="14.1" customHeight="1" x14ac:dyDescent="0.3">
      <c r="C64" s="359" t="s">
        <v>563</v>
      </c>
      <c r="D64" s="276">
        <v>106.20269999999999</v>
      </c>
      <c r="E64" s="276">
        <v>16.72</v>
      </c>
      <c r="F64" s="276">
        <v>16.72</v>
      </c>
      <c r="G64" s="397">
        <v>4943.8500000000004</v>
      </c>
      <c r="H64" s="397">
        <v>2750</v>
      </c>
      <c r="I64" s="396">
        <f t="shared" si="4"/>
        <v>2193.8500000000004</v>
      </c>
      <c r="J64" s="275">
        <f t="shared" si="5"/>
        <v>0.1312111244019139</v>
      </c>
      <c r="K64" s="276">
        <v>2.2000000000000002</v>
      </c>
      <c r="L64" s="276">
        <v>0.57999999999999996</v>
      </c>
      <c r="M64" s="278">
        <f t="shared" si="6"/>
        <v>8.9418155704213778</v>
      </c>
      <c r="N64" s="340">
        <f t="shared" si="7"/>
        <v>18.943949935663618</v>
      </c>
    </row>
    <row r="65" spans="2:17" ht="14.1" customHeight="1" x14ac:dyDescent="0.3">
      <c r="C65" s="359" t="s">
        <v>564</v>
      </c>
      <c r="D65" s="276">
        <v>110.8053</v>
      </c>
      <c r="E65" s="276">
        <v>16.22</v>
      </c>
      <c r="F65" s="276">
        <v>16.22</v>
      </c>
      <c r="G65" s="397">
        <v>5111.1099999999997</v>
      </c>
      <c r="H65" s="397">
        <v>2750</v>
      </c>
      <c r="I65" s="396">
        <f t="shared" si="4"/>
        <v>2361.1099999999997</v>
      </c>
      <c r="J65" s="275">
        <f t="shared" si="5"/>
        <v>0.14556781750924783</v>
      </c>
      <c r="K65" s="276">
        <v>2.2000000000000002</v>
      </c>
      <c r="L65" s="276">
        <v>0.57999999999999996</v>
      </c>
      <c r="M65" s="278">
        <f t="shared" si="6"/>
        <v>8.7804030944681521</v>
      </c>
      <c r="N65" s="340">
        <f t="shared" si="7"/>
        <v>20.128284726625662</v>
      </c>
    </row>
    <row r="66" spans="2:17" ht="14.1" customHeight="1" x14ac:dyDescent="0.3">
      <c r="C66" s="359" t="s">
        <v>565</v>
      </c>
      <c r="D66" s="276">
        <v>506.87819999999999</v>
      </c>
      <c r="E66" s="276">
        <v>41.64</v>
      </c>
      <c r="F66" s="276">
        <v>41.64</v>
      </c>
      <c r="G66" s="397">
        <v>4750</v>
      </c>
      <c r="H66" s="397">
        <v>2850</v>
      </c>
      <c r="I66" s="396">
        <f t="shared" si="4"/>
        <v>1900</v>
      </c>
      <c r="J66" s="275">
        <f t="shared" si="5"/>
        <v>4.562920268972142E-2</v>
      </c>
      <c r="K66" s="276">
        <v>2.2000000000000002</v>
      </c>
      <c r="L66" s="276">
        <v>0.57999999999999996</v>
      </c>
      <c r="M66" s="278">
        <f t="shared" si="6"/>
        <v>15.459319635850884</v>
      </c>
      <c r="N66" s="340">
        <f t="shared" si="7"/>
        <v>52.296656518125069</v>
      </c>
    </row>
    <row r="67" spans="2:17" ht="14.1" customHeight="1" x14ac:dyDescent="0.3">
      <c r="C67" s="359" t="s">
        <v>566</v>
      </c>
      <c r="D67" s="276">
        <v>313.72739999999999</v>
      </c>
      <c r="E67" s="276">
        <v>39.44</v>
      </c>
      <c r="F67" s="276">
        <v>39.44</v>
      </c>
      <c r="G67" s="397">
        <v>4300</v>
      </c>
      <c r="H67" s="397">
        <v>2960.81</v>
      </c>
      <c r="I67" s="396">
        <f t="shared" si="4"/>
        <v>1339.19</v>
      </c>
      <c r="J67" s="275">
        <f t="shared" si="5"/>
        <v>3.3955121703853959E-2</v>
      </c>
      <c r="K67" s="276">
        <v>2</v>
      </c>
      <c r="L67" s="276">
        <v>0.57999999999999996</v>
      </c>
      <c r="M67" s="278">
        <f t="shared" si="6"/>
        <v>13.603585884271052</v>
      </c>
      <c r="N67" s="340">
        <f t="shared" si="7"/>
        <v>36.784066146748458</v>
      </c>
      <c r="Q67" t="s">
        <v>583</v>
      </c>
    </row>
    <row r="68" spans="2:17" ht="14.1" customHeight="1" x14ac:dyDescent="0.3">
      <c r="C68" s="359" t="s">
        <v>567</v>
      </c>
      <c r="D68" s="276">
        <v>128.30850000000001</v>
      </c>
      <c r="E68" s="276">
        <v>19.86</v>
      </c>
      <c r="F68" s="276">
        <v>19.86</v>
      </c>
      <c r="G68" s="397">
        <v>4450</v>
      </c>
      <c r="H68" s="397">
        <v>2950</v>
      </c>
      <c r="I68" s="396">
        <f t="shared" si="4"/>
        <v>1500</v>
      </c>
      <c r="J68" s="275">
        <f t="shared" si="5"/>
        <v>7.5528700906344406E-2</v>
      </c>
      <c r="K68" s="276">
        <v>2</v>
      </c>
      <c r="L68" s="276">
        <v>0.57999999999999996</v>
      </c>
      <c r="M68" s="278">
        <f t="shared" si="6"/>
        <v>9.0131957978718411</v>
      </c>
      <c r="N68" s="340">
        <f t="shared" si="7"/>
        <v>22.705826222960962</v>
      </c>
    </row>
    <row r="69" spans="2:17" ht="14.1" customHeight="1" x14ac:dyDescent="0.3">
      <c r="C69" s="359" t="s">
        <v>568</v>
      </c>
      <c r="D69" s="276">
        <v>192.8871</v>
      </c>
      <c r="E69" s="276">
        <v>28.55</v>
      </c>
      <c r="F69" s="276">
        <v>28.55</v>
      </c>
      <c r="G69" s="397">
        <v>4750</v>
      </c>
      <c r="H69" s="397">
        <v>3350</v>
      </c>
      <c r="I69" s="396">
        <f t="shared" si="4"/>
        <v>1400</v>
      </c>
      <c r="J69" s="275">
        <f t="shared" si="5"/>
        <v>4.9036777583187391E-2</v>
      </c>
      <c r="K69" s="276">
        <v>2.2000000000000002</v>
      </c>
      <c r="L69" s="276">
        <v>0.57999999999999996</v>
      </c>
      <c r="M69" s="278">
        <f t="shared" si="6"/>
        <v>12.326722288198527</v>
      </c>
      <c r="N69" s="340">
        <f t="shared" si="7"/>
        <v>24.958372331835978</v>
      </c>
    </row>
    <row r="70" spans="2:17" ht="14.1" customHeight="1" x14ac:dyDescent="0.3">
      <c r="C70" s="359" t="s">
        <v>569</v>
      </c>
      <c r="D70" s="276">
        <v>140.6772</v>
      </c>
      <c r="E70" s="276">
        <v>25.97</v>
      </c>
      <c r="F70" s="276">
        <v>25.97</v>
      </c>
      <c r="G70" s="397">
        <v>4000</v>
      </c>
      <c r="H70" s="397">
        <v>2950.55</v>
      </c>
      <c r="I70" s="396">
        <f t="shared" si="4"/>
        <v>1049.4499999999998</v>
      </c>
      <c r="J70" s="275">
        <f t="shared" si="5"/>
        <v>4.0410088563727374E-2</v>
      </c>
      <c r="K70" s="276">
        <v>2</v>
      </c>
      <c r="L70" s="276">
        <v>0.57999999999999996</v>
      </c>
      <c r="M70" s="278">
        <f t="shared" si="6"/>
        <v>10.587036950300696</v>
      </c>
      <c r="N70" s="340">
        <f t="shared" si="7"/>
        <v>21.193855755233486</v>
      </c>
    </row>
    <row r="71" spans="2:17" ht="14.1" customHeight="1" x14ac:dyDescent="0.3">
      <c r="C71" s="359" t="s">
        <v>570</v>
      </c>
      <c r="D71" s="276">
        <v>389.54700000000003</v>
      </c>
      <c r="E71" s="276">
        <v>36.090000000000003</v>
      </c>
      <c r="F71" s="276">
        <v>36.090000000000003</v>
      </c>
      <c r="G71" s="397">
        <v>4500</v>
      </c>
      <c r="H71" s="397">
        <v>3350</v>
      </c>
      <c r="I71" s="396">
        <f t="shared" si="4"/>
        <v>1150</v>
      </c>
      <c r="J71" s="275">
        <f t="shared" si="5"/>
        <v>3.1864782488223886E-2</v>
      </c>
      <c r="K71" s="276">
        <v>2.2000000000000002</v>
      </c>
      <c r="L71" s="276">
        <v>0.57999999999999996</v>
      </c>
      <c r="M71" s="278">
        <f t="shared" si="6"/>
        <v>14.187833181228221</v>
      </c>
      <c r="N71" s="340">
        <f t="shared" si="7"/>
        <v>43.792977903213028</v>
      </c>
    </row>
    <row r="72" spans="2:17" ht="14.1" customHeight="1" x14ac:dyDescent="0.3">
      <c r="C72" s="359" t="s">
        <v>571</v>
      </c>
      <c r="D72" s="276">
        <v>136.34280000000001</v>
      </c>
      <c r="E72" s="276">
        <v>26.76</v>
      </c>
      <c r="F72" s="276">
        <v>26.76</v>
      </c>
      <c r="G72" s="397">
        <v>4528.45</v>
      </c>
      <c r="H72" s="397">
        <v>3050</v>
      </c>
      <c r="I72" s="396">
        <f t="shared" si="4"/>
        <v>1478.4499999999998</v>
      </c>
      <c r="J72" s="275">
        <f t="shared" si="5"/>
        <v>5.5248505231689081E-2</v>
      </c>
      <c r="K72" s="276">
        <v>2</v>
      </c>
      <c r="L72" s="276">
        <v>0.57999999999999996</v>
      </c>
      <c r="M72" s="278">
        <f t="shared" si="6"/>
        <v>10.779110511883397</v>
      </c>
      <c r="N72" s="340">
        <f t="shared" si="7"/>
        <v>20.174834070051926</v>
      </c>
    </row>
    <row r="73" spans="2:17" ht="14.1" customHeight="1" x14ac:dyDescent="0.3">
      <c r="C73" s="359" t="s">
        <v>572</v>
      </c>
      <c r="D73" s="276">
        <v>486.47789999999998</v>
      </c>
      <c r="E73" s="276">
        <v>48.22</v>
      </c>
      <c r="F73" s="276">
        <v>48.22</v>
      </c>
      <c r="G73" s="397">
        <v>4097.63</v>
      </c>
      <c r="H73" s="397">
        <v>3050</v>
      </c>
      <c r="I73" s="396">
        <f t="shared" si="4"/>
        <v>1047.6300000000001</v>
      </c>
      <c r="J73" s="275">
        <f t="shared" si="5"/>
        <v>2.1726047283284946E-2</v>
      </c>
      <c r="K73" s="276">
        <v>2</v>
      </c>
      <c r="L73" s="276">
        <v>0.57999999999999996</v>
      </c>
      <c r="M73" s="278">
        <f t="shared" si="6"/>
        <v>15.347144516734502</v>
      </c>
      <c r="N73" s="340">
        <f t="shared" si="7"/>
        <v>50.558737467671889</v>
      </c>
    </row>
    <row r="74" spans="2:17" ht="14.1" customHeight="1" x14ac:dyDescent="0.3">
      <c r="C74" s="359" t="s">
        <v>573</v>
      </c>
      <c r="D74" s="276">
        <v>18.190799999999999</v>
      </c>
      <c r="E74" s="276">
        <v>11.45</v>
      </c>
      <c r="F74" s="276">
        <v>11.45</v>
      </c>
      <c r="G74" s="397">
        <v>4350</v>
      </c>
      <c r="H74" s="397">
        <v>3050</v>
      </c>
      <c r="I74" s="396">
        <f t="shared" si="4"/>
        <v>1300</v>
      </c>
      <c r="J74" s="275">
        <f t="shared" si="5"/>
        <v>0.11353711790393013</v>
      </c>
      <c r="K74" s="276">
        <v>2</v>
      </c>
      <c r="L74" s="276">
        <v>0.57999999999999996</v>
      </c>
      <c r="M74" s="278">
        <f t="shared" si="6"/>
        <v>6.4770097537704387</v>
      </c>
      <c r="N74" s="340">
        <f t="shared" si="7"/>
        <v>4.4795865843972198</v>
      </c>
    </row>
    <row r="75" spans="2:17" ht="14.1" customHeight="1" x14ac:dyDescent="0.3">
      <c r="C75" s="359" t="s">
        <v>574</v>
      </c>
      <c r="D75" s="276">
        <v>411.07589999999999</v>
      </c>
      <c r="E75" s="276">
        <v>45.49</v>
      </c>
      <c r="F75" s="276">
        <v>45.49</v>
      </c>
      <c r="G75" s="397">
        <v>4640.72</v>
      </c>
      <c r="H75" s="397">
        <v>3050</v>
      </c>
      <c r="I75" s="396">
        <f t="shared" si="4"/>
        <v>1590.7200000000003</v>
      </c>
      <c r="J75" s="275">
        <f t="shared" si="5"/>
        <v>3.4968564519674658E-2</v>
      </c>
      <c r="K75" s="276">
        <v>2</v>
      </c>
      <c r="L75" s="276">
        <v>0.57999999999999996</v>
      </c>
      <c r="M75" s="278">
        <f t="shared" si="6"/>
        <v>14.819748079767656</v>
      </c>
      <c r="N75" s="340">
        <f t="shared" si="7"/>
        <v>44.242726460049212</v>
      </c>
    </row>
    <row r="76" spans="2:17" ht="14.1" customHeight="1" x14ac:dyDescent="0.3">
      <c r="C76" s="359" t="s">
        <v>575</v>
      </c>
      <c r="D76" s="276">
        <v>111.33</v>
      </c>
      <c r="E76" s="276">
        <v>23.63</v>
      </c>
      <c r="F76" s="276">
        <v>23.63</v>
      </c>
      <c r="G76" s="397">
        <v>4850</v>
      </c>
      <c r="H76" s="397">
        <v>3200</v>
      </c>
      <c r="I76" s="396">
        <f t="shared" si="4"/>
        <v>1650</v>
      </c>
      <c r="J76" s="275">
        <f t="shared" si="5"/>
        <v>6.9826491747778247E-2</v>
      </c>
      <c r="K76" s="276">
        <v>2</v>
      </c>
      <c r="L76" s="276">
        <v>0.57999999999999996</v>
      </c>
      <c r="M76" s="278">
        <f t="shared" si="6"/>
        <v>10.003903459985878</v>
      </c>
      <c r="N76" s="340">
        <f t="shared" si="7"/>
        <v>17.750206278005273</v>
      </c>
    </row>
    <row r="77" spans="2:17" ht="14.1" customHeight="1" x14ac:dyDescent="0.3">
      <c r="C77" s="359" t="s">
        <v>576</v>
      </c>
      <c r="D77" s="276">
        <v>18.011700000000001</v>
      </c>
      <c r="E77" s="276">
        <v>7.96</v>
      </c>
      <c r="F77" s="276">
        <v>7.96</v>
      </c>
      <c r="G77" s="397">
        <v>4300</v>
      </c>
      <c r="H77" s="397">
        <v>3200</v>
      </c>
      <c r="I77" s="396">
        <f t="shared" si="4"/>
        <v>1100</v>
      </c>
      <c r="J77" s="275">
        <f t="shared" si="5"/>
        <v>0.13819095477386933</v>
      </c>
      <c r="K77" s="276">
        <v>2</v>
      </c>
      <c r="L77" s="276">
        <v>0.57999999999999996</v>
      </c>
      <c r="M77" s="278">
        <f t="shared" si="6"/>
        <v>5.2076177630540874</v>
      </c>
      <c r="N77" s="340">
        <f t="shared" si="7"/>
        <v>5.5166609392528914</v>
      </c>
    </row>
    <row r="78" spans="2:17" x14ac:dyDescent="0.3">
      <c r="B78" s="559" t="s">
        <v>861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</row>
    <row r="79" spans="2:17" ht="14.1" customHeight="1" x14ac:dyDescent="0.3">
      <c r="C79" s="73"/>
      <c r="D79" s="190"/>
      <c r="E79" s="190"/>
      <c r="F79" s="190"/>
      <c r="G79" s="192"/>
      <c r="H79" s="192"/>
      <c r="I79" s="192"/>
      <c r="J79" s="102"/>
      <c r="K79" s="101"/>
      <c r="L79" s="192"/>
      <c r="M79" s="101"/>
      <c r="N79" s="101"/>
    </row>
    <row r="80" spans="2:17" x14ac:dyDescent="0.3">
      <c r="D80" s="675" t="str">
        <f>D3</f>
        <v>PARÁMETROS GEOMORFOLÓGICOS DE LA CUENCA DE  UCHIZA</v>
      </c>
      <c r="E80" s="675"/>
      <c r="F80" s="675"/>
      <c r="G80" s="675"/>
      <c r="H80" s="675"/>
      <c r="I80" s="675"/>
      <c r="J80" s="675"/>
      <c r="L80" s="192"/>
      <c r="M80" s="101"/>
      <c r="N80" s="101"/>
    </row>
    <row r="81" spans="3:14" ht="50.1" customHeight="1" x14ac:dyDescent="0.3">
      <c r="D81" s="419" t="s">
        <v>533</v>
      </c>
      <c r="E81" s="419" t="s">
        <v>534</v>
      </c>
      <c r="F81" s="419" t="s">
        <v>535</v>
      </c>
      <c r="G81" s="419" t="s">
        <v>536</v>
      </c>
      <c r="H81" s="419" t="s">
        <v>542</v>
      </c>
      <c r="I81" s="419" t="s">
        <v>537</v>
      </c>
      <c r="J81" s="419" t="s">
        <v>538</v>
      </c>
      <c r="L81" s="192"/>
      <c r="M81" s="101"/>
    </row>
    <row r="82" spans="3:14" x14ac:dyDescent="0.3">
      <c r="D82" s="276">
        <f>SUM(D87:D146)</f>
        <v>5559.7176000000018</v>
      </c>
      <c r="E82" s="276">
        <f>17755.1/1000</f>
        <v>17.755099999999999</v>
      </c>
      <c r="F82" s="277">
        <v>2913.33</v>
      </c>
      <c r="G82" s="277">
        <v>1050.5899999999999</v>
      </c>
      <c r="H82" s="274">
        <f>F82-G82</f>
        <v>1862.74</v>
      </c>
      <c r="I82" s="275">
        <f>H82/(E82*1000)</f>
        <v>0.10491295458769594</v>
      </c>
      <c r="J82" s="280">
        <v>49.3</v>
      </c>
      <c r="L82" s="192"/>
      <c r="M82" s="101"/>
    </row>
    <row r="83" spans="3:14" ht="14.1" customHeight="1" x14ac:dyDescent="0.3">
      <c r="C83" s="73"/>
      <c r="D83" s="190"/>
      <c r="E83" s="190"/>
      <c r="F83" s="190"/>
      <c r="G83" s="192"/>
      <c r="H83" s="192"/>
      <c r="I83" s="192"/>
      <c r="J83" s="102"/>
      <c r="K83" s="101"/>
      <c r="L83" s="192"/>
      <c r="M83" s="101"/>
      <c r="N83" s="101"/>
    </row>
    <row r="84" spans="3:14" x14ac:dyDescent="0.3">
      <c r="C84" s="73"/>
      <c r="D84" s="675" t="str">
        <f>C7</f>
        <v>PARÁMETROS GEOMORFOLÓGICOS DE CUENCA UCHIZA</v>
      </c>
      <c r="E84" s="675"/>
      <c r="F84" s="675"/>
      <c r="G84" s="675"/>
      <c r="H84" s="675"/>
      <c r="I84" s="675"/>
      <c r="J84" s="675" t="s">
        <v>584</v>
      </c>
      <c r="K84" s="675"/>
      <c r="L84" s="675"/>
      <c r="M84" s="675"/>
      <c r="N84" s="675"/>
    </row>
    <row r="85" spans="3:14" ht="25.2" customHeight="1" x14ac:dyDescent="0.3">
      <c r="C85" s="678" t="s">
        <v>540</v>
      </c>
      <c r="D85" s="680" t="s">
        <v>533</v>
      </c>
      <c r="E85" s="680" t="s">
        <v>534</v>
      </c>
      <c r="F85" s="680" t="s">
        <v>535</v>
      </c>
      <c r="G85" s="680" t="s">
        <v>536</v>
      </c>
      <c r="H85" s="680" t="s">
        <v>542</v>
      </c>
      <c r="I85" s="680" t="s">
        <v>537</v>
      </c>
      <c r="J85" s="684" t="s">
        <v>585</v>
      </c>
      <c r="K85" s="685"/>
      <c r="L85" s="686"/>
      <c r="M85" s="682" t="s">
        <v>586</v>
      </c>
      <c r="N85" s="682" t="s">
        <v>587</v>
      </c>
    </row>
    <row r="86" spans="3:14" ht="25.2" customHeight="1" x14ac:dyDescent="0.3">
      <c r="C86" s="679"/>
      <c r="D86" s="681"/>
      <c r="E86" s="681"/>
      <c r="F86" s="681"/>
      <c r="G86" s="681"/>
      <c r="H86" s="681"/>
      <c r="I86" s="681"/>
      <c r="J86" s="422" t="s">
        <v>588</v>
      </c>
      <c r="K86" s="422" t="s">
        <v>589</v>
      </c>
      <c r="L86" s="422" t="s">
        <v>590</v>
      </c>
      <c r="M86" s="683"/>
      <c r="N86" s="683"/>
    </row>
    <row r="87" spans="3:14" ht="14.1" customHeight="1" x14ac:dyDescent="0.3">
      <c r="C87" s="359" t="s">
        <v>591</v>
      </c>
      <c r="D87" s="276">
        <v>132.39179999999999</v>
      </c>
      <c r="E87" s="276">
        <v>23.94</v>
      </c>
      <c r="F87" s="397">
        <v>3900</v>
      </c>
      <c r="G87" s="397">
        <v>1200</v>
      </c>
      <c r="H87" s="396">
        <f>F87-G87</f>
        <v>2700</v>
      </c>
      <c r="I87" s="275">
        <f t="shared" ref="I87:I116" si="8">H87/(E87*1000)</f>
        <v>0.11278195488721804</v>
      </c>
      <c r="J87" s="278">
        <f>3.96*(E87^0.77)/(I87^0.385)/60</f>
        <v>1.7634261433297043</v>
      </c>
      <c r="K87" s="278">
        <f>14.6*E87*(D87^-0.1)*(I87^-0.2)/60</f>
        <v>5.5295745697231382</v>
      </c>
      <c r="L87" s="278">
        <f>GEOMEAN(J87,K87)</f>
        <v>3.122658540048989</v>
      </c>
      <c r="M87" s="280">
        <v>9</v>
      </c>
      <c r="N87" s="278">
        <f>M87*L87</f>
        <v>28.1039268604409</v>
      </c>
    </row>
    <row r="88" spans="3:14" ht="14.1" customHeight="1" x14ac:dyDescent="0.3">
      <c r="C88" s="359" t="s">
        <v>592</v>
      </c>
      <c r="D88" s="276">
        <v>494.58690000000001</v>
      </c>
      <c r="E88" s="276">
        <v>47.02</v>
      </c>
      <c r="F88" s="397">
        <v>5146.75</v>
      </c>
      <c r="G88" s="397">
        <v>1200</v>
      </c>
      <c r="H88" s="396">
        <f t="shared" ref="H88:H116" si="9">F88-G88</f>
        <v>3946.75</v>
      </c>
      <c r="I88" s="275">
        <f t="shared" si="8"/>
        <v>8.3937686091025102E-2</v>
      </c>
      <c r="J88" s="278">
        <f t="shared" ref="J88:J116" si="10">3.96*(E88^0.77)/(I88^0.385)/60</f>
        <v>3.322600410433775</v>
      </c>
      <c r="K88" s="278">
        <f t="shared" ref="K88:K116" si="11">14.6*E88*(D88^-0.1)*(I88^-0.2)/60</f>
        <v>10.098772080537618</v>
      </c>
      <c r="L88" s="278">
        <f t="shared" ref="L88:L116" si="12">GEOMEAN(J88,K88)</f>
        <v>5.7925973673017737</v>
      </c>
      <c r="M88" s="280">
        <v>9</v>
      </c>
      <c r="N88" s="278">
        <f t="shared" ref="N88:N116" si="13">M88*L88</f>
        <v>52.133376305715963</v>
      </c>
    </row>
    <row r="89" spans="3:14" ht="14.1" customHeight="1" x14ac:dyDescent="0.3">
      <c r="C89" s="359" t="s">
        <v>593</v>
      </c>
      <c r="D89" s="276">
        <v>1.6326000000000001</v>
      </c>
      <c r="E89" s="276">
        <v>2.96</v>
      </c>
      <c r="F89" s="397">
        <v>2075.44</v>
      </c>
      <c r="G89" s="397">
        <v>1500</v>
      </c>
      <c r="H89" s="396">
        <f t="shared" si="9"/>
        <v>575.44000000000005</v>
      </c>
      <c r="I89" s="275">
        <f t="shared" si="8"/>
        <v>0.19440540540540543</v>
      </c>
      <c r="J89" s="278">
        <f t="shared" si="10"/>
        <v>0.28594719692052573</v>
      </c>
      <c r="K89" s="278">
        <f t="shared" si="11"/>
        <v>0.9516202389675229</v>
      </c>
      <c r="L89" s="278">
        <f t="shared" si="12"/>
        <v>0.52164464903380736</v>
      </c>
      <c r="M89" s="280">
        <v>9</v>
      </c>
      <c r="N89" s="278">
        <f t="shared" si="13"/>
        <v>4.6948018413042663</v>
      </c>
    </row>
    <row r="90" spans="3:14" ht="14.1" customHeight="1" x14ac:dyDescent="0.3">
      <c r="C90" s="359" t="s">
        <v>594</v>
      </c>
      <c r="D90" s="276">
        <v>241.23509999999999</v>
      </c>
      <c r="E90" s="276">
        <v>36.68</v>
      </c>
      <c r="F90" s="397">
        <v>5047.16</v>
      </c>
      <c r="G90" s="397">
        <v>1550</v>
      </c>
      <c r="H90" s="396">
        <f t="shared" si="9"/>
        <v>3497.16</v>
      </c>
      <c r="I90" s="275">
        <f t="shared" si="8"/>
        <v>9.5342420937840774E-2</v>
      </c>
      <c r="J90" s="278">
        <f t="shared" si="10"/>
        <v>2.6129394135477284</v>
      </c>
      <c r="K90" s="278">
        <f t="shared" si="11"/>
        <v>8.251438127050136</v>
      </c>
      <c r="L90" s="278">
        <f t="shared" si="12"/>
        <v>4.6433293982464514</v>
      </c>
      <c r="M90" s="280">
        <v>9</v>
      </c>
      <c r="N90" s="278">
        <f t="shared" si="13"/>
        <v>41.789964584218062</v>
      </c>
    </row>
    <row r="91" spans="3:14" ht="14.1" customHeight="1" x14ac:dyDescent="0.3">
      <c r="C91" s="359" t="s">
        <v>595</v>
      </c>
      <c r="D91" s="276">
        <v>151.4691</v>
      </c>
      <c r="E91" s="276">
        <v>26.71</v>
      </c>
      <c r="F91" s="397">
        <v>4945.49</v>
      </c>
      <c r="G91" s="397">
        <v>1550</v>
      </c>
      <c r="H91" s="396">
        <f t="shared" si="9"/>
        <v>3395.49</v>
      </c>
      <c r="I91" s="275">
        <f t="shared" si="8"/>
        <v>0.12712429801572445</v>
      </c>
      <c r="J91" s="278">
        <f t="shared" si="10"/>
        <v>1.8321238604459242</v>
      </c>
      <c r="K91" s="278">
        <f t="shared" si="11"/>
        <v>5.9428856707369198</v>
      </c>
      <c r="L91" s="278">
        <f t="shared" si="12"/>
        <v>3.2997125082739087</v>
      </c>
      <c r="M91" s="280">
        <v>9</v>
      </c>
      <c r="N91" s="278">
        <f t="shared" si="13"/>
        <v>29.697412574465179</v>
      </c>
    </row>
    <row r="92" spans="3:14" ht="14.1" customHeight="1" x14ac:dyDescent="0.3">
      <c r="C92" s="359" t="s">
        <v>591</v>
      </c>
      <c r="D92" s="276">
        <v>196.7868</v>
      </c>
      <c r="E92" s="276">
        <v>34.31</v>
      </c>
      <c r="F92" s="397">
        <v>4950</v>
      </c>
      <c r="G92" s="397">
        <v>1800</v>
      </c>
      <c r="H92" s="396">
        <f t="shared" si="9"/>
        <v>3150</v>
      </c>
      <c r="I92" s="275">
        <f t="shared" si="8"/>
        <v>9.1809967939376277E-2</v>
      </c>
      <c r="J92" s="278">
        <f t="shared" si="10"/>
        <v>2.5182874530685972</v>
      </c>
      <c r="K92" s="278">
        <f t="shared" si="11"/>
        <v>7.9367876336479375</v>
      </c>
      <c r="L92" s="278">
        <f t="shared" si="12"/>
        <v>4.4706948806069962</v>
      </c>
      <c r="M92" s="280">
        <v>9</v>
      </c>
      <c r="N92" s="278">
        <f t="shared" si="13"/>
        <v>40.236253925462968</v>
      </c>
    </row>
    <row r="93" spans="3:14" ht="14.1" customHeight="1" x14ac:dyDescent="0.3">
      <c r="C93" s="359" t="s">
        <v>592</v>
      </c>
      <c r="D93" s="276">
        <v>21.712499999999999</v>
      </c>
      <c r="E93" s="276">
        <v>8.09</v>
      </c>
      <c r="F93" s="397">
        <v>2884.21</v>
      </c>
      <c r="G93" s="397">
        <v>1500</v>
      </c>
      <c r="H93" s="396">
        <f t="shared" si="9"/>
        <v>1384.21</v>
      </c>
      <c r="I93" s="275">
        <f t="shared" si="8"/>
        <v>0.17110135970333745</v>
      </c>
      <c r="J93" s="278">
        <f t="shared" si="10"/>
        <v>0.65142093981872817</v>
      </c>
      <c r="K93" s="278">
        <f t="shared" si="11"/>
        <v>2.0598161158405479</v>
      </c>
      <c r="L93" s="278">
        <f t="shared" si="12"/>
        <v>1.1583640835396323</v>
      </c>
      <c r="M93" s="280">
        <v>9</v>
      </c>
      <c r="N93" s="278">
        <f t="shared" si="13"/>
        <v>10.425276751856691</v>
      </c>
    </row>
    <row r="94" spans="3:14" ht="14.1" customHeight="1" x14ac:dyDescent="0.3">
      <c r="C94" s="359" t="s">
        <v>593</v>
      </c>
      <c r="D94" s="276">
        <v>125.5671</v>
      </c>
      <c r="E94" s="276">
        <v>25.25</v>
      </c>
      <c r="F94" s="397">
        <v>4950</v>
      </c>
      <c r="G94" s="397">
        <v>1800</v>
      </c>
      <c r="H94" s="396">
        <f t="shared" si="9"/>
        <v>3150</v>
      </c>
      <c r="I94" s="275">
        <f t="shared" si="8"/>
        <v>0.12475247524752475</v>
      </c>
      <c r="J94" s="278">
        <f t="shared" si="10"/>
        <v>1.7672836885084704</v>
      </c>
      <c r="K94" s="278">
        <f t="shared" si="11"/>
        <v>5.7459992790415537</v>
      </c>
      <c r="L94" s="278">
        <f t="shared" si="12"/>
        <v>3.1866613877272196</v>
      </c>
      <c r="M94" s="280">
        <v>9</v>
      </c>
      <c r="N94" s="278">
        <f t="shared" si="13"/>
        <v>28.679952489544977</v>
      </c>
    </row>
    <row r="95" spans="3:14" ht="14.1" customHeight="1" x14ac:dyDescent="0.3">
      <c r="C95" s="359" t="s">
        <v>594</v>
      </c>
      <c r="D95" s="276">
        <v>205.1892</v>
      </c>
      <c r="E95" s="276">
        <v>31.81</v>
      </c>
      <c r="F95" s="397">
        <v>4969.25</v>
      </c>
      <c r="G95" s="397">
        <v>2504.2399999999998</v>
      </c>
      <c r="H95" s="396">
        <f t="shared" si="9"/>
        <v>2465.0100000000002</v>
      </c>
      <c r="I95" s="275">
        <f t="shared" si="8"/>
        <v>7.749166928638794E-2</v>
      </c>
      <c r="J95" s="278">
        <f t="shared" si="10"/>
        <v>2.5360322933124206</v>
      </c>
      <c r="K95" s="278">
        <f t="shared" si="11"/>
        <v>7.5805169195158708</v>
      </c>
      <c r="L95" s="278">
        <f t="shared" si="12"/>
        <v>4.3845679043542525</v>
      </c>
      <c r="M95" s="280">
        <v>9</v>
      </c>
      <c r="N95" s="278">
        <f t="shared" si="13"/>
        <v>39.461111139188276</v>
      </c>
    </row>
    <row r="96" spans="3:14" ht="14.1" customHeight="1" x14ac:dyDescent="0.3">
      <c r="C96" s="359" t="s">
        <v>595</v>
      </c>
      <c r="D96" s="276">
        <v>159.74369999999999</v>
      </c>
      <c r="E96" s="276">
        <v>24.8</v>
      </c>
      <c r="F96" s="397">
        <v>5300</v>
      </c>
      <c r="G96" s="397">
        <v>2500</v>
      </c>
      <c r="H96" s="396">
        <f t="shared" si="9"/>
        <v>2800</v>
      </c>
      <c r="I96" s="275">
        <f t="shared" si="8"/>
        <v>0.11290322580645161</v>
      </c>
      <c r="J96" s="278">
        <f t="shared" si="10"/>
        <v>1.8112557818619519</v>
      </c>
      <c r="K96" s="278">
        <f t="shared" si="11"/>
        <v>5.6204312805637899</v>
      </c>
      <c r="L96" s="278">
        <f t="shared" si="12"/>
        <v>3.1906172840813949</v>
      </c>
      <c r="M96" s="280">
        <v>9</v>
      </c>
      <c r="N96" s="278">
        <f t="shared" si="13"/>
        <v>28.715555556732554</v>
      </c>
    </row>
    <row r="97" spans="3:14" ht="14.1" customHeight="1" x14ac:dyDescent="0.3">
      <c r="C97" s="359" t="s">
        <v>591</v>
      </c>
      <c r="D97" s="276">
        <v>28.978200000000001</v>
      </c>
      <c r="E97" s="276">
        <v>11.29</v>
      </c>
      <c r="F97" s="397">
        <v>4750</v>
      </c>
      <c r="G97" s="397">
        <v>2800</v>
      </c>
      <c r="H97" s="396">
        <f t="shared" si="9"/>
        <v>1950</v>
      </c>
      <c r="I97" s="275">
        <f t="shared" si="8"/>
        <v>0.17271922054915856</v>
      </c>
      <c r="J97" s="278">
        <f t="shared" si="10"/>
        <v>0.83896165764838926</v>
      </c>
      <c r="K97" s="278">
        <f t="shared" si="11"/>
        <v>2.7875346395536114</v>
      </c>
      <c r="L97" s="278">
        <f t="shared" si="12"/>
        <v>1.529259520798286</v>
      </c>
      <c r="M97" s="280">
        <v>9</v>
      </c>
      <c r="N97" s="278">
        <f t="shared" si="13"/>
        <v>13.763335687184574</v>
      </c>
    </row>
    <row r="98" spans="3:14" ht="14.1" customHeight="1" x14ac:dyDescent="0.3">
      <c r="C98" s="359" t="s">
        <v>592</v>
      </c>
      <c r="D98" s="276">
        <v>112.52249999999999</v>
      </c>
      <c r="E98" s="276">
        <v>25.27</v>
      </c>
      <c r="F98" s="397">
        <v>4790.3999999999996</v>
      </c>
      <c r="G98" s="397">
        <v>2800</v>
      </c>
      <c r="H98" s="396">
        <f t="shared" si="9"/>
        <v>1990.3999999999996</v>
      </c>
      <c r="I98" s="275">
        <f t="shared" si="8"/>
        <v>7.8765334388603073E-2</v>
      </c>
      <c r="J98" s="278">
        <f t="shared" si="10"/>
        <v>2.1108673876065778</v>
      </c>
      <c r="K98" s="278">
        <f t="shared" si="11"/>
        <v>6.374056163473063</v>
      </c>
      <c r="L98" s="278">
        <f t="shared" si="12"/>
        <v>3.6680767824907905</v>
      </c>
      <c r="M98" s="280">
        <v>9</v>
      </c>
      <c r="N98" s="278">
        <f t="shared" si="13"/>
        <v>33.012691042417117</v>
      </c>
    </row>
    <row r="99" spans="3:14" ht="14.1" customHeight="1" x14ac:dyDescent="0.3">
      <c r="C99" s="359" t="s">
        <v>593</v>
      </c>
      <c r="D99" s="276">
        <v>142.2756</v>
      </c>
      <c r="E99" s="276">
        <v>27.61</v>
      </c>
      <c r="F99" s="397">
        <v>4950</v>
      </c>
      <c r="G99" s="397">
        <v>2800</v>
      </c>
      <c r="H99" s="396">
        <f t="shared" si="9"/>
        <v>2150</v>
      </c>
      <c r="I99" s="275">
        <f t="shared" si="8"/>
        <v>7.7870336834480261E-2</v>
      </c>
      <c r="J99" s="278">
        <f t="shared" si="10"/>
        <v>2.2697960094652569</v>
      </c>
      <c r="K99" s="278">
        <f t="shared" si="11"/>
        <v>6.8183699091189833</v>
      </c>
      <c r="L99" s="278">
        <f t="shared" si="12"/>
        <v>3.9339940023818354</v>
      </c>
      <c r="M99" s="280">
        <v>9</v>
      </c>
      <c r="N99" s="278">
        <f t="shared" si="13"/>
        <v>35.40594602143652</v>
      </c>
    </row>
    <row r="100" spans="3:14" ht="14.1" customHeight="1" x14ac:dyDescent="0.3">
      <c r="C100" s="359" t="s">
        <v>594</v>
      </c>
      <c r="D100" s="276">
        <v>22.3812</v>
      </c>
      <c r="E100" s="276">
        <v>8.59</v>
      </c>
      <c r="F100" s="397">
        <v>4150</v>
      </c>
      <c r="G100" s="397">
        <v>2800.08</v>
      </c>
      <c r="H100" s="396">
        <f t="shared" si="9"/>
        <v>1349.92</v>
      </c>
      <c r="I100" s="275">
        <f t="shared" si="8"/>
        <v>0.15715017462165309</v>
      </c>
      <c r="J100" s="278">
        <f t="shared" si="10"/>
        <v>0.7049161288037793</v>
      </c>
      <c r="K100" s="278">
        <f t="shared" si="11"/>
        <v>2.2179076497201775</v>
      </c>
      <c r="L100" s="278">
        <f t="shared" si="12"/>
        <v>1.2503754933958982</v>
      </c>
      <c r="M100" s="280">
        <v>9</v>
      </c>
      <c r="N100" s="278">
        <f t="shared" si="13"/>
        <v>11.253379440563084</v>
      </c>
    </row>
    <row r="101" spans="3:14" ht="14.1" customHeight="1" x14ac:dyDescent="0.3">
      <c r="C101" s="359" t="s">
        <v>595</v>
      </c>
      <c r="D101" s="276">
        <v>182.29859999999999</v>
      </c>
      <c r="E101" s="276">
        <v>27.92</v>
      </c>
      <c r="F101" s="397">
        <v>4900</v>
      </c>
      <c r="G101" s="397">
        <v>2850</v>
      </c>
      <c r="H101" s="396">
        <f t="shared" si="9"/>
        <v>2050</v>
      </c>
      <c r="I101" s="275">
        <f t="shared" si="8"/>
        <v>7.3424068767908315E-2</v>
      </c>
      <c r="J101" s="278">
        <f t="shared" si="10"/>
        <v>2.3418064732516091</v>
      </c>
      <c r="K101" s="278">
        <f t="shared" si="11"/>
        <v>6.8056717208870916</v>
      </c>
      <c r="L101" s="278">
        <f t="shared" si="12"/>
        <v>3.9921881331919726</v>
      </c>
      <c r="M101" s="280">
        <v>9</v>
      </c>
      <c r="N101" s="278">
        <f t="shared" si="13"/>
        <v>35.929693198727755</v>
      </c>
    </row>
    <row r="102" spans="3:14" ht="14.1" customHeight="1" x14ac:dyDescent="0.3">
      <c r="C102" s="359" t="s">
        <v>591</v>
      </c>
      <c r="D102" s="276">
        <v>169.8903</v>
      </c>
      <c r="E102" s="276">
        <v>26.12</v>
      </c>
      <c r="F102" s="397">
        <v>4748.49</v>
      </c>
      <c r="G102" s="397">
        <v>2950</v>
      </c>
      <c r="H102" s="396">
        <f t="shared" si="9"/>
        <v>1798.4899999999998</v>
      </c>
      <c r="I102" s="275">
        <f t="shared" si="8"/>
        <v>6.8854900459418056E-2</v>
      </c>
      <c r="J102" s="278">
        <f t="shared" si="10"/>
        <v>2.2803859647287741</v>
      </c>
      <c r="K102" s="278">
        <f t="shared" si="11"/>
        <v>6.4948772677791213</v>
      </c>
      <c r="L102" s="278">
        <f t="shared" si="12"/>
        <v>3.8484837227250264</v>
      </c>
      <c r="M102" s="280">
        <v>9</v>
      </c>
      <c r="N102" s="278">
        <f t="shared" si="13"/>
        <v>34.636353504525239</v>
      </c>
    </row>
    <row r="103" spans="3:14" ht="14.1" customHeight="1" x14ac:dyDescent="0.3">
      <c r="C103" s="359" t="s">
        <v>592</v>
      </c>
      <c r="D103" s="276">
        <v>106.20269999999999</v>
      </c>
      <c r="E103" s="276">
        <v>16.72</v>
      </c>
      <c r="F103" s="397">
        <v>4943.8500000000004</v>
      </c>
      <c r="G103" s="397">
        <v>2750</v>
      </c>
      <c r="H103" s="396">
        <f t="shared" si="9"/>
        <v>2193.8500000000004</v>
      </c>
      <c r="I103" s="275">
        <f t="shared" si="8"/>
        <v>0.1312111244019139</v>
      </c>
      <c r="J103" s="278">
        <f t="shared" si="10"/>
        <v>1.2618774015721783</v>
      </c>
      <c r="K103" s="278">
        <f t="shared" si="11"/>
        <v>3.8302770761223899</v>
      </c>
      <c r="L103" s="278">
        <f t="shared" si="12"/>
        <v>2.1984858617054606</v>
      </c>
      <c r="M103" s="280">
        <v>9</v>
      </c>
      <c r="N103" s="278">
        <f t="shared" si="13"/>
        <v>19.786372755349145</v>
      </c>
    </row>
    <row r="104" spans="3:14" ht="14.1" customHeight="1" x14ac:dyDescent="0.3">
      <c r="C104" s="359" t="s">
        <v>593</v>
      </c>
      <c r="D104" s="276">
        <v>110.8053</v>
      </c>
      <c r="E104" s="276">
        <v>16.22</v>
      </c>
      <c r="F104" s="397">
        <v>5111.1099999999997</v>
      </c>
      <c r="G104" s="397">
        <v>2750</v>
      </c>
      <c r="H104" s="396">
        <f t="shared" si="9"/>
        <v>2361.1099999999997</v>
      </c>
      <c r="I104" s="275">
        <f t="shared" si="8"/>
        <v>0.14556781750924783</v>
      </c>
      <c r="J104" s="278">
        <f t="shared" si="10"/>
        <v>1.1844123364976471</v>
      </c>
      <c r="K104" s="278">
        <f t="shared" si="11"/>
        <v>3.6239594351156175</v>
      </c>
      <c r="L104" s="278">
        <f t="shared" si="12"/>
        <v>2.0717775609167073</v>
      </c>
      <c r="M104" s="280">
        <v>9</v>
      </c>
      <c r="N104" s="278">
        <f t="shared" si="13"/>
        <v>18.645998048250366</v>
      </c>
    </row>
    <row r="105" spans="3:14" ht="14.1" customHeight="1" x14ac:dyDescent="0.3">
      <c r="C105" s="359" t="s">
        <v>594</v>
      </c>
      <c r="D105" s="276">
        <v>506.87819999999999</v>
      </c>
      <c r="E105" s="276">
        <v>41.64</v>
      </c>
      <c r="F105" s="397">
        <v>4750</v>
      </c>
      <c r="G105" s="397">
        <v>2850</v>
      </c>
      <c r="H105" s="396">
        <f t="shared" si="9"/>
        <v>1900</v>
      </c>
      <c r="I105" s="275">
        <f t="shared" si="8"/>
        <v>4.562920268972142E-2</v>
      </c>
      <c r="J105" s="278">
        <f t="shared" si="10"/>
        <v>3.8261208360839638</v>
      </c>
      <c r="K105" s="278">
        <f t="shared" si="11"/>
        <v>10.077977603595718</v>
      </c>
      <c r="L105" s="278">
        <f t="shared" si="12"/>
        <v>6.2096344574141487</v>
      </c>
      <c r="M105" s="280">
        <v>9</v>
      </c>
      <c r="N105" s="278">
        <f t="shared" si="13"/>
        <v>55.886710116727336</v>
      </c>
    </row>
    <row r="106" spans="3:14" ht="14.1" customHeight="1" x14ac:dyDescent="0.3">
      <c r="C106" s="359" t="s">
        <v>595</v>
      </c>
      <c r="D106" s="276">
        <v>313.72739999999999</v>
      </c>
      <c r="E106" s="276">
        <v>39.44</v>
      </c>
      <c r="F106" s="397">
        <v>4300</v>
      </c>
      <c r="G106" s="397">
        <v>2960.81</v>
      </c>
      <c r="H106" s="396">
        <f t="shared" si="9"/>
        <v>1339.19</v>
      </c>
      <c r="I106" s="275">
        <f t="shared" si="8"/>
        <v>3.3955121703853959E-2</v>
      </c>
      <c r="J106" s="278">
        <f t="shared" si="10"/>
        <v>4.1116564140157932</v>
      </c>
      <c r="K106" s="278">
        <f t="shared" si="11"/>
        <v>10.624346062520399</v>
      </c>
      <c r="L106" s="278">
        <f t="shared" si="12"/>
        <v>6.6093615904023162</v>
      </c>
      <c r="M106" s="280">
        <v>9</v>
      </c>
      <c r="N106" s="278">
        <f t="shared" si="13"/>
        <v>59.484254313620845</v>
      </c>
    </row>
    <row r="107" spans="3:14" ht="14.1" customHeight="1" x14ac:dyDescent="0.3">
      <c r="C107" s="359" t="s">
        <v>591</v>
      </c>
      <c r="D107" s="276">
        <v>128.30850000000001</v>
      </c>
      <c r="E107" s="276">
        <v>19.86</v>
      </c>
      <c r="F107" s="397">
        <v>4450</v>
      </c>
      <c r="G107" s="397">
        <v>2950</v>
      </c>
      <c r="H107" s="396">
        <f t="shared" si="9"/>
        <v>1500</v>
      </c>
      <c r="I107" s="275">
        <f t="shared" si="8"/>
        <v>7.5528700906344406E-2</v>
      </c>
      <c r="J107" s="278">
        <f t="shared" si="10"/>
        <v>1.7820292483426943</v>
      </c>
      <c r="K107" s="278">
        <f t="shared" si="11"/>
        <v>4.9857776197337866</v>
      </c>
      <c r="L107" s="278">
        <f t="shared" si="12"/>
        <v>2.9807384226224927</v>
      </c>
      <c r="M107" s="280">
        <v>9</v>
      </c>
      <c r="N107" s="278">
        <f t="shared" si="13"/>
        <v>26.826645803602435</v>
      </c>
    </row>
    <row r="108" spans="3:14" ht="14.1" customHeight="1" x14ac:dyDescent="0.3">
      <c r="C108" s="359" t="s">
        <v>592</v>
      </c>
      <c r="D108" s="276">
        <v>192.8871</v>
      </c>
      <c r="E108" s="276">
        <v>28.55</v>
      </c>
      <c r="F108" s="397">
        <v>4750</v>
      </c>
      <c r="G108" s="397">
        <v>3350</v>
      </c>
      <c r="H108" s="396">
        <f t="shared" si="9"/>
        <v>1400</v>
      </c>
      <c r="I108" s="275">
        <f t="shared" si="8"/>
        <v>4.9036777583187391E-2</v>
      </c>
      <c r="J108" s="278">
        <f t="shared" si="10"/>
        <v>2.7829775429481809</v>
      </c>
      <c r="K108" s="278">
        <f t="shared" si="11"/>
        <v>7.5019301301927204</v>
      </c>
      <c r="L108" s="278">
        <f t="shared" si="12"/>
        <v>4.5692125230823599</v>
      </c>
      <c r="M108" s="280">
        <v>9</v>
      </c>
      <c r="N108" s="278">
        <f t="shared" si="13"/>
        <v>41.122912707741236</v>
      </c>
    </row>
    <row r="109" spans="3:14" ht="14.1" customHeight="1" x14ac:dyDescent="0.3">
      <c r="C109" s="359" t="s">
        <v>593</v>
      </c>
      <c r="D109" s="276">
        <v>140.6772</v>
      </c>
      <c r="E109" s="276">
        <v>25.97</v>
      </c>
      <c r="F109" s="397">
        <v>4000</v>
      </c>
      <c r="G109" s="397">
        <v>2950.55</v>
      </c>
      <c r="H109" s="396">
        <f t="shared" si="9"/>
        <v>1049.4499999999998</v>
      </c>
      <c r="I109" s="275">
        <f t="shared" si="8"/>
        <v>4.0410088563727374E-2</v>
      </c>
      <c r="J109" s="278">
        <f t="shared" si="10"/>
        <v>2.7873323988231307</v>
      </c>
      <c r="K109" s="278">
        <f t="shared" si="11"/>
        <v>7.3207103338734791</v>
      </c>
      <c r="L109" s="278">
        <f t="shared" si="12"/>
        <v>4.5172174063249209</v>
      </c>
      <c r="M109" s="280">
        <v>9</v>
      </c>
      <c r="N109" s="278">
        <f t="shared" si="13"/>
        <v>40.654956656924284</v>
      </c>
    </row>
    <row r="110" spans="3:14" ht="14.1" customHeight="1" x14ac:dyDescent="0.3">
      <c r="C110" s="359" t="s">
        <v>594</v>
      </c>
      <c r="D110" s="276">
        <v>389.54700000000003</v>
      </c>
      <c r="E110" s="276">
        <v>36.090000000000003</v>
      </c>
      <c r="F110" s="397">
        <v>4500</v>
      </c>
      <c r="G110" s="397">
        <v>3350</v>
      </c>
      <c r="H110" s="396">
        <f t="shared" si="9"/>
        <v>1150</v>
      </c>
      <c r="I110" s="275">
        <f t="shared" si="8"/>
        <v>3.1864782488223886E-2</v>
      </c>
      <c r="J110" s="278">
        <f t="shared" si="10"/>
        <v>3.9351121644712661</v>
      </c>
      <c r="K110" s="278">
        <f t="shared" si="11"/>
        <v>9.6354124444555005</v>
      </c>
      <c r="L110" s="278">
        <f t="shared" si="12"/>
        <v>6.1576317460428447</v>
      </c>
      <c r="M110" s="280">
        <v>9</v>
      </c>
      <c r="N110" s="278">
        <f t="shared" si="13"/>
        <v>55.418685714385603</v>
      </c>
    </row>
    <row r="111" spans="3:14" ht="14.1" customHeight="1" x14ac:dyDescent="0.3">
      <c r="C111" s="359" t="s">
        <v>595</v>
      </c>
      <c r="D111" s="276">
        <v>136.34280000000001</v>
      </c>
      <c r="E111" s="276">
        <v>26.76</v>
      </c>
      <c r="F111" s="397">
        <v>4528.45</v>
      </c>
      <c r="G111" s="397">
        <v>3050</v>
      </c>
      <c r="H111" s="396">
        <f t="shared" si="9"/>
        <v>1478.4499999999998</v>
      </c>
      <c r="I111" s="275">
        <f t="shared" si="8"/>
        <v>5.5248505231689081E-2</v>
      </c>
      <c r="J111" s="278">
        <f t="shared" si="10"/>
        <v>2.5288020478323299</v>
      </c>
      <c r="K111" s="278">
        <f t="shared" si="11"/>
        <v>7.1082122474389271</v>
      </c>
      <c r="L111" s="278">
        <f t="shared" si="12"/>
        <v>4.2397242466639744</v>
      </c>
      <c r="M111" s="280">
        <v>9</v>
      </c>
      <c r="N111" s="278">
        <f t="shared" si="13"/>
        <v>38.157518219975771</v>
      </c>
    </row>
    <row r="112" spans="3:14" ht="14.1" customHeight="1" x14ac:dyDescent="0.3">
      <c r="C112" s="359" t="s">
        <v>592</v>
      </c>
      <c r="D112" s="276">
        <v>486.47789999999998</v>
      </c>
      <c r="E112" s="276">
        <v>48.22</v>
      </c>
      <c r="F112" s="397">
        <v>4097.63</v>
      </c>
      <c r="G112" s="397">
        <v>3050</v>
      </c>
      <c r="H112" s="396">
        <f t="shared" si="9"/>
        <v>1047.6300000000001</v>
      </c>
      <c r="I112" s="275">
        <f t="shared" si="8"/>
        <v>2.1726047283284946E-2</v>
      </c>
      <c r="J112" s="278">
        <f t="shared" si="10"/>
        <v>5.7002159214298143</v>
      </c>
      <c r="K112" s="278">
        <f t="shared" si="11"/>
        <v>13.593345511397455</v>
      </c>
      <c r="L112" s="278">
        <f t="shared" si="12"/>
        <v>8.8025567030019332</v>
      </c>
      <c r="M112" s="280">
        <v>9</v>
      </c>
      <c r="N112" s="278">
        <f t="shared" si="13"/>
        <v>79.223010327017391</v>
      </c>
    </row>
    <row r="113" spans="3:14" ht="14.1" customHeight="1" x14ac:dyDescent="0.3">
      <c r="C113" s="359" t="s">
        <v>593</v>
      </c>
      <c r="D113" s="276">
        <v>18.190799999999999</v>
      </c>
      <c r="E113" s="276">
        <v>11.45</v>
      </c>
      <c r="F113" s="397">
        <v>4350</v>
      </c>
      <c r="G113" s="397">
        <v>3050</v>
      </c>
      <c r="H113" s="396">
        <f t="shared" si="9"/>
        <v>1300</v>
      </c>
      <c r="I113" s="275">
        <f t="shared" si="8"/>
        <v>0.11353711790393013</v>
      </c>
      <c r="J113" s="278">
        <f t="shared" si="10"/>
        <v>0.99677257873168168</v>
      </c>
      <c r="K113" s="278">
        <f t="shared" si="11"/>
        <v>3.2210268055078495</v>
      </c>
      <c r="L113" s="278">
        <f t="shared" si="12"/>
        <v>1.7918234274308198</v>
      </c>
      <c r="M113" s="280">
        <v>9</v>
      </c>
      <c r="N113" s="278">
        <f t="shared" si="13"/>
        <v>16.126410846877377</v>
      </c>
    </row>
    <row r="114" spans="3:14" ht="14.1" customHeight="1" x14ac:dyDescent="0.3">
      <c r="C114" s="359" t="s">
        <v>594</v>
      </c>
      <c r="D114" s="276">
        <v>136.34280000000001</v>
      </c>
      <c r="E114" s="276">
        <v>26.76</v>
      </c>
      <c r="F114" s="397">
        <v>4528.45</v>
      </c>
      <c r="G114" s="397">
        <v>3050</v>
      </c>
      <c r="H114" s="396">
        <f t="shared" si="9"/>
        <v>1478.4499999999998</v>
      </c>
      <c r="I114" s="275">
        <f t="shared" si="8"/>
        <v>5.5248505231689081E-2</v>
      </c>
      <c r="J114" s="278">
        <f t="shared" si="10"/>
        <v>2.5288020478323299</v>
      </c>
      <c r="K114" s="278">
        <f t="shared" si="11"/>
        <v>7.1082122474389271</v>
      </c>
      <c r="L114" s="278">
        <f t="shared" si="12"/>
        <v>4.2397242466639744</v>
      </c>
      <c r="M114" s="280">
        <v>9</v>
      </c>
      <c r="N114" s="278">
        <f t="shared" si="13"/>
        <v>38.157518219975771</v>
      </c>
    </row>
    <row r="115" spans="3:14" ht="14.1" customHeight="1" x14ac:dyDescent="0.3">
      <c r="C115" s="359" t="s">
        <v>595</v>
      </c>
      <c r="D115" s="276">
        <v>486.47789999999998</v>
      </c>
      <c r="E115" s="276">
        <v>48.22</v>
      </c>
      <c r="F115" s="397">
        <v>4097.63</v>
      </c>
      <c r="G115" s="397">
        <v>3050</v>
      </c>
      <c r="H115" s="396">
        <f t="shared" si="9"/>
        <v>1047.6300000000001</v>
      </c>
      <c r="I115" s="275">
        <f t="shared" si="8"/>
        <v>2.1726047283284946E-2</v>
      </c>
      <c r="J115" s="278">
        <f t="shared" si="10"/>
        <v>5.7002159214298143</v>
      </c>
      <c r="K115" s="278">
        <f t="shared" si="11"/>
        <v>13.593345511397455</v>
      </c>
      <c r="L115" s="278">
        <f t="shared" si="12"/>
        <v>8.8025567030019332</v>
      </c>
      <c r="M115" s="280">
        <v>9</v>
      </c>
      <c r="N115" s="278">
        <f t="shared" si="13"/>
        <v>79.223010327017391</v>
      </c>
    </row>
    <row r="116" spans="3:14" ht="14.1" customHeight="1" x14ac:dyDescent="0.3">
      <c r="C116" s="359" t="s">
        <v>595</v>
      </c>
      <c r="D116" s="276">
        <v>18.190799999999999</v>
      </c>
      <c r="E116" s="276">
        <v>11.45</v>
      </c>
      <c r="F116" s="397">
        <v>4350</v>
      </c>
      <c r="G116" s="397">
        <v>3050</v>
      </c>
      <c r="H116" s="396">
        <f t="shared" si="9"/>
        <v>1300</v>
      </c>
      <c r="I116" s="275">
        <f t="shared" si="8"/>
        <v>0.11353711790393013</v>
      </c>
      <c r="J116" s="278">
        <f t="shared" si="10"/>
        <v>0.99677257873168168</v>
      </c>
      <c r="K116" s="278">
        <f t="shared" si="11"/>
        <v>3.2210268055078495</v>
      </c>
      <c r="L116" s="278">
        <f t="shared" si="12"/>
        <v>1.7918234274308198</v>
      </c>
      <c r="M116" s="280">
        <v>9</v>
      </c>
      <c r="N116" s="278">
        <f t="shared" si="13"/>
        <v>16.126410846877377</v>
      </c>
    </row>
  </sheetData>
  <mergeCells count="33">
    <mergeCell ref="D84:I84"/>
    <mergeCell ref="J84:N84"/>
    <mergeCell ref="M85:M86"/>
    <mergeCell ref="N85:N86"/>
    <mergeCell ref="J85:L85"/>
    <mergeCell ref="H85:H86"/>
    <mergeCell ref="I85:I86"/>
    <mergeCell ref="C85:C86"/>
    <mergeCell ref="D85:D86"/>
    <mergeCell ref="E85:E86"/>
    <mergeCell ref="F85:F86"/>
    <mergeCell ref="G85:G86"/>
    <mergeCell ref="B1:N1"/>
    <mergeCell ref="D3:J3"/>
    <mergeCell ref="D41:J41"/>
    <mergeCell ref="L7:N7"/>
    <mergeCell ref="B39:N39"/>
    <mergeCell ref="C7:K7"/>
    <mergeCell ref="D45:J45"/>
    <mergeCell ref="K45:N45"/>
    <mergeCell ref="M46:N46"/>
    <mergeCell ref="B78:N78"/>
    <mergeCell ref="D80:J80"/>
    <mergeCell ref="C46:C47"/>
    <mergeCell ref="D46:D47"/>
    <mergeCell ref="E46:E47"/>
    <mergeCell ref="F46:F47"/>
    <mergeCell ref="G46:G47"/>
    <mergeCell ref="H46:H47"/>
    <mergeCell ref="I46:I47"/>
    <mergeCell ref="J46:J47"/>
    <mergeCell ref="K46:K47"/>
    <mergeCell ref="L46:L47"/>
  </mergeCells>
  <printOptions horizontalCentered="1" verticalCentered="1"/>
  <pageMargins left="0.94488188976377963" right="0.9055118110236221" top="0.72" bottom="0.47244094488188981" header="0.4" footer="0.31496062992125984"/>
  <pageSetup paperSize="9" scale="62" orientation="landscape" r:id="rId1"/>
  <rowBreaks count="2" manualBreakCount="2">
    <brk id="38" min="1" max="13" man="1"/>
    <brk id="77" min="1" max="1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2">
    <tabColor rgb="FF7030A0"/>
  </sheetPr>
  <dimension ref="B1:O40"/>
  <sheetViews>
    <sheetView showGridLines="0" view="pageBreakPreview" zoomScaleNormal="70" zoomScaleSheetLayoutView="100" workbookViewId="0">
      <selection activeCell="G16" sqref="G16"/>
    </sheetView>
  </sheetViews>
  <sheetFormatPr baseColWidth="10" defaultColWidth="11.44140625" defaultRowHeight="14.4" x14ac:dyDescent="0.3"/>
  <cols>
    <col min="1" max="1" width="9" customWidth="1"/>
    <col min="2" max="2" width="3.6640625" customWidth="1"/>
    <col min="3" max="4" width="11.33203125" customWidth="1"/>
    <col min="5" max="15" width="10.6640625" customWidth="1"/>
  </cols>
  <sheetData>
    <row r="1" spans="2:15" ht="15" customHeight="1" x14ac:dyDescent="0.3">
      <c r="B1" s="687" t="s">
        <v>773</v>
      </c>
      <c r="C1" s="687"/>
      <c r="D1" s="687"/>
      <c r="E1" s="687"/>
      <c r="F1" s="687"/>
      <c r="G1" s="687"/>
      <c r="H1" s="687"/>
      <c r="I1" s="687"/>
      <c r="J1" s="687"/>
      <c r="K1" s="687"/>
      <c r="L1" s="687"/>
      <c r="M1" s="687"/>
      <c r="N1" s="687"/>
      <c r="O1" s="687"/>
    </row>
    <row r="2" spans="2:15" ht="15" customHeight="1" x14ac:dyDescent="0.3"/>
    <row r="3" spans="2:15" ht="15" customHeight="1" x14ac:dyDescent="0.3">
      <c r="C3" s="24" t="s">
        <v>335</v>
      </c>
      <c r="D3" s="21"/>
      <c r="E3" s="21"/>
      <c r="F3" s="21"/>
    </row>
    <row r="4" spans="2:15" ht="15" customHeight="1" x14ac:dyDescent="0.3">
      <c r="C4" s="23" t="s">
        <v>113</v>
      </c>
      <c r="D4" s="197">
        <v>15</v>
      </c>
      <c r="E4" s="21" t="s">
        <v>354</v>
      </c>
      <c r="F4" s="21" t="s">
        <v>768</v>
      </c>
    </row>
    <row r="5" spans="2:15" ht="15" customHeight="1" x14ac:dyDescent="0.3">
      <c r="C5" s="23" t="s">
        <v>769</v>
      </c>
      <c r="D5" s="213">
        <v>40</v>
      </c>
      <c r="E5" s="21" t="s">
        <v>438</v>
      </c>
      <c r="F5" s="21" t="s">
        <v>775</v>
      </c>
    </row>
    <row r="6" spans="2:15" ht="15" customHeight="1" x14ac:dyDescent="0.3"/>
    <row r="7" spans="2:15" ht="15" customHeight="1" x14ac:dyDescent="0.3">
      <c r="C7" s="24" t="s">
        <v>392</v>
      </c>
    </row>
    <row r="8" spans="2:15" ht="15" customHeight="1" x14ac:dyDescent="0.3"/>
    <row r="9" spans="2:15" ht="15" customHeight="1" x14ac:dyDescent="0.3">
      <c r="C9" s="23" t="s">
        <v>770</v>
      </c>
      <c r="D9" s="192">
        <f>1/(1-((1-(D5/100))^(1/D4)))</f>
        <v>29.867065699847405</v>
      </c>
      <c r="E9" s="21" t="s">
        <v>354</v>
      </c>
      <c r="F9" s="21" t="s">
        <v>771</v>
      </c>
    </row>
    <row r="10" spans="2:15" ht="15" customHeight="1" x14ac:dyDescent="0.3"/>
    <row r="11" spans="2:15" ht="15" customHeight="1" x14ac:dyDescent="0.3">
      <c r="C11" s="534" t="s">
        <v>772</v>
      </c>
      <c r="D11" s="533" t="s">
        <v>214</v>
      </c>
      <c r="E11" s="533"/>
      <c r="F11" s="533"/>
      <c r="G11" s="533"/>
      <c r="H11" s="533"/>
      <c r="I11" s="533"/>
      <c r="J11" s="533"/>
      <c r="K11" s="533"/>
      <c r="L11" s="533"/>
      <c r="M11" s="533"/>
      <c r="N11" s="533"/>
      <c r="O11" s="533"/>
    </row>
    <row r="12" spans="2:15" ht="15" customHeight="1" x14ac:dyDescent="0.3">
      <c r="C12" s="534"/>
      <c r="D12" s="416">
        <v>2</v>
      </c>
      <c r="E12" s="416">
        <v>5</v>
      </c>
      <c r="F12" s="416">
        <v>10</v>
      </c>
      <c r="G12" s="416">
        <v>20</v>
      </c>
      <c r="H12" s="416">
        <v>25</v>
      </c>
      <c r="I12" s="416">
        <v>50</v>
      </c>
      <c r="J12" s="416">
        <v>100</v>
      </c>
      <c r="K12" s="416">
        <v>150</v>
      </c>
      <c r="L12" s="416">
        <v>200</v>
      </c>
      <c r="M12" s="416">
        <v>500</v>
      </c>
      <c r="N12" s="416">
        <v>1000</v>
      </c>
      <c r="O12" s="416">
        <v>10000</v>
      </c>
    </row>
    <row r="13" spans="2:15" ht="15" customHeight="1" x14ac:dyDescent="0.3">
      <c r="C13" s="534"/>
      <c r="D13" s="533" t="s">
        <v>774</v>
      </c>
      <c r="E13" s="533"/>
      <c r="F13" s="533"/>
      <c r="G13" s="533"/>
      <c r="H13" s="533"/>
      <c r="I13" s="533"/>
      <c r="J13" s="533"/>
      <c r="K13" s="533"/>
      <c r="L13" s="533"/>
      <c r="M13" s="533"/>
      <c r="N13" s="533"/>
      <c r="O13" s="533"/>
    </row>
    <row r="14" spans="2:15" ht="15" customHeight="1" x14ac:dyDescent="0.3">
      <c r="C14" s="64">
        <v>2</v>
      </c>
      <c r="D14" s="353">
        <f t="shared" ref="D14:D24" si="0">1-((1-(1/D$12))^C14)</f>
        <v>0.75</v>
      </c>
      <c r="E14" s="353">
        <f t="shared" ref="E14:E24" si="1">1-((1-(1/E$12))^C14)</f>
        <v>0.35999999999999988</v>
      </c>
      <c r="F14" s="353">
        <f t="shared" ref="F14:F24" si="2">1-((1-(1/F$12))^C14)</f>
        <v>0.18999999999999995</v>
      </c>
      <c r="G14" s="353">
        <f t="shared" ref="G14:G24" si="3">1-((1-(1/G$12))^C14)</f>
        <v>9.7500000000000031E-2</v>
      </c>
      <c r="H14" s="353">
        <f t="shared" ref="H14:H24" si="4">1-((1-(1/H$12))^C14)</f>
        <v>7.8400000000000025E-2</v>
      </c>
      <c r="I14" s="353">
        <f t="shared" ref="I14:I24" si="5">1-((1-(1/I$12))^C14)</f>
        <v>3.960000000000008E-2</v>
      </c>
      <c r="J14" s="353">
        <f t="shared" ref="J14:J24" si="6">1-((1-(1/J$12))^C14)</f>
        <v>1.9900000000000029E-2</v>
      </c>
      <c r="K14" s="353">
        <f t="shared" ref="K14:K24" si="7">1-((1-(1/K$12))^C14)</f>
        <v>1.3288888888889017E-2</v>
      </c>
      <c r="L14" s="353">
        <f t="shared" ref="L14:L24" si="8">1-((1-(1/L$12))^C14)</f>
        <v>9.9749999999999561E-3</v>
      </c>
      <c r="M14" s="353">
        <f t="shared" ref="M14:M24" si="9">1-((1-(1/M$12))^C14)</f>
        <v>3.9959999999999996E-3</v>
      </c>
      <c r="N14" s="353">
        <f t="shared" ref="N14:N24" si="10">1-((1-(1/N$12))^C14)</f>
        <v>1.998999999999973E-3</v>
      </c>
      <c r="O14" s="353">
        <f t="shared" ref="O14:O24" si="11">1-((1-(1/O$12))^C14)</f>
        <v>1.9998999999992773E-4</v>
      </c>
    </row>
    <row r="15" spans="2:15" ht="15" customHeight="1" x14ac:dyDescent="0.3">
      <c r="C15" s="64">
        <v>5</v>
      </c>
      <c r="D15" s="353">
        <f t="shared" si="0"/>
        <v>0.96875</v>
      </c>
      <c r="E15" s="353">
        <f t="shared" si="1"/>
        <v>0.67231999999999981</v>
      </c>
      <c r="F15" s="353">
        <f t="shared" si="2"/>
        <v>0.40950999999999982</v>
      </c>
      <c r="G15" s="353">
        <f t="shared" si="3"/>
        <v>0.22621906250000001</v>
      </c>
      <c r="H15" s="353">
        <f t="shared" si="4"/>
        <v>0.18462730240000003</v>
      </c>
      <c r="I15" s="353">
        <f t="shared" si="5"/>
        <v>9.6079203200000185E-2</v>
      </c>
      <c r="J15" s="353">
        <f t="shared" si="6"/>
        <v>4.9009950100000088E-2</v>
      </c>
      <c r="K15" s="353">
        <f t="shared" si="7"/>
        <v>3.2891841988477721E-2</v>
      </c>
      <c r="L15" s="353">
        <f t="shared" si="8"/>
        <v>2.4751246878124911E-2</v>
      </c>
      <c r="M15" s="353">
        <f t="shared" si="9"/>
        <v>9.9600799200320056E-3</v>
      </c>
      <c r="N15" s="353">
        <f t="shared" si="10"/>
        <v>4.990009995000988E-3</v>
      </c>
      <c r="O15" s="353">
        <f t="shared" si="11"/>
        <v>4.9990000999933226E-4</v>
      </c>
    </row>
    <row r="16" spans="2:15" ht="15" customHeight="1" x14ac:dyDescent="0.3">
      <c r="C16" s="64">
        <v>10</v>
      </c>
      <c r="D16" s="353">
        <f t="shared" si="0"/>
        <v>0.9990234375</v>
      </c>
      <c r="E16" s="353">
        <f t="shared" si="1"/>
        <v>0.89262581759999993</v>
      </c>
      <c r="F16" s="353">
        <f t="shared" si="2"/>
        <v>0.65132155989999985</v>
      </c>
      <c r="G16" s="353">
        <f t="shared" si="3"/>
        <v>0.4012630607616211</v>
      </c>
      <c r="H16" s="353">
        <f t="shared" si="4"/>
        <v>0.335167364008499</v>
      </c>
      <c r="I16" s="353">
        <f t="shared" si="5"/>
        <v>0.18292719311245342</v>
      </c>
      <c r="J16" s="353">
        <f t="shared" si="6"/>
        <v>9.5617924991195702E-2</v>
      </c>
      <c r="K16" s="353">
        <f t="shared" si="7"/>
        <v>6.4701810707560425E-2</v>
      </c>
      <c r="L16" s="353">
        <f t="shared" si="8"/>
        <v>4.8889869534228025E-2</v>
      </c>
      <c r="M16" s="353">
        <f t="shared" si="9"/>
        <v>1.9820956648050503E-2</v>
      </c>
      <c r="N16" s="353">
        <f t="shared" si="10"/>
        <v>9.9551197902516542E-3</v>
      </c>
      <c r="O16" s="353">
        <f t="shared" si="11"/>
        <v>9.9955011997876486E-4</v>
      </c>
    </row>
    <row r="17" spans="3:15" ht="15" customHeight="1" x14ac:dyDescent="0.3">
      <c r="C17" s="64">
        <v>20</v>
      </c>
      <c r="D17" s="353">
        <f t="shared" si="0"/>
        <v>0.99999904632568359</v>
      </c>
      <c r="E17" s="353">
        <f t="shared" si="1"/>
        <v>0.98847078495393148</v>
      </c>
      <c r="F17" s="353">
        <f t="shared" si="2"/>
        <v>0.87842334540943057</v>
      </c>
      <c r="G17" s="353">
        <f t="shared" si="3"/>
        <v>0.64151407759145784</v>
      </c>
      <c r="H17" s="353">
        <f t="shared" si="4"/>
        <v>0.55799756612059226</v>
      </c>
      <c r="I17" s="353">
        <f t="shared" si="5"/>
        <v>0.33239202824490588</v>
      </c>
      <c r="J17" s="353">
        <f t="shared" si="6"/>
        <v>0.18209306240276935</v>
      </c>
      <c r="K17" s="353">
        <f t="shared" si="7"/>
        <v>0.12521729710628404</v>
      </c>
      <c r="L17" s="353">
        <f t="shared" si="8"/>
        <v>9.5389519725382232E-2</v>
      </c>
      <c r="M17" s="353">
        <f t="shared" si="9"/>
        <v>3.9249042973657056E-2</v>
      </c>
      <c r="N17" s="353">
        <f t="shared" si="10"/>
        <v>1.9811135170465177E-2</v>
      </c>
      <c r="O17" s="353">
        <f t="shared" si="11"/>
        <v>1.9981011395151516E-3</v>
      </c>
    </row>
    <row r="18" spans="3:15" ht="15" customHeight="1" x14ac:dyDescent="0.3">
      <c r="C18" s="64">
        <v>25</v>
      </c>
      <c r="D18" s="353">
        <f t="shared" si="0"/>
        <v>0.99999997019767761</v>
      </c>
      <c r="E18" s="353">
        <f t="shared" si="1"/>
        <v>0.99622210681370427</v>
      </c>
      <c r="F18" s="353">
        <f t="shared" si="2"/>
        <v>0.92821020123081466</v>
      </c>
      <c r="G18" s="353">
        <f t="shared" si="3"/>
        <v>0.72261042687816601</v>
      </c>
      <c r="H18" s="353">
        <f t="shared" si="4"/>
        <v>0.63960328314198178</v>
      </c>
      <c r="I18" s="353">
        <f t="shared" si="5"/>
        <v>0.39653527022110358</v>
      </c>
      <c r="J18" s="353">
        <f t="shared" si="6"/>
        <v>0.22217864060085357</v>
      </c>
      <c r="K18" s="353">
        <f t="shared" si="7"/>
        <v>0.15399051154411758</v>
      </c>
      <c r="L18" s="353">
        <f t="shared" si="8"/>
        <v>0.11777975705119847</v>
      </c>
      <c r="M18" s="353">
        <f t="shared" si="9"/>
        <v>4.8818199288886643E-2</v>
      </c>
      <c r="N18" s="353">
        <f t="shared" si="10"/>
        <v>2.4702287402953105E-2</v>
      </c>
      <c r="O18" s="353">
        <f t="shared" si="11"/>
        <v>2.4970022987349516E-3</v>
      </c>
    </row>
    <row r="19" spans="3:15" ht="15" customHeight="1" x14ac:dyDescent="0.3">
      <c r="C19" s="64">
        <v>40</v>
      </c>
      <c r="D19" s="353">
        <f t="shared" si="0"/>
        <v>0.99999999999909051</v>
      </c>
      <c r="E19" s="353">
        <f t="shared" si="1"/>
        <v>0.99986707720042156</v>
      </c>
      <c r="F19" s="353">
        <f t="shared" si="2"/>
        <v>0.98521911705856535</v>
      </c>
      <c r="G19" s="353">
        <f t="shared" si="3"/>
        <v>0.87148784343489671</v>
      </c>
      <c r="H19" s="353">
        <f t="shared" si="4"/>
        <v>0.80463384844467978</v>
      </c>
      <c r="I19" s="353">
        <f t="shared" si="5"/>
        <v>0.55429959604904955</v>
      </c>
      <c r="J19" s="353">
        <f t="shared" si="6"/>
        <v>0.33102824143031995</v>
      </c>
      <c r="K19" s="353">
        <f t="shared" si="7"/>
        <v>0.23475522271796456</v>
      </c>
      <c r="L19" s="353">
        <f t="shared" si="8"/>
        <v>0.1816798789773254</v>
      </c>
      <c r="M19" s="353">
        <f t="shared" si="9"/>
        <v>7.6957598572966246E-2</v>
      </c>
      <c r="N19" s="353">
        <f t="shared" si="10"/>
        <v>3.9229789264187853E-2</v>
      </c>
      <c r="O19" s="353">
        <f t="shared" si="11"/>
        <v>3.9922098708665699E-3</v>
      </c>
    </row>
    <row r="20" spans="3:15" ht="15" customHeight="1" x14ac:dyDescent="0.3">
      <c r="C20" s="64">
        <v>50</v>
      </c>
      <c r="D20" s="353">
        <f t="shared" si="0"/>
        <v>0.99999999999999911</v>
      </c>
      <c r="E20" s="353">
        <f t="shared" si="1"/>
        <v>0.99998572752307291</v>
      </c>
      <c r="F20" s="353">
        <f t="shared" si="2"/>
        <v>0.99484622479267992</v>
      </c>
      <c r="G20" s="353">
        <f t="shared" si="3"/>
        <v>0.92305502472328671</v>
      </c>
      <c r="H20" s="353">
        <f t="shared" si="4"/>
        <v>0.87011420647796145</v>
      </c>
      <c r="I20" s="353">
        <f t="shared" si="5"/>
        <v>0.63583031991288352</v>
      </c>
      <c r="J20" s="353">
        <f t="shared" si="6"/>
        <v>0.39499393286246387</v>
      </c>
      <c r="K20" s="353">
        <f t="shared" si="7"/>
        <v>0.28426794544261613</v>
      </c>
      <c r="L20" s="353">
        <f t="shared" si="8"/>
        <v>0.22168744293135767</v>
      </c>
      <c r="M20" s="353">
        <f t="shared" si="9"/>
        <v>9.5253181995963998E-2</v>
      </c>
      <c r="N20" s="353">
        <f t="shared" si="10"/>
        <v>4.8794371802968306E-2</v>
      </c>
      <c r="O20" s="353">
        <f t="shared" si="11"/>
        <v>4.9877695769898756E-3</v>
      </c>
    </row>
    <row r="21" spans="3:15" ht="15" customHeight="1" x14ac:dyDescent="0.3">
      <c r="C21" s="64">
        <v>75</v>
      </c>
      <c r="D21" s="353">
        <f t="shared" si="0"/>
        <v>1</v>
      </c>
      <c r="E21" s="353">
        <f t="shared" si="1"/>
        <v>0.99999994608010667</v>
      </c>
      <c r="F21" s="353">
        <f t="shared" si="2"/>
        <v>0.99963001151496489</v>
      </c>
      <c r="G21" s="353">
        <f t="shared" si="3"/>
        <v>0.97865626615412238</v>
      </c>
      <c r="H21" s="353">
        <f t="shared" si="4"/>
        <v>0.95318958644815888</v>
      </c>
      <c r="I21" s="353">
        <f t="shared" si="5"/>
        <v>0.78023644241256107</v>
      </c>
      <c r="J21" s="353">
        <f t="shared" si="6"/>
        <v>0.52941335841435033</v>
      </c>
      <c r="K21" s="353">
        <f t="shared" si="7"/>
        <v>0.39448389065242984</v>
      </c>
      <c r="L21" s="353">
        <f t="shared" si="8"/>
        <v>0.31335690681279937</v>
      </c>
      <c r="M21" s="353">
        <f t="shared" si="9"/>
        <v>0.13942129246327106</v>
      </c>
      <c r="N21" s="353">
        <f t="shared" si="10"/>
        <v>7.2291326609998041E-2</v>
      </c>
      <c r="O21" s="353">
        <f t="shared" si="11"/>
        <v>7.472317403625417E-3</v>
      </c>
    </row>
    <row r="22" spans="3:15" ht="15" customHeight="1" x14ac:dyDescent="0.3">
      <c r="C22" s="64">
        <v>100</v>
      </c>
      <c r="D22" s="353">
        <f t="shared" si="0"/>
        <v>1</v>
      </c>
      <c r="E22" s="353">
        <f t="shared" si="1"/>
        <v>0.99999999979629639</v>
      </c>
      <c r="F22" s="353">
        <f t="shared" si="2"/>
        <v>0.99997343860111243</v>
      </c>
      <c r="G22" s="353">
        <f t="shared" si="3"/>
        <v>0.99407947077966596</v>
      </c>
      <c r="H22" s="353">
        <f t="shared" si="4"/>
        <v>0.98312968064115036</v>
      </c>
      <c r="I22" s="353">
        <f t="shared" si="5"/>
        <v>0.86738044410524728</v>
      </c>
      <c r="J22" s="353">
        <f t="shared" si="6"/>
        <v>0.63396765872677108</v>
      </c>
      <c r="K22" s="353">
        <f t="shared" si="7"/>
        <v>0.48772762607906606</v>
      </c>
      <c r="L22" s="353">
        <f t="shared" si="8"/>
        <v>0.3942295635092713</v>
      </c>
      <c r="M22" s="353">
        <f t="shared" si="9"/>
        <v>0.18143319531157176</v>
      </c>
      <c r="N22" s="353">
        <f t="shared" si="10"/>
        <v>9.5207852886290301E-2</v>
      </c>
      <c r="O22" s="353">
        <f t="shared" si="11"/>
        <v>9.9506613086266515E-3</v>
      </c>
    </row>
    <row r="23" spans="3:15" ht="15" customHeight="1" x14ac:dyDescent="0.3">
      <c r="C23" s="64">
        <v>150</v>
      </c>
      <c r="D23" s="353">
        <f t="shared" si="0"/>
        <v>1</v>
      </c>
      <c r="E23" s="353">
        <f t="shared" si="1"/>
        <v>0.99999999999999711</v>
      </c>
      <c r="F23" s="353">
        <f t="shared" si="2"/>
        <v>0.99999986310852096</v>
      </c>
      <c r="G23" s="353">
        <f t="shared" si="3"/>
        <v>0.99954444502551631</v>
      </c>
      <c r="H23" s="353">
        <f t="shared" si="4"/>
        <v>0.99780878518310556</v>
      </c>
      <c r="I23" s="353">
        <f t="shared" si="5"/>
        <v>0.95170397875651247</v>
      </c>
      <c r="J23" s="353">
        <f t="shared" si="6"/>
        <v>0.77854821276113939</v>
      </c>
      <c r="K23" s="353">
        <f t="shared" si="7"/>
        <v>0.6333502413205816</v>
      </c>
      <c r="L23" s="353">
        <f t="shared" si="8"/>
        <v>0.52852126257831333</v>
      </c>
      <c r="M23" s="353">
        <f t="shared" si="9"/>
        <v>0.25940428813441307</v>
      </c>
      <c r="N23" s="353">
        <f t="shared" si="10"/>
        <v>0.13935661731696247</v>
      </c>
      <c r="O23" s="353">
        <f t="shared" si="11"/>
        <v>1.4888799279870413E-2</v>
      </c>
    </row>
    <row r="24" spans="3:15" ht="15" customHeight="1" x14ac:dyDescent="0.3">
      <c r="C24" s="64">
        <v>200</v>
      </c>
      <c r="D24" s="353">
        <f t="shared" si="0"/>
        <v>1</v>
      </c>
      <c r="E24" s="353">
        <f t="shared" si="1"/>
        <v>1</v>
      </c>
      <c r="F24" s="353">
        <f t="shared" si="2"/>
        <v>0.99999999929449213</v>
      </c>
      <c r="G24" s="353">
        <f t="shared" si="3"/>
        <v>0.99996494733375119</v>
      </c>
      <c r="H24" s="353">
        <f t="shared" si="4"/>
        <v>0.99971539232473039</v>
      </c>
      <c r="I24" s="353">
        <f t="shared" si="5"/>
        <v>0.98241205339427851</v>
      </c>
      <c r="J24" s="353">
        <f t="shared" si="6"/>
        <v>0.86602032514203853</v>
      </c>
      <c r="K24" s="353">
        <f t="shared" si="7"/>
        <v>0.7375770149174109</v>
      </c>
      <c r="L24" s="353">
        <f t="shared" si="8"/>
        <v>0.63304217827383202</v>
      </c>
      <c r="M24" s="353">
        <f t="shared" si="9"/>
        <v>0.32994838626217637</v>
      </c>
      <c r="N24" s="353">
        <f t="shared" si="10"/>
        <v>0.18135117052136307</v>
      </c>
      <c r="O24" s="353">
        <f t="shared" si="11"/>
        <v>1.9802306956774318E-2</v>
      </c>
    </row>
    <row r="25" spans="3:15" ht="15" customHeight="1" x14ac:dyDescent="0.3"/>
    <row r="26" spans="3:15" ht="15" customHeight="1" x14ac:dyDescent="0.3"/>
    <row r="27" spans="3:15" ht="30" customHeight="1" x14ac:dyDescent="0.3">
      <c r="C27" s="534" t="s">
        <v>844</v>
      </c>
      <c r="D27" s="534"/>
      <c r="E27" s="421" t="s">
        <v>851</v>
      </c>
      <c r="F27" s="421" t="s">
        <v>850</v>
      </c>
      <c r="G27" s="421" t="s">
        <v>855</v>
      </c>
      <c r="H27" s="421" t="s">
        <v>856</v>
      </c>
    </row>
    <row r="28" spans="3:15" ht="15" customHeight="1" x14ac:dyDescent="0.3">
      <c r="C28" s="688" t="s">
        <v>845</v>
      </c>
      <c r="D28" s="688"/>
      <c r="E28" s="103">
        <v>40</v>
      </c>
      <c r="F28" s="103">
        <v>25</v>
      </c>
      <c r="G28" s="364">
        <f>1/(1-((1-(F28/100))^(1/E28)))</f>
        <v>139.54297920842168</v>
      </c>
      <c r="H28" s="65">
        <v>150</v>
      </c>
    </row>
    <row r="29" spans="3:15" ht="15" customHeight="1" x14ac:dyDescent="0.3">
      <c r="C29" s="688" t="s">
        <v>849</v>
      </c>
      <c r="D29" s="688"/>
      <c r="E29" s="103">
        <v>40</v>
      </c>
      <c r="F29" s="103">
        <v>25</v>
      </c>
      <c r="G29" s="364">
        <f t="shared" ref="G29:G35" si="12">1/(1-((1-(F29/100))^(1/E29)))</f>
        <v>139.54297920842168</v>
      </c>
      <c r="H29" s="65">
        <v>150</v>
      </c>
    </row>
    <row r="30" spans="3:15" ht="15" customHeight="1" x14ac:dyDescent="0.3">
      <c r="C30" s="688" t="s">
        <v>852</v>
      </c>
      <c r="D30" s="688"/>
      <c r="E30" s="103">
        <v>25</v>
      </c>
      <c r="F30" s="103">
        <v>30</v>
      </c>
      <c r="G30" s="364">
        <f t="shared" si="12"/>
        <v>70.593020213874567</v>
      </c>
      <c r="H30" s="65">
        <v>75</v>
      </c>
    </row>
    <row r="31" spans="3:15" ht="15" customHeight="1" x14ac:dyDescent="0.3">
      <c r="C31" s="688" t="s">
        <v>854</v>
      </c>
      <c r="D31" s="688"/>
      <c r="E31" s="103">
        <v>25</v>
      </c>
      <c r="F31" s="103">
        <v>30</v>
      </c>
      <c r="G31" s="364">
        <f t="shared" si="12"/>
        <v>70.593020213874567</v>
      </c>
      <c r="H31" s="65">
        <v>75</v>
      </c>
    </row>
    <row r="32" spans="3:15" ht="15" customHeight="1" x14ac:dyDescent="0.3">
      <c r="C32" s="688" t="s">
        <v>847</v>
      </c>
      <c r="D32" s="688"/>
      <c r="E32" s="103">
        <v>25</v>
      </c>
      <c r="F32" s="103">
        <v>30</v>
      </c>
      <c r="G32" s="364">
        <f t="shared" si="12"/>
        <v>70.593020213874567</v>
      </c>
      <c r="H32" s="65">
        <v>75</v>
      </c>
    </row>
    <row r="33" spans="3:8" ht="15" customHeight="1" x14ac:dyDescent="0.3">
      <c r="C33" s="688" t="s">
        <v>846</v>
      </c>
      <c r="D33" s="688"/>
      <c r="E33" s="103">
        <v>15</v>
      </c>
      <c r="F33" s="103">
        <v>35</v>
      </c>
      <c r="G33" s="364">
        <f t="shared" si="12"/>
        <v>35.322715552711315</v>
      </c>
      <c r="H33" s="65">
        <v>35</v>
      </c>
    </row>
    <row r="34" spans="3:8" ht="15" customHeight="1" x14ac:dyDescent="0.3">
      <c r="C34" s="688" t="s">
        <v>853</v>
      </c>
      <c r="D34" s="688"/>
      <c r="E34" s="103">
        <v>15</v>
      </c>
      <c r="F34" s="103">
        <v>40</v>
      </c>
      <c r="G34" s="364">
        <f t="shared" si="12"/>
        <v>29.867065699847405</v>
      </c>
      <c r="H34" s="65">
        <v>30</v>
      </c>
    </row>
    <row r="35" spans="3:8" ht="15" customHeight="1" x14ac:dyDescent="0.3">
      <c r="C35" s="688" t="s">
        <v>848</v>
      </c>
      <c r="D35" s="688"/>
      <c r="E35" s="103">
        <v>15</v>
      </c>
      <c r="F35" s="103">
        <v>40</v>
      </c>
      <c r="G35" s="364">
        <f t="shared" si="12"/>
        <v>29.867065699847405</v>
      </c>
      <c r="H35" s="65">
        <v>30</v>
      </c>
    </row>
    <row r="36" spans="3:8" ht="12" customHeight="1" x14ac:dyDescent="0.3">
      <c r="G36" s="236" t="s">
        <v>857</v>
      </c>
    </row>
    <row r="37" spans="3:8" ht="12" customHeight="1" x14ac:dyDescent="0.3">
      <c r="G37" s="236" t="s">
        <v>858</v>
      </c>
    </row>
    <row r="38" spans="3:8" ht="12" customHeight="1" x14ac:dyDescent="0.3">
      <c r="G38" s="236" t="s">
        <v>859</v>
      </c>
    </row>
    <row r="39" spans="3:8" ht="15" customHeight="1" x14ac:dyDescent="0.3"/>
    <row r="40" spans="3:8" ht="15" customHeight="1" x14ac:dyDescent="0.3"/>
  </sheetData>
  <mergeCells count="13">
    <mergeCell ref="C35:D35"/>
    <mergeCell ref="C32:D32"/>
    <mergeCell ref="C27:D27"/>
    <mergeCell ref="C30:D30"/>
    <mergeCell ref="C29:D29"/>
    <mergeCell ref="C31:D31"/>
    <mergeCell ref="C33:D33"/>
    <mergeCell ref="C34:D34"/>
    <mergeCell ref="B1:O1"/>
    <mergeCell ref="C11:C13"/>
    <mergeCell ref="D11:O11"/>
    <mergeCell ref="D13:O13"/>
    <mergeCell ref="C28:D28"/>
  </mergeCells>
  <pageMargins left="0.7" right="0.7" top="0.75" bottom="0.75" header="0.3" footer="0.3"/>
  <pageSetup scale="61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1">
    <tabColor rgb="FF7030A0"/>
  </sheetPr>
  <dimension ref="B1:AE71"/>
  <sheetViews>
    <sheetView showGridLines="0" view="pageBreakPreview" zoomScale="70" zoomScaleNormal="60" zoomScaleSheetLayoutView="70" workbookViewId="0">
      <selection activeCell="F43" sqref="F43"/>
    </sheetView>
  </sheetViews>
  <sheetFormatPr baseColWidth="10" defaultColWidth="11.44140625" defaultRowHeight="14.4" x14ac:dyDescent="0.3"/>
  <cols>
    <col min="2" max="2" width="3.5546875" customWidth="1"/>
    <col min="3" max="3" width="10.6640625" customWidth="1"/>
    <col min="6" max="7" width="12.6640625" customWidth="1"/>
    <col min="8" max="8" width="10.44140625" customWidth="1"/>
    <col min="9" max="9" width="8" customWidth="1"/>
    <col min="10" max="12" width="14.6640625" customWidth="1"/>
    <col min="13" max="13" width="4" customWidth="1"/>
    <col min="14" max="14" width="5.6640625" customWidth="1"/>
    <col min="16" max="16" width="14.33203125" customWidth="1"/>
    <col min="17" max="18" width="14.6640625" customWidth="1"/>
    <col min="19" max="19" width="10.33203125" customWidth="1"/>
    <col min="23" max="23" width="20.6640625" customWidth="1"/>
    <col min="24" max="24" width="8.33203125" customWidth="1"/>
    <col min="25" max="25" width="9.5546875" customWidth="1"/>
    <col min="26" max="26" width="23.6640625" customWidth="1"/>
    <col min="27" max="27" width="8.33203125" customWidth="1"/>
    <col min="28" max="28" width="10.6640625" customWidth="1"/>
  </cols>
  <sheetData>
    <row r="1" spans="2:31" x14ac:dyDescent="0.3">
      <c r="B1" s="687" t="s">
        <v>678</v>
      </c>
      <c r="C1" s="687"/>
      <c r="D1" s="687"/>
      <c r="E1" s="687"/>
      <c r="F1" s="687"/>
      <c r="G1" s="687"/>
      <c r="H1" s="687"/>
      <c r="I1" s="687"/>
      <c r="J1" s="687"/>
      <c r="K1" s="687"/>
      <c r="L1" s="687"/>
      <c r="M1" s="687"/>
      <c r="N1" s="687" t="s">
        <v>678</v>
      </c>
      <c r="O1" s="687"/>
      <c r="P1" s="687"/>
      <c r="Q1" s="687"/>
      <c r="R1" s="687"/>
      <c r="S1" s="687"/>
      <c r="T1" s="687"/>
      <c r="U1" s="687"/>
      <c r="V1" s="687"/>
      <c r="W1" s="687"/>
    </row>
    <row r="3" spans="2:31" ht="14.25" customHeight="1" x14ac:dyDescent="0.3">
      <c r="C3" s="169" t="s">
        <v>679</v>
      </c>
      <c r="O3" s="169" t="s">
        <v>680</v>
      </c>
    </row>
    <row r="4" spans="2:31" x14ac:dyDescent="0.3">
      <c r="C4" s="169" t="s">
        <v>718</v>
      </c>
    </row>
    <row r="5" spans="2:31" x14ac:dyDescent="0.3">
      <c r="C5" s="169" t="s">
        <v>719</v>
      </c>
      <c r="O5" s="24" t="s">
        <v>335</v>
      </c>
      <c r="P5" s="334" t="str">
        <f>IF(P6&lt;50,"No se puede aplicar esta fórmula, es para áreas mayores a 50 km2","")</f>
        <v/>
      </c>
      <c r="Q5" s="21"/>
      <c r="R5" s="21"/>
    </row>
    <row r="6" spans="2:31" ht="16.8" x14ac:dyDescent="0.3">
      <c r="O6" s="23" t="s">
        <v>358</v>
      </c>
      <c r="P6" s="189">
        <f>Cuadros!D9</f>
        <v>2039.3996629999999</v>
      </c>
      <c r="Q6" s="21" t="s">
        <v>359</v>
      </c>
      <c r="R6" s="21" t="s">
        <v>360</v>
      </c>
    </row>
    <row r="7" spans="2:31" x14ac:dyDescent="0.3">
      <c r="C7" s="21" t="s">
        <v>681</v>
      </c>
      <c r="D7" s="21"/>
    </row>
    <row r="8" spans="2:31" x14ac:dyDescent="0.3">
      <c r="C8" s="99" t="s">
        <v>10</v>
      </c>
      <c r="D8" s="21" t="s">
        <v>682</v>
      </c>
      <c r="O8" s="24" t="s">
        <v>683</v>
      </c>
    </row>
    <row r="9" spans="2:31" x14ac:dyDescent="0.3">
      <c r="C9" s="99" t="s">
        <v>10</v>
      </c>
      <c r="D9" s="21" t="s">
        <v>684</v>
      </c>
      <c r="Q9" s="335" t="s">
        <v>685</v>
      </c>
    </row>
    <row r="10" spans="2:31" x14ac:dyDescent="0.3">
      <c r="C10" s="99"/>
      <c r="D10" s="21" t="s">
        <v>686</v>
      </c>
    </row>
    <row r="11" spans="2:31" x14ac:dyDescent="0.3">
      <c r="C11" s="99" t="s">
        <v>10</v>
      </c>
      <c r="D11" s="21" t="s">
        <v>687</v>
      </c>
      <c r="Q11" s="398" t="s">
        <v>688</v>
      </c>
      <c r="R11" s="690" t="str">
        <f>CHOOSE(AA12,Z12,Z13,Z14,Z15,Z16,Z17,Z18)</f>
        <v>Costa Norte</v>
      </c>
      <c r="S11" s="690"/>
      <c r="Y11" s="64" t="s">
        <v>689</v>
      </c>
      <c r="Z11" s="336" t="s">
        <v>688</v>
      </c>
      <c r="AB11" s="337" t="s">
        <v>690</v>
      </c>
      <c r="AC11" s="337" t="s">
        <v>691</v>
      </c>
      <c r="AD11" s="337" t="s">
        <v>1</v>
      </c>
      <c r="AE11" s="337" t="s">
        <v>404</v>
      </c>
    </row>
    <row r="12" spans="2:31" x14ac:dyDescent="0.3">
      <c r="D12" s="21" t="s">
        <v>692</v>
      </c>
      <c r="Q12" s="398" t="s">
        <v>690</v>
      </c>
      <c r="R12" s="689">
        <f>CHOOSE(AA12,AB12,AB13,AB14,AB15,AB16,AB17,AB18)</f>
        <v>0.1</v>
      </c>
      <c r="S12" s="689"/>
      <c r="Y12" s="64">
        <v>1</v>
      </c>
      <c r="Z12" s="103" t="s">
        <v>693</v>
      </c>
      <c r="AA12" s="16">
        <v>2</v>
      </c>
      <c r="AB12" s="217">
        <v>1.01</v>
      </c>
      <c r="AC12" s="217">
        <v>4.37</v>
      </c>
      <c r="AD12" s="217">
        <v>1.02</v>
      </c>
      <c r="AE12" s="217">
        <v>0.04</v>
      </c>
    </row>
    <row r="13" spans="2:31" x14ac:dyDescent="0.3">
      <c r="C13" s="99" t="s">
        <v>10</v>
      </c>
      <c r="D13" s="21" t="s">
        <v>694</v>
      </c>
      <c r="Q13" s="398" t="s">
        <v>691</v>
      </c>
      <c r="R13" s="689">
        <f>CHOOSE(AA12,AC12,AC13,AC14,AC15,AC16,AC17,AC18)</f>
        <v>1.28</v>
      </c>
      <c r="S13" s="689"/>
      <c r="Y13" s="64">
        <v>2</v>
      </c>
      <c r="Z13" s="103" t="s">
        <v>695</v>
      </c>
      <c r="AB13" s="217">
        <v>0.1</v>
      </c>
      <c r="AC13" s="217">
        <v>1.28</v>
      </c>
      <c r="AD13" s="217">
        <v>1.02</v>
      </c>
      <c r="AE13" s="217">
        <v>0.04</v>
      </c>
    </row>
    <row r="14" spans="2:31" x14ac:dyDescent="0.3">
      <c r="D14" s="21" t="s">
        <v>696</v>
      </c>
      <c r="Q14" s="398" t="s">
        <v>1</v>
      </c>
      <c r="R14" s="689">
        <f>CHOOSE(AA12,AD12,AD13,AD14,AD15,AD16,AD17,AD18)</f>
        <v>1.02</v>
      </c>
      <c r="S14" s="689"/>
      <c r="Y14" s="64">
        <v>3</v>
      </c>
      <c r="Z14" s="103" t="s">
        <v>697</v>
      </c>
      <c r="AB14" s="217">
        <v>0.27</v>
      </c>
      <c r="AC14" s="217">
        <v>1.48</v>
      </c>
      <c r="AD14" s="217">
        <v>1.02</v>
      </c>
      <c r="AE14" s="217">
        <v>0.04</v>
      </c>
    </row>
    <row r="15" spans="2:31" x14ac:dyDescent="0.3">
      <c r="Q15" s="398" t="s">
        <v>404</v>
      </c>
      <c r="R15" s="689">
        <f>CHOOSE(AA12,AE12,AE13,AE14,AE15,AE16,AE17,AE18)</f>
        <v>0.04</v>
      </c>
      <c r="S15" s="689"/>
      <c r="Y15" s="64">
        <v>4</v>
      </c>
      <c r="Z15" s="103" t="s">
        <v>698</v>
      </c>
      <c r="AB15" s="217">
        <v>0.09</v>
      </c>
      <c r="AC15" s="217">
        <v>0.36</v>
      </c>
      <c r="AD15" s="217">
        <v>1.24</v>
      </c>
      <c r="AE15" s="217">
        <v>0.04</v>
      </c>
    </row>
    <row r="16" spans="2:31" x14ac:dyDescent="0.3">
      <c r="C16" s="169" t="s">
        <v>699</v>
      </c>
      <c r="Y16" s="338">
        <v>5</v>
      </c>
      <c r="Z16" s="103" t="s">
        <v>700</v>
      </c>
      <c r="AB16" s="217">
        <v>0.11</v>
      </c>
      <c r="AC16" s="217">
        <v>0.26</v>
      </c>
      <c r="AD16" s="217">
        <v>1.24</v>
      </c>
      <c r="AE16" s="217">
        <v>0.04</v>
      </c>
    </row>
    <row r="17" spans="3:31" x14ac:dyDescent="0.3">
      <c r="I17" s="24" t="s">
        <v>701</v>
      </c>
      <c r="O17" s="24" t="s">
        <v>392</v>
      </c>
      <c r="Y17" s="64">
        <v>6</v>
      </c>
      <c r="Z17" s="103" t="s">
        <v>702</v>
      </c>
      <c r="AB17" s="217">
        <v>0.18</v>
      </c>
      <c r="AC17" s="217">
        <v>0.34</v>
      </c>
      <c r="AD17" s="217">
        <v>1.24</v>
      </c>
      <c r="AE17" s="217">
        <v>0.04</v>
      </c>
    </row>
    <row r="18" spans="3:31" x14ac:dyDescent="0.3">
      <c r="I18" s="24" t="s">
        <v>703</v>
      </c>
      <c r="Y18" s="64">
        <v>7</v>
      </c>
      <c r="Z18" s="103" t="s">
        <v>704</v>
      </c>
      <c r="AB18" s="217">
        <v>0.22</v>
      </c>
      <c r="AC18" s="217">
        <v>0.37</v>
      </c>
      <c r="AD18" s="217">
        <v>1.24</v>
      </c>
      <c r="AE18" s="217">
        <v>0.04</v>
      </c>
    </row>
    <row r="19" spans="3:31" x14ac:dyDescent="0.3">
      <c r="I19" s="24" t="s">
        <v>705</v>
      </c>
    </row>
    <row r="20" spans="3:31" x14ac:dyDescent="0.3">
      <c r="I20" s="24" t="s">
        <v>706</v>
      </c>
      <c r="P20" s="570" t="s">
        <v>151</v>
      </c>
      <c r="Q20" s="571" t="s">
        <v>707</v>
      </c>
      <c r="R20" s="571" t="s">
        <v>708</v>
      </c>
    </row>
    <row r="21" spans="3:31" ht="15" customHeight="1" x14ac:dyDescent="0.3">
      <c r="I21" s="24" t="s">
        <v>709</v>
      </c>
      <c r="P21" s="570"/>
      <c r="Q21" s="571"/>
      <c r="R21" s="571"/>
    </row>
    <row r="22" spans="3:31" ht="15" customHeight="1" x14ac:dyDescent="0.3">
      <c r="P22" s="103">
        <f>P24h_1!B6</f>
        <v>2</v>
      </c>
      <c r="Q22" s="342"/>
      <c r="R22" s="364">
        <f>($R$12+$R$13)*LOG10(P22)*($P$6^($R$14*($P$6^-$R$15)))</f>
        <v>128.01104492478922</v>
      </c>
    </row>
    <row r="23" spans="3:31" ht="15.75" customHeight="1" x14ac:dyDescent="0.3">
      <c r="C23" s="169" t="s">
        <v>710</v>
      </c>
      <c r="P23" s="103">
        <f>P24h_1!B7</f>
        <v>5</v>
      </c>
      <c r="Q23" s="342"/>
      <c r="R23" s="364">
        <f t="shared" ref="R23:R33" si="0">($R$12+$R$13)*LOG10(P23)*($P$6^($R$14*($P$6^-$R$15)))</f>
        <v>297.23244166675647</v>
      </c>
    </row>
    <row r="24" spans="3:31" ht="15.75" customHeight="1" x14ac:dyDescent="0.3">
      <c r="P24" s="103">
        <f>P24h_1!B8</f>
        <v>10</v>
      </c>
      <c r="Q24" s="342"/>
      <c r="R24" s="364">
        <f t="shared" si="0"/>
        <v>425.24348659154566</v>
      </c>
    </row>
    <row r="25" spans="3:31" ht="15" customHeight="1" x14ac:dyDescent="0.3">
      <c r="P25" s="103">
        <f>P24h_1!B9</f>
        <v>20</v>
      </c>
      <c r="Q25" s="342"/>
      <c r="R25" s="364">
        <f t="shared" si="0"/>
        <v>553.25453151633485</v>
      </c>
      <c r="T25" s="24" t="s">
        <v>711</v>
      </c>
    </row>
    <row r="26" spans="3:31" ht="15" customHeight="1" x14ac:dyDescent="0.3">
      <c r="P26" s="103">
        <f>P24h_1!B10</f>
        <v>25</v>
      </c>
      <c r="Q26" s="342"/>
      <c r="R26" s="364">
        <f t="shared" si="0"/>
        <v>594.46488333351294</v>
      </c>
      <c r="T26" s="24" t="s">
        <v>712</v>
      </c>
    </row>
    <row r="27" spans="3:31" ht="15" customHeight="1" x14ac:dyDescent="0.3">
      <c r="P27" s="103">
        <f>P24h_1!B11</f>
        <v>50</v>
      </c>
      <c r="Q27" s="342"/>
      <c r="R27" s="364">
        <f t="shared" si="0"/>
        <v>722.47592825830202</v>
      </c>
      <c r="T27" s="24" t="s">
        <v>713</v>
      </c>
    </row>
    <row r="28" spans="3:31" ht="15" customHeight="1" x14ac:dyDescent="0.3">
      <c r="P28" s="103">
        <f>P24h_1!B12</f>
        <v>75</v>
      </c>
      <c r="Q28" s="342"/>
      <c r="R28" s="364">
        <f t="shared" si="0"/>
        <v>797.35758921743513</v>
      </c>
      <c r="T28" s="24" t="s">
        <v>714</v>
      </c>
    </row>
    <row r="29" spans="3:31" ht="15" customHeight="1" x14ac:dyDescent="0.3">
      <c r="P29" s="103">
        <f>P24h_1!B13</f>
        <v>100</v>
      </c>
      <c r="Q29" s="342"/>
      <c r="R29" s="364">
        <f t="shared" si="0"/>
        <v>850.48697318309132</v>
      </c>
      <c r="T29" s="24" t="s">
        <v>715</v>
      </c>
    </row>
    <row r="30" spans="3:31" ht="15" customHeight="1" x14ac:dyDescent="0.3">
      <c r="P30" s="103">
        <f>P24h_1!B14</f>
        <v>150</v>
      </c>
      <c r="Q30" s="342"/>
      <c r="R30" s="364">
        <f t="shared" si="0"/>
        <v>925.36863414222432</v>
      </c>
    </row>
    <row r="31" spans="3:31" ht="15.75" customHeight="1" x14ac:dyDescent="0.3">
      <c r="P31" s="103">
        <f>P24h_1!B15</f>
        <v>200</v>
      </c>
      <c r="Q31" s="342"/>
      <c r="R31" s="364">
        <f t="shared" si="0"/>
        <v>978.49801810788051</v>
      </c>
    </row>
    <row r="32" spans="3:31" ht="15" customHeight="1" x14ac:dyDescent="0.3">
      <c r="P32" s="103">
        <f>P24h_1!B16</f>
        <v>500</v>
      </c>
      <c r="Q32" s="342"/>
      <c r="R32" s="364">
        <f t="shared" si="0"/>
        <v>1147.7194148498477</v>
      </c>
    </row>
    <row r="33" spans="3:18" ht="15" customHeight="1" x14ac:dyDescent="0.3">
      <c r="P33" s="103">
        <f>P24h_1!B17</f>
        <v>1000</v>
      </c>
      <c r="Q33" s="342"/>
      <c r="R33" s="364">
        <f t="shared" si="0"/>
        <v>1275.730459774637</v>
      </c>
    </row>
    <row r="34" spans="3:18" ht="15" customHeight="1" x14ac:dyDescent="0.3"/>
    <row r="38" spans="3:18" x14ac:dyDescent="0.3">
      <c r="C38" s="169"/>
    </row>
    <row r="69" spans="8:18" x14ac:dyDescent="0.3">
      <c r="H69" s="339" t="s">
        <v>716</v>
      </c>
    </row>
    <row r="71" spans="8:18" x14ac:dyDescent="0.3">
      <c r="R71" s="202"/>
    </row>
  </sheetData>
  <mergeCells count="10">
    <mergeCell ref="R15:S15"/>
    <mergeCell ref="P20:P21"/>
    <mergeCell ref="Q20:Q21"/>
    <mergeCell ref="R20:R21"/>
    <mergeCell ref="B1:M1"/>
    <mergeCell ref="N1:W1"/>
    <mergeCell ref="R11:S11"/>
    <mergeCell ref="R12:S12"/>
    <mergeCell ref="R13:S13"/>
    <mergeCell ref="R14:S14"/>
  </mergeCells>
  <pageMargins left="0.86" right="0.31496062992125984" top="1.0236220472440944" bottom="0.74803149606299213" header="0.35433070866141736" footer="0.39370078740157483"/>
  <pageSetup paperSize="9" scale="69" orientation="portrait" r:id="rId1"/>
  <headerFooter>
    <oddHeader>&amp;C&amp;G</oddHeader>
    <oddFooter>&amp;C&amp;G
&amp;"Arial,Negrita"&amp;10ESTUDIO PARA LA CONSTRUCCIÓN DE MUROS DE PROTECCIÓN PARA EL PREDIO HUACHIPA DE OLTURSA</oddFooter>
  </headerFooter>
  <colBreaks count="1" manualBreakCount="1">
    <brk id="13" max="68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5" name="Drop Down 2">
              <controlPr defaultSize="0" autoLine="0" autoPict="0">
                <anchor moveWithCells="1">
                  <from>
                    <xdr:col>17</xdr:col>
                    <xdr:colOff>106680</xdr:colOff>
                    <xdr:row>7</xdr:row>
                    <xdr:rowOff>175260</xdr:rowOff>
                  </from>
                  <to>
                    <xdr:col>17</xdr:col>
                    <xdr:colOff>609600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3">
    <tabColor rgb="FF7030A0"/>
  </sheetPr>
  <dimension ref="B1:AP56"/>
  <sheetViews>
    <sheetView showGridLines="0" view="pageBreakPreview" zoomScaleNormal="70" zoomScaleSheetLayoutView="100" workbookViewId="0">
      <selection activeCell="Z11" sqref="Z11:Z15"/>
    </sheetView>
  </sheetViews>
  <sheetFormatPr baseColWidth="10" defaultColWidth="11.44140625" defaultRowHeight="13.8" x14ac:dyDescent="0.3"/>
  <cols>
    <col min="1" max="1" width="9" style="73" customWidth="1"/>
    <col min="2" max="2" width="5.6640625" style="73" customWidth="1"/>
    <col min="3" max="3" width="15.6640625" style="73" customWidth="1"/>
    <col min="4" max="4" width="6.44140625" style="73" customWidth="1"/>
    <col min="5" max="5" width="16.6640625" style="73" customWidth="1"/>
    <col min="6" max="7" width="11.6640625" style="73" customWidth="1"/>
    <col min="8" max="8" width="11.6640625" style="73" hidden="1" customWidth="1"/>
    <col min="9" max="9" width="10.6640625" style="73" customWidth="1"/>
    <col min="10" max="12" width="11.6640625" style="73" customWidth="1"/>
    <col min="13" max="13" width="8.6640625" style="73" customWidth="1"/>
    <col min="14" max="14" width="8.6640625" style="73" hidden="1" customWidth="1"/>
    <col min="15" max="17" width="12.6640625" style="73" hidden="1" customWidth="1"/>
    <col min="18" max="18" width="14.33203125" style="73" customWidth="1"/>
    <col min="19" max="19" width="12.6640625" style="73" hidden="1" customWidth="1"/>
    <col min="20" max="26" width="12.6640625" style="73" customWidth="1"/>
    <col min="27" max="27" width="15.6640625" style="73" customWidth="1"/>
    <col min="28" max="42" width="7.6640625" style="73" customWidth="1"/>
    <col min="43" max="16384" width="11.44140625" style="73"/>
  </cols>
  <sheetData>
    <row r="1" spans="2:42" ht="15" customHeight="1" x14ac:dyDescent="0.3">
      <c r="B1" s="687" t="s">
        <v>776</v>
      </c>
      <c r="C1" s="687"/>
      <c r="D1" s="687"/>
      <c r="E1" s="687"/>
      <c r="F1" s="687"/>
      <c r="G1" s="687"/>
      <c r="H1" s="687"/>
      <c r="I1" s="687"/>
      <c r="J1" s="687"/>
      <c r="K1" s="687"/>
      <c r="L1" s="687"/>
      <c r="M1" s="687"/>
      <c r="N1" s="687"/>
      <c r="O1" s="687"/>
      <c r="P1" s="687"/>
      <c r="Q1" s="687"/>
      <c r="R1" s="687"/>
      <c r="S1" s="687"/>
      <c r="T1" s="687"/>
      <c r="U1" s="687"/>
      <c r="V1" s="687"/>
      <c r="W1" s="687"/>
      <c r="X1" s="687"/>
      <c r="Y1" s="687"/>
      <c r="Z1" s="687"/>
    </row>
    <row r="2" spans="2:42" ht="15" customHeight="1" x14ac:dyDescent="0.3"/>
    <row r="3" spans="2:42" ht="15" customHeight="1" x14ac:dyDescent="0.3">
      <c r="C3" s="24" t="s">
        <v>335</v>
      </c>
    </row>
    <row r="4" spans="2:42" ht="15" customHeight="1" x14ac:dyDescent="0.3">
      <c r="C4" s="99" t="s">
        <v>113</v>
      </c>
      <c r="D4" s="197">
        <v>15</v>
      </c>
      <c r="E4" s="24" t="s">
        <v>354</v>
      </c>
      <c r="F4" s="24" t="s">
        <v>768</v>
      </c>
      <c r="T4" s="439" t="s">
        <v>878</v>
      </c>
    </row>
    <row r="5" spans="2:42" ht="15" customHeight="1" x14ac:dyDescent="0.3">
      <c r="C5" s="99" t="s">
        <v>769</v>
      </c>
      <c r="D5" s="213">
        <v>46</v>
      </c>
      <c r="E5" s="24" t="s">
        <v>438</v>
      </c>
      <c r="F5" s="24" t="s">
        <v>775</v>
      </c>
      <c r="R5" s="439" t="s">
        <v>879</v>
      </c>
      <c r="T5" s="73">
        <v>0.83</v>
      </c>
      <c r="U5" s="440" t="s">
        <v>882</v>
      </c>
    </row>
    <row r="6" spans="2:42" ht="15" customHeight="1" x14ac:dyDescent="0.3">
      <c r="F6" s="24"/>
      <c r="R6" s="439" t="s">
        <v>880</v>
      </c>
      <c r="T6" s="73">
        <v>0.37</v>
      </c>
      <c r="U6" s="440" t="s">
        <v>883</v>
      </c>
    </row>
    <row r="7" spans="2:42" ht="15" customHeight="1" x14ac:dyDescent="0.3">
      <c r="C7" s="24" t="s">
        <v>392</v>
      </c>
      <c r="F7" s="24"/>
      <c r="R7" s="439" t="s">
        <v>881</v>
      </c>
      <c r="T7" s="73">
        <v>0.83</v>
      </c>
      <c r="U7" s="440" t="s">
        <v>884</v>
      </c>
    </row>
    <row r="8" spans="2:42" ht="15" customHeight="1" x14ac:dyDescent="0.3">
      <c r="C8" s="99" t="s">
        <v>770</v>
      </c>
      <c r="D8" s="192">
        <f>1/(1-((1-(D5/100))^(1/D4)))</f>
        <v>24.846716590878451</v>
      </c>
      <c r="E8" s="24" t="s">
        <v>354</v>
      </c>
      <c r="F8" s="24" t="s">
        <v>771</v>
      </c>
    </row>
    <row r="9" spans="2:42" ht="15" customHeight="1" x14ac:dyDescent="0.3"/>
    <row r="10" spans="2:42" ht="15" customHeight="1" x14ac:dyDescent="0.3"/>
    <row r="11" spans="2:42" ht="15" customHeight="1" x14ac:dyDescent="0.3">
      <c r="B11" s="530" t="s">
        <v>782</v>
      </c>
      <c r="C11" s="530" t="s">
        <v>777</v>
      </c>
      <c r="D11" s="530" t="s">
        <v>778</v>
      </c>
      <c r="E11" s="530" t="s">
        <v>787</v>
      </c>
      <c r="F11" s="530" t="s">
        <v>786</v>
      </c>
      <c r="G11" s="530" t="s">
        <v>779</v>
      </c>
      <c r="H11" s="530" t="s">
        <v>780</v>
      </c>
      <c r="I11" s="530" t="s">
        <v>788</v>
      </c>
      <c r="J11" s="682" t="s">
        <v>876</v>
      </c>
      <c r="K11" s="682" t="s">
        <v>877</v>
      </c>
      <c r="L11" s="682" t="s">
        <v>885</v>
      </c>
      <c r="M11" s="530" t="s">
        <v>602</v>
      </c>
      <c r="N11" s="530" t="s">
        <v>604</v>
      </c>
      <c r="O11" s="530" t="s">
        <v>783</v>
      </c>
      <c r="P11" s="530" t="s">
        <v>789</v>
      </c>
      <c r="Q11" s="530" t="s">
        <v>784</v>
      </c>
      <c r="R11" s="530" t="s">
        <v>790</v>
      </c>
      <c r="S11" s="530" t="s">
        <v>785</v>
      </c>
      <c r="T11" s="530" t="s">
        <v>865</v>
      </c>
      <c r="U11" s="530" t="s">
        <v>866</v>
      </c>
      <c r="V11" s="530" t="s">
        <v>867</v>
      </c>
      <c r="W11" s="534" t="s">
        <v>862</v>
      </c>
      <c r="X11" s="534" t="s">
        <v>863</v>
      </c>
      <c r="Y11" s="534" t="s">
        <v>864</v>
      </c>
      <c r="Z11" s="534" t="s">
        <v>781</v>
      </c>
    </row>
    <row r="12" spans="2:42" ht="15" customHeight="1" x14ac:dyDescent="0.3">
      <c r="B12" s="530"/>
      <c r="C12" s="530"/>
      <c r="D12" s="530"/>
      <c r="E12" s="530"/>
      <c r="F12" s="530"/>
      <c r="G12" s="530"/>
      <c r="H12" s="530"/>
      <c r="I12" s="530"/>
      <c r="J12" s="691"/>
      <c r="K12" s="691"/>
      <c r="L12" s="691"/>
      <c r="M12" s="530"/>
      <c r="N12" s="530"/>
      <c r="O12" s="530"/>
      <c r="P12" s="530"/>
      <c r="Q12" s="530"/>
      <c r="R12" s="530"/>
      <c r="S12" s="530"/>
      <c r="T12" s="530"/>
      <c r="U12" s="530"/>
      <c r="V12" s="530"/>
      <c r="W12" s="534"/>
      <c r="X12" s="534"/>
      <c r="Y12" s="534"/>
      <c r="Z12" s="534"/>
    </row>
    <row r="13" spans="2:42" ht="15" customHeight="1" x14ac:dyDescent="0.3">
      <c r="B13" s="530"/>
      <c r="C13" s="530"/>
      <c r="D13" s="530"/>
      <c r="E13" s="530"/>
      <c r="F13" s="530"/>
      <c r="G13" s="530"/>
      <c r="H13" s="530"/>
      <c r="I13" s="530"/>
      <c r="J13" s="691"/>
      <c r="K13" s="691"/>
      <c r="L13" s="691"/>
      <c r="M13" s="530"/>
      <c r="N13" s="530"/>
      <c r="O13" s="530"/>
      <c r="P13" s="530"/>
      <c r="Q13" s="530"/>
      <c r="R13" s="530"/>
      <c r="S13" s="530"/>
      <c r="T13" s="530"/>
      <c r="U13" s="530"/>
      <c r="V13" s="530"/>
      <c r="W13" s="534"/>
      <c r="X13" s="534"/>
      <c r="Y13" s="534"/>
      <c r="Z13" s="534"/>
    </row>
    <row r="14" spans="2:42" ht="15" customHeight="1" x14ac:dyDescent="0.3">
      <c r="B14" s="530"/>
      <c r="C14" s="530"/>
      <c r="D14" s="530"/>
      <c r="E14" s="530"/>
      <c r="F14" s="530"/>
      <c r="G14" s="530"/>
      <c r="H14" s="530"/>
      <c r="I14" s="530"/>
      <c r="J14" s="691"/>
      <c r="K14" s="691"/>
      <c r="L14" s="691"/>
      <c r="M14" s="530"/>
      <c r="N14" s="530"/>
      <c r="O14" s="530"/>
      <c r="P14" s="530"/>
      <c r="Q14" s="530"/>
      <c r="R14" s="530"/>
      <c r="S14" s="530"/>
      <c r="T14" s="530"/>
      <c r="U14" s="530"/>
      <c r="V14" s="530"/>
      <c r="W14" s="534"/>
      <c r="X14" s="534"/>
      <c r="Y14" s="534"/>
      <c r="Z14" s="534"/>
      <c r="AA14" s="103"/>
      <c r="AB14" s="361" t="str">
        <f>ACV!J3</f>
        <v>YANTAC</v>
      </c>
      <c r="AC14" s="361"/>
      <c r="AD14" s="361"/>
      <c r="AE14" s="361">
        <f>ACV!J79</f>
        <v>0</v>
      </c>
      <c r="AF14" s="361"/>
      <c r="AG14" s="361"/>
      <c r="AH14" s="361">
        <f>ACV!J152</f>
        <v>0</v>
      </c>
      <c r="AI14" s="361"/>
      <c r="AJ14" s="361"/>
      <c r="AK14" s="361">
        <f>ACV!J225</f>
        <v>0</v>
      </c>
      <c r="AL14" s="361"/>
      <c r="AM14" s="361"/>
      <c r="AN14" s="361">
        <f>ACV!J298</f>
        <v>0</v>
      </c>
      <c r="AO14" s="361"/>
      <c r="AP14" s="361"/>
    </row>
    <row r="15" spans="2:42" ht="15" customHeight="1" x14ac:dyDescent="0.3">
      <c r="B15" s="530"/>
      <c r="C15" s="530"/>
      <c r="D15" s="530"/>
      <c r="E15" s="530"/>
      <c r="F15" s="530"/>
      <c r="G15" s="530"/>
      <c r="H15" s="530"/>
      <c r="I15" s="530"/>
      <c r="J15" s="683"/>
      <c r="K15" s="683"/>
      <c r="L15" s="683"/>
      <c r="M15" s="530"/>
      <c r="N15" s="530"/>
      <c r="O15" s="530"/>
      <c r="P15" s="530"/>
      <c r="Q15" s="530"/>
      <c r="R15" s="530"/>
      <c r="S15" s="530"/>
      <c r="T15" s="530"/>
      <c r="U15" s="530"/>
      <c r="V15" s="530"/>
      <c r="W15" s="534"/>
      <c r="X15" s="534"/>
      <c r="Y15" s="534"/>
      <c r="Z15" s="534"/>
      <c r="AA15" s="103"/>
      <c r="AB15" s="103" t="s">
        <v>791</v>
      </c>
      <c r="AC15" s="103" t="s">
        <v>1</v>
      </c>
      <c r="AD15" s="103" t="s">
        <v>404</v>
      </c>
      <c r="AE15" s="103" t="s">
        <v>791</v>
      </c>
      <c r="AF15" s="103" t="s">
        <v>1</v>
      </c>
      <c r="AG15" s="103" t="s">
        <v>404</v>
      </c>
      <c r="AH15" s="103" t="s">
        <v>791</v>
      </c>
      <c r="AI15" s="103" t="s">
        <v>1</v>
      </c>
      <c r="AJ15" s="103" t="s">
        <v>404</v>
      </c>
      <c r="AK15" s="103" t="s">
        <v>791</v>
      </c>
      <c r="AL15" s="103" t="s">
        <v>1</v>
      </c>
      <c r="AM15" s="103" t="s">
        <v>404</v>
      </c>
      <c r="AN15" s="103" t="s">
        <v>791</v>
      </c>
      <c r="AO15" s="103" t="s">
        <v>1</v>
      </c>
      <c r="AP15" s="103" t="s">
        <v>404</v>
      </c>
    </row>
    <row r="16" spans="2:42" ht="15" customHeight="1" x14ac:dyDescent="0.3">
      <c r="B16" s="357">
        <v>1</v>
      </c>
      <c r="C16" s="442" t="s">
        <v>886</v>
      </c>
      <c r="D16" s="357"/>
      <c r="E16" s="359" t="s">
        <v>875</v>
      </c>
      <c r="F16" s="441">
        <f>18874.1698/10^6</f>
        <v>1.88741698E-2</v>
      </c>
      <c r="G16" s="358">
        <f>204.26/1000</f>
        <v>0.20426</v>
      </c>
      <c r="H16" s="360">
        <v>6.9263888888888873E-3</v>
      </c>
      <c r="I16" s="358">
        <v>2.34</v>
      </c>
      <c r="J16" s="360">
        <f>(242.5936+4564.3981+940.9301)/10^6</f>
        <v>5.7479217999999999E-3</v>
      </c>
      <c r="K16" s="360">
        <f>4813.7317/10^6</f>
        <v>4.8137317000000006E-3</v>
      </c>
      <c r="L16" s="360">
        <f>7798.9266/10^6</f>
        <v>7.7989265999999996E-3</v>
      </c>
      <c r="M16" s="117">
        <f>(J16*T$5+K16*T$6+L16*T$7)/F16</f>
        <v>0.69009471881512896</v>
      </c>
      <c r="N16" s="360"/>
      <c r="O16" s="408">
        <f t="shared" ref="O16" si="0">3.96*(F16^0.77)/(H16^0.385)</f>
        <v>1.2633343094712761</v>
      </c>
      <c r="P16" s="408" t="e">
        <f>14.6*F16/((#REF!^0.1)*(H16^0.2))</f>
        <v>#REF!</v>
      </c>
      <c r="Q16" s="408" t="e">
        <f t="shared" ref="Q16" si="1">(34.664*((F16)^0.8)*((1000/N16)-9)^0.7)/(I16^0.5)</f>
        <v>#DIV/0!</v>
      </c>
      <c r="R16" s="408">
        <f>IF(103.1*(1.1-M16)*SQRT(F16)/((I16/100)^0.333)&lt;10,10,103.1*(1.1-M16)*SQRT(F16)/((I16/100)^0.333))</f>
        <v>20.273429793310708</v>
      </c>
      <c r="S16" s="256">
        <f t="shared" ref="S16" si="2">18*(F16^0.76)/(H16^0.19)</f>
        <v>2.2658740799428299</v>
      </c>
      <c r="T16" s="117">
        <f>$AB$17*(10^$AC$17)/(R16^$AD$17)</f>
        <v>17.619126066642824</v>
      </c>
      <c r="U16" s="117">
        <f>$AB$17*(25^$AC$17)/(R16^$AD$17)</f>
        <v>21.235404804361256</v>
      </c>
      <c r="V16" s="117">
        <f>$AB$17*(50^$AC$17)/(R16^$AD$17)</f>
        <v>24.45638754169758</v>
      </c>
      <c r="W16" s="117">
        <f>$M16*T16*$F16/3.6</f>
        <v>6.3746805167865822E-2</v>
      </c>
      <c r="X16" s="117">
        <f t="shared" ref="W16:Y17" si="3">$M16*U16*$F16/3.6</f>
        <v>7.6830667287592247E-2</v>
      </c>
      <c r="Y16" s="117">
        <f t="shared" si="3"/>
        <v>8.8484330371073505E-2</v>
      </c>
      <c r="Z16" s="117">
        <f>X16/F16</f>
        <v>4.070677974275311</v>
      </c>
      <c r="AA16" s="362" t="s">
        <v>792</v>
      </c>
      <c r="AB16" s="340">
        <f>IDF_1!AE36</f>
        <v>63.21</v>
      </c>
      <c r="AC16" s="278">
        <f>IDF_1!AE37</f>
        <v>0.20370056178095952</v>
      </c>
      <c r="AD16" s="278">
        <f>IDF_1!AE38</f>
        <v>0.55629671454653917</v>
      </c>
      <c r="AE16" s="340" t="e">
        <f>#REF!</f>
        <v>#REF!</v>
      </c>
      <c r="AF16" s="278" t="e">
        <f>#REF!</f>
        <v>#REF!</v>
      </c>
      <c r="AG16" s="278" t="e">
        <f>#REF!</f>
        <v>#REF!</v>
      </c>
      <c r="AH16" s="340">
        <f>IDF_1!AE36</f>
        <v>63.21</v>
      </c>
      <c r="AI16" s="278">
        <f>IDF_1!AE37</f>
        <v>0.20370056178095952</v>
      </c>
      <c r="AJ16" s="278">
        <f>IDF_1!AE38</f>
        <v>0.55629671454653917</v>
      </c>
      <c r="AK16" s="340">
        <f>IDF_1!AE36</f>
        <v>63.21</v>
      </c>
      <c r="AL16" s="278">
        <f>IDF_1!AE37</f>
        <v>0.20370056178095952</v>
      </c>
      <c r="AM16" s="278">
        <f>IDF_1!AE38</f>
        <v>0.55629671454653917</v>
      </c>
      <c r="AN16" s="340">
        <f>IDF_1!AE36</f>
        <v>63.21</v>
      </c>
      <c r="AO16" s="278">
        <f>IDF_1!AE37</f>
        <v>0.20370056178095952</v>
      </c>
      <c r="AP16" s="278">
        <f>IDF_1!AE38</f>
        <v>0.55629671454653917</v>
      </c>
    </row>
    <row r="17" spans="2:42" ht="15" customHeight="1" x14ac:dyDescent="0.3">
      <c r="B17" s="357">
        <v>2</v>
      </c>
      <c r="C17" s="442" t="s">
        <v>887</v>
      </c>
      <c r="D17" s="357"/>
      <c r="E17" s="359" t="s">
        <v>875</v>
      </c>
      <c r="F17" s="441">
        <f>18874.1698/10^6</f>
        <v>1.88741698E-2</v>
      </c>
      <c r="G17" s="358">
        <f>259.25/1000</f>
        <v>0.25924999999999998</v>
      </c>
      <c r="H17" s="360">
        <v>6.9263888888888873E-3</v>
      </c>
      <c r="I17" s="358">
        <v>1.62</v>
      </c>
      <c r="J17" s="360">
        <f>(242.5936+4564.3981+940.9301)/10^6</f>
        <v>5.7479217999999999E-3</v>
      </c>
      <c r="K17" s="360">
        <f>4813.7317/10^6</f>
        <v>4.8137317000000006E-3</v>
      </c>
      <c r="L17" s="360">
        <f>7798.9266/10^6</f>
        <v>7.7989265999999996E-3</v>
      </c>
      <c r="M17" s="117">
        <f>(J17*T$5+K17*T$6+L17*T$7)/F17</f>
        <v>0.69009471881512896</v>
      </c>
      <c r="N17" s="360"/>
      <c r="O17" s="408">
        <f t="shared" ref="O17" si="4">3.96*(F17^0.77)/(H17^0.385)</f>
        <v>1.2633343094712761</v>
      </c>
      <c r="P17" s="408" t="e">
        <f>14.6*F17/((#REF!^0.1)*(H17^0.2))</f>
        <v>#REF!</v>
      </c>
      <c r="Q17" s="408" t="e">
        <f t="shared" ref="Q17" si="5">(34.664*((F17)^0.8)*((1000/N17)-9)^0.7)/(I17^0.5)</f>
        <v>#DIV/0!</v>
      </c>
      <c r="R17" s="408">
        <f>IF(103.1*(1.1-M17)*SQRT(F17)/((I17/100)^0.333)&lt;10,10,103.1*(1.1-M17)*SQRT(F17)/((I17/100)^0.333))</f>
        <v>22.914353470729282</v>
      </c>
      <c r="S17" s="256">
        <f t="shared" ref="S17" si="6">18*(F17^0.76)/(H17^0.19)</f>
        <v>2.2658740799428299</v>
      </c>
      <c r="T17" s="117">
        <f>$AB$17*(10^$AC$17)/(R17^$AD$17)</f>
        <v>16.458622654442916</v>
      </c>
      <c r="U17" s="117">
        <f>$AB$17*(25^$AC$17)/(R17^$AD$17)</f>
        <v>19.836711155102229</v>
      </c>
      <c r="V17" s="117">
        <f>$AB$17*(50^$AC$17)/(R17^$AD$17)</f>
        <v>22.845540267838938</v>
      </c>
      <c r="W17" s="117">
        <f t="shared" si="3"/>
        <v>5.9548050664700668E-2</v>
      </c>
      <c r="X17" s="117">
        <f t="shared" si="3"/>
        <v>7.1770129596244903E-2</v>
      </c>
      <c r="Y17" s="117">
        <f t="shared" si="3"/>
        <v>8.2656211148051176E-2</v>
      </c>
      <c r="Z17" s="117">
        <f>X17/F17</f>
        <v>3.8025582241103342</v>
      </c>
      <c r="AA17" s="362" t="s">
        <v>328</v>
      </c>
      <c r="AB17" s="340">
        <f>IDF_1!K122</f>
        <v>58.81</v>
      </c>
      <c r="AC17" s="278">
        <f>IDF_1!K123</f>
        <v>0.20373970818079745</v>
      </c>
      <c r="AD17" s="278">
        <f>IDF_1!K124</f>
        <v>0.55642464960306115</v>
      </c>
      <c r="AE17" s="340" t="e">
        <f>#REF!</f>
        <v>#REF!</v>
      </c>
      <c r="AF17" s="278" t="e">
        <f>#REF!</f>
        <v>#REF!</v>
      </c>
      <c r="AG17" s="278" t="e">
        <f>#REF!</f>
        <v>#REF!</v>
      </c>
      <c r="AH17" s="340">
        <f>IDF_1!K122</f>
        <v>58.81</v>
      </c>
      <c r="AI17" s="278">
        <f>IDF_1!K123</f>
        <v>0.20373970818079745</v>
      </c>
      <c r="AJ17" s="278">
        <f>IDF_1!K124</f>
        <v>0.55642464960306115</v>
      </c>
      <c r="AK17" s="340">
        <f>IDF_1!K122</f>
        <v>58.81</v>
      </c>
      <c r="AL17" s="278">
        <f>IDF_1!K123</f>
        <v>0.20373970818079745</v>
      </c>
      <c r="AM17" s="278">
        <f>IDF_1!K124</f>
        <v>0.55642464960306115</v>
      </c>
      <c r="AN17" s="340">
        <f>IDF_1!K122</f>
        <v>58.81</v>
      </c>
      <c r="AO17" s="278">
        <f>IDF_1!K123</f>
        <v>0.20373970818079745</v>
      </c>
      <c r="AP17" s="278">
        <f>IDF_1!K124</f>
        <v>0.55642464960306115</v>
      </c>
    </row>
    <row r="18" spans="2:42" ht="15" customHeight="1" x14ac:dyDescent="0.3">
      <c r="B18" s="357"/>
      <c r="C18" s="429"/>
      <c r="D18" s="357"/>
      <c r="E18" s="359"/>
      <c r="F18" s="360"/>
      <c r="G18" s="358"/>
      <c r="H18" s="360"/>
      <c r="I18" s="342"/>
      <c r="J18" s="360"/>
      <c r="K18" s="360"/>
      <c r="L18" s="360"/>
      <c r="M18" s="345"/>
      <c r="N18" s="342"/>
      <c r="O18" s="256"/>
      <c r="P18" s="256"/>
      <c r="Q18" s="256"/>
      <c r="R18" s="256"/>
      <c r="S18" s="256"/>
      <c r="T18" s="364"/>
      <c r="U18" s="364"/>
      <c r="V18" s="364"/>
      <c r="W18" s="345"/>
      <c r="X18" s="345"/>
      <c r="Y18" s="345"/>
      <c r="Z18" s="115"/>
      <c r="AA18" s="362" t="s">
        <v>322</v>
      </c>
      <c r="AB18" s="340">
        <f>IDF_1!K175</f>
        <v>218.57</v>
      </c>
      <c r="AC18" s="278">
        <f>IDF_1!K176</f>
        <v>0.14673714023526502</v>
      </c>
      <c r="AD18" s="278">
        <f>IDF_1!K177</f>
        <v>0.74999999999999978</v>
      </c>
      <c r="AE18" s="340" t="e">
        <f>#REF!</f>
        <v>#REF!</v>
      </c>
      <c r="AF18" s="278" t="e">
        <f>#REF!</f>
        <v>#REF!</v>
      </c>
      <c r="AG18" s="278" t="e">
        <f>#REF!</f>
        <v>#REF!</v>
      </c>
      <c r="AH18" s="340">
        <f>IDF_1!K175</f>
        <v>218.57</v>
      </c>
      <c r="AI18" s="278">
        <f>IDF_1!K176</f>
        <v>0.14673714023526502</v>
      </c>
      <c r="AJ18" s="278">
        <f>IDF_1!K177</f>
        <v>0.74999999999999978</v>
      </c>
      <c r="AK18" s="340">
        <f>IDF_1!K175</f>
        <v>218.57</v>
      </c>
      <c r="AL18" s="278">
        <f>IDF_1!K176</f>
        <v>0.14673714023526502</v>
      </c>
      <c r="AM18" s="278">
        <f>IDF_1!K177</f>
        <v>0.74999999999999978</v>
      </c>
      <c r="AN18" s="340">
        <f>IDF_1!K175</f>
        <v>218.57</v>
      </c>
      <c r="AO18" s="278">
        <f>IDF_1!K176</f>
        <v>0.14673714023526502</v>
      </c>
      <c r="AP18" s="278">
        <f>IDF_1!K177</f>
        <v>0.74999999999999978</v>
      </c>
    </row>
    <row r="19" spans="2:42" ht="15" customHeight="1" x14ac:dyDescent="0.3">
      <c r="B19" s="357"/>
      <c r="C19" s="429"/>
      <c r="D19" s="357"/>
      <c r="E19" s="359"/>
      <c r="F19" s="360"/>
      <c r="G19" s="358"/>
      <c r="H19" s="360"/>
      <c r="I19" s="342"/>
      <c r="J19" s="360"/>
      <c r="K19" s="360"/>
      <c r="L19" s="360"/>
      <c r="M19" s="345"/>
      <c r="N19" s="342"/>
      <c r="O19" s="256"/>
      <c r="P19" s="256"/>
      <c r="Q19" s="256"/>
      <c r="R19" s="256"/>
      <c r="S19" s="256"/>
      <c r="T19" s="364"/>
      <c r="U19" s="364"/>
      <c r="V19" s="364"/>
      <c r="W19" s="345"/>
      <c r="X19" s="345"/>
      <c r="Y19" s="345"/>
      <c r="Z19" s="115"/>
      <c r="AA19" s="362" t="s">
        <v>793</v>
      </c>
      <c r="AB19" s="340">
        <f>IDF_1!BI198</f>
        <v>206.99</v>
      </c>
      <c r="AC19" s="278">
        <f>IDF_1!BI199</f>
        <v>0.14611613330576878</v>
      </c>
      <c r="AD19" s="278">
        <f>IDF_1!BI200</f>
        <v>0.74061522123594881</v>
      </c>
      <c r="AE19" s="340" t="e">
        <f>#REF!</f>
        <v>#REF!</v>
      </c>
      <c r="AF19" s="278" t="e">
        <f>#REF!</f>
        <v>#REF!</v>
      </c>
      <c r="AG19" s="278" t="e">
        <f>#REF!</f>
        <v>#REF!</v>
      </c>
      <c r="AH19" s="340">
        <f>IDF_1!BI198</f>
        <v>206.99</v>
      </c>
      <c r="AI19" s="278">
        <f>IDF_1!BI199</f>
        <v>0.14611613330576878</v>
      </c>
      <c r="AJ19" s="278">
        <f>IDF_1!BI200</f>
        <v>0.74061522123594881</v>
      </c>
      <c r="AK19" s="340">
        <f>IDF_1!BI198</f>
        <v>206.99</v>
      </c>
      <c r="AL19" s="278">
        <f>IDF_1!BI199</f>
        <v>0.14611613330576878</v>
      </c>
      <c r="AM19" s="278">
        <f>IDF_1!BI200</f>
        <v>0.74061522123594881</v>
      </c>
      <c r="AN19" s="340">
        <f>IDF_1!BI198</f>
        <v>206.99</v>
      </c>
      <c r="AO19" s="278">
        <f>IDF_1!BI199</f>
        <v>0.14611613330576878</v>
      </c>
      <c r="AP19" s="278">
        <f>IDF_1!BI200</f>
        <v>0.74061522123594881</v>
      </c>
    </row>
    <row r="20" spans="2:42" ht="15" customHeight="1" x14ac:dyDescent="0.3">
      <c r="B20" s="357"/>
      <c r="C20" s="429"/>
      <c r="D20" s="357"/>
      <c r="E20" s="359"/>
      <c r="F20" s="360"/>
      <c r="G20" s="358"/>
      <c r="H20" s="360"/>
      <c r="I20" s="342"/>
      <c r="J20" s="360"/>
      <c r="K20" s="360"/>
      <c r="L20" s="360"/>
      <c r="M20" s="345"/>
      <c r="N20" s="342"/>
      <c r="O20" s="256"/>
      <c r="P20" s="256"/>
      <c r="Q20" s="256"/>
      <c r="R20" s="256"/>
      <c r="S20" s="256"/>
      <c r="T20" s="364"/>
      <c r="U20" s="364"/>
      <c r="V20" s="364"/>
      <c r="W20" s="345"/>
      <c r="X20" s="345"/>
      <c r="Y20" s="345"/>
      <c r="Z20" s="115"/>
      <c r="AA20" s="362" t="s">
        <v>330</v>
      </c>
      <c r="AB20" s="340">
        <f>IDF_1!U272</f>
        <v>301.68</v>
      </c>
      <c r="AC20" s="278">
        <f>IDF_1!U273</f>
        <v>0.14673714023526485</v>
      </c>
      <c r="AD20" s="278">
        <f>IDF_1!U274</f>
        <v>0.90351741810482311</v>
      </c>
      <c r="AE20" s="340" t="e">
        <f>#REF!</f>
        <v>#REF!</v>
      </c>
      <c r="AF20" s="278" t="e">
        <f>#REF!</f>
        <v>#REF!</v>
      </c>
      <c r="AG20" s="278" t="e">
        <f>#REF!</f>
        <v>#REF!</v>
      </c>
      <c r="AH20" s="340">
        <f>IDF_1!U272</f>
        <v>301.68</v>
      </c>
      <c r="AI20" s="278">
        <f>IDF_1!U273</f>
        <v>0.14673714023526485</v>
      </c>
      <c r="AJ20" s="278">
        <f>IDF_1!U274</f>
        <v>0.90351741810482311</v>
      </c>
      <c r="AK20" s="340">
        <f>IDF_1!U272</f>
        <v>301.68</v>
      </c>
      <c r="AL20" s="278">
        <f>IDF_1!U273</f>
        <v>0.14673714023526485</v>
      </c>
      <c r="AM20" s="278">
        <f>IDF_1!U274</f>
        <v>0.90351741810482311</v>
      </c>
      <c r="AN20" s="340">
        <f>IDF_1!U272</f>
        <v>301.68</v>
      </c>
      <c r="AO20" s="278">
        <f>IDF_1!U273</f>
        <v>0.14673714023526485</v>
      </c>
      <c r="AP20" s="278">
        <f>IDF_1!U274</f>
        <v>0.90351741810482311</v>
      </c>
    </row>
    <row r="21" spans="2:42" ht="15" customHeight="1" x14ac:dyDescent="0.3">
      <c r="B21" s="357"/>
      <c r="C21" s="429"/>
      <c r="D21" s="357"/>
      <c r="E21" s="359"/>
      <c r="F21" s="360"/>
      <c r="G21" s="358"/>
      <c r="H21" s="360"/>
      <c r="I21" s="342"/>
      <c r="J21" s="360"/>
      <c r="K21" s="360"/>
      <c r="L21" s="360"/>
      <c r="M21" s="345"/>
      <c r="N21" s="342"/>
      <c r="O21" s="256"/>
      <c r="P21" s="256"/>
      <c r="Q21" s="256"/>
      <c r="R21" s="256"/>
      <c r="S21" s="256"/>
      <c r="T21" s="364"/>
      <c r="U21" s="364"/>
      <c r="V21" s="364"/>
      <c r="W21" s="345"/>
      <c r="X21" s="345"/>
      <c r="Y21" s="345"/>
      <c r="Z21" s="115"/>
      <c r="AA21" s="362" t="s">
        <v>794</v>
      </c>
      <c r="AB21" s="340">
        <f>IDF_1!AE338</f>
        <v>176.22</v>
      </c>
      <c r="AC21" s="278">
        <f>IDF_1!AE339</f>
        <v>0.1364575480154305</v>
      </c>
      <c r="AD21" s="278">
        <f>IDF_1!AE340</f>
        <v>0.40901357301495628</v>
      </c>
      <c r="AE21" s="340" t="e">
        <f>#REF!</f>
        <v>#REF!</v>
      </c>
      <c r="AF21" s="278" t="e">
        <f>#REF!</f>
        <v>#REF!</v>
      </c>
      <c r="AG21" s="278" t="e">
        <f>#REF!</f>
        <v>#REF!</v>
      </c>
      <c r="AH21" s="340">
        <f>IDF_1!AE338</f>
        <v>176.22</v>
      </c>
      <c r="AI21" s="278">
        <f>IDF_1!AE339</f>
        <v>0.1364575480154305</v>
      </c>
      <c r="AJ21" s="278">
        <f>IDF_1!AE340</f>
        <v>0.40901357301495628</v>
      </c>
      <c r="AK21" s="340">
        <f>IDF_1!AE338</f>
        <v>176.22</v>
      </c>
      <c r="AL21" s="278">
        <f>IDF_1!AE339</f>
        <v>0.1364575480154305</v>
      </c>
      <c r="AM21" s="278">
        <f>IDF_1!AE340</f>
        <v>0.40901357301495628</v>
      </c>
      <c r="AN21" s="340">
        <f>IDF_1!AE338</f>
        <v>176.22</v>
      </c>
      <c r="AO21" s="278">
        <f>IDF_1!AE339</f>
        <v>0.1364575480154305</v>
      </c>
      <c r="AP21" s="278">
        <f>IDF_1!AE340</f>
        <v>0.40901357301495628</v>
      </c>
    </row>
    <row r="22" spans="2:42" ht="15" customHeight="1" x14ac:dyDescent="0.3">
      <c r="B22" s="357"/>
      <c r="C22" s="429"/>
      <c r="D22" s="357"/>
      <c r="E22" s="359"/>
      <c r="F22" s="360"/>
      <c r="G22" s="358"/>
      <c r="H22" s="360"/>
      <c r="I22" s="342"/>
      <c r="J22" s="360"/>
      <c r="K22" s="360"/>
      <c r="L22" s="360"/>
      <c r="M22" s="345"/>
      <c r="N22" s="342"/>
      <c r="O22" s="256"/>
      <c r="P22" s="256"/>
      <c r="Q22" s="256"/>
      <c r="R22" s="256"/>
      <c r="S22" s="256"/>
      <c r="T22" s="364"/>
      <c r="U22" s="364"/>
      <c r="V22" s="364"/>
      <c r="W22" s="345"/>
      <c r="X22" s="345"/>
      <c r="Y22" s="345"/>
      <c r="Z22" s="115"/>
    </row>
    <row r="23" spans="2:42" ht="15" customHeight="1" x14ac:dyDescent="0.3">
      <c r="B23" s="357"/>
      <c r="C23" s="429"/>
      <c r="D23" s="357"/>
      <c r="E23" s="359"/>
      <c r="F23" s="360"/>
      <c r="G23" s="358"/>
      <c r="H23" s="360"/>
      <c r="I23" s="342"/>
      <c r="J23" s="360"/>
      <c r="K23" s="360"/>
      <c r="L23" s="360"/>
      <c r="M23" s="345"/>
      <c r="N23" s="342"/>
      <c r="O23" s="256"/>
      <c r="P23" s="256"/>
      <c r="Q23" s="256"/>
      <c r="R23" s="256"/>
      <c r="S23" s="256"/>
      <c r="T23" s="364"/>
      <c r="U23" s="364"/>
      <c r="V23" s="364"/>
      <c r="W23" s="345"/>
      <c r="X23" s="345"/>
      <c r="Y23" s="345"/>
      <c r="Z23" s="115"/>
      <c r="AB23"/>
      <c r="AC23"/>
      <c r="AD23"/>
    </row>
    <row r="24" spans="2:42" ht="15" customHeight="1" x14ac:dyDescent="0.3">
      <c r="B24" s="357"/>
      <c r="C24" s="429"/>
      <c r="D24" s="357"/>
      <c r="E24" s="359"/>
      <c r="F24" s="360"/>
      <c r="G24" s="358"/>
      <c r="H24" s="360"/>
      <c r="I24" s="342"/>
      <c r="J24" s="360"/>
      <c r="K24" s="360"/>
      <c r="L24" s="360"/>
      <c r="M24" s="345"/>
      <c r="N24" s="342"/>
      <c r="O24" s="256"/>
      <c r="P24" s="256"/>
      <c r="Q24" s="256"/>
      <c r="R24" s="256"/>
      <c r="S24" s="256"/>
      <c r="T24" s="364"/>
      <c r="U24" s="364"/>
      <c r="V24" s="480">
        <f>0.7035*1000^0.5</f>
        <v>22.24662333928455</v>
      </c>
      <c r="W24" s="345"/>
      <c r="X24" s="345"/>
      <c r="Y24" s="345"/>
      <c r="Z24" s="115"/>
      <c r="AB24"/>
      <c r="AC24"/>
      <c r="AD24"/>
    </row>
    <row r="25" spans="2:42" ht="15" customHeight="1" x14ac:dyDescent="0.3">
      <c r="B25" s="357"/>
      <c r="C25" s="429"/>
      <c r="D25" s="357"/>
      <c r="E25" s="359"/>
      <c r="F25" s="360"/>
      <c r="G25" s="358"/>
      <c r="H25" s="360"/>
      <c r="I25" s="342"/>
      <c r="J25" s="360"/>
      <c r="K25" s="360"/>
      <c r="L25" s="360"/>
      <c r="M25" s="345"/>
      <c r="N25" s="342"/>
      <c r="O25" s="256"/>
      <c r="P25" s="256"/>
      <c r="Q25" s="256"/>
      <c r="R25" s="256"/>
      <c r="S25" s="256"/>
      <c r="T25" s="364"/>
      <c r="U25" s="364"/>
      <c r="V25" s="364"/>
      <c r="W25" s="345"/>
      <c r="X25" s="345"/>
      <c r="Y25" s="345"/>
      <c r="Z25" s="115"/>
    </row>
    <row r="26" spans="2:42" ht="15" customHeight="1" x14ac:dyDescent="0.3">
      <c r="B26" s="357"/>
      <c r="C26" s="429"/>
      <c r="D26" s="357"/>
      <c r="E26" s="359"/>
      <c r="F26" s="360"/>
      <c r="G26" s="358"/>
      <c r="H26" s="360"/>
      <c r="I26" s="342"/>
      <c r="J26" s="360"/>
      <c r="K26" s="360"/>
      <c r="L26" s="360"/>
      <c r="M26" s="345"/>
      <c r="N26" s="342"/>
      <c r="O26" s="256"/>
      <c r="P26" s="256"/>
      <c r="Q26" s="256"/>
      <c r="R26" s="256"/>
      <c r="S26" s="256"/>
      <c r="T26" s="364"/>
      <c r="U26" s="364"/>
      <c r="V26" s="364"/>
      <c r="W26" s="345"/>
      <c r="X26" s="345"/>
      <c r="Y26" s="345"/>
      <c r="Z26" s="115"/>
    </row>
    <row r="27" spans="2:42" ht="15" customHeight="1" x14ac:dyDescent="0.3">
      <c r="B27" s="357"/>
      <c r="C27" s="429"/>
      <c r="D27" s="357"/>
      <c r="E27" s="359"/>
      <c r="F27" s="360"/>
      <c r="G27" s="358"/>
      <c r="H27" s="360"/>
      <c r="I27" s="342"/>
      <c r="J27" s="360"/>
      <c r="K27" s="360"/>
      <c r="L27" s="360"/>
      <c r="M27" s="345"/>
      <c r="N27" s="342"/>
      <c r="O27" s="256"/>
      <c r="P27" s="256"/>
      <c r="Q27" s="256"/>
      <c r="R27" s="256"/>
      <c r="S27" s="256"/>
      <c r="T27" s="364"/>
      <c r="U27" s="364"/>
      <c r="V27" s="364"/>
      <c r="W27" s="345"/>
      <c r="X27" s="345"/>
      <c r="Y27" s="345"/>
      <c r="Z27" s="115"/>
    </row>
    <row r="28" spans="2:42" ht="15" customHeight="1" x14ac:dyDescent="0.3">
      <c r="B28" s="357"/>
      <c r="C28" s="429"/>
      <c r="D28" s="357"/>
      <c r="E28" s="359"/>
      <c r="F28" s="360"/>
      <c r="G28" s="358"/>
      <c r="H28" s="360"/>
      <c r="I28" s="342"/>
      <c r="J28" s="360"/>
      <c r="K28" s="360"/>
      <c r="L28" s="360"/>
      <c r="M28" s="345"/>
      <c r="N28" s="342"/>
      <c r="O28" s="256"/>
      <c r="P28" s="256"/>
      <c r="Q28" s="256"/>
      <c r="R28" s="256"/>
      <c r="S28" s="256"/>
      <c r="T28" s="364"/>
      <c r="U28" s="364"/>
      <c r="V28" s="364"/>
      <c r="W28" s="345"/>
      <c r="X28" s="345"/>
      <c r="Y28" s="345"/>
      <c r="Z28" s="115"/>
    </row>
    <row r="29" spans="2:42" ht="15" customHeight="1" x14ac:dyDescent="0.3">
      <c r="B29" s="357"/>
      <c r="C29" s="429"/>
      <c r="D29" s="357"/>
      <c r="E29" s="359"/>
      <c r="F29" s="360"/>
      <c r="G29" s="358"/>
      <c r="H29" s="360"/>
      <c r="I29" s="342"/>
      <c r="J29" s="360"/>
      <c r="K29" s="360"/>
      <c r="L29" s="360"/>
      <c r="M29" s="345"/>
      <c r="N29" s="342"/>
      <c r="O29" s="256"/>
      <c r="P29" s="256"/>
      <c r="Q29" s="256"/>
      <c r="R29" s="256"/>
      <c r="S29" s="256"/>
      <c r="T29" s="364"/>
      <c r="U29" s="364"/>
      <c r="V29" s="364"/>
      <c r="W29" s="345"/>
      <c r="X29" s="345"/>
      <c r="Y29" s="345"/>
      <c r="Z29" s="115"/>
    </row>
    <row r="30" spans="2:42" ht="15" customHeight="1" x14ac:dyDescent="0.3">
      <c r="B30" s="357"/>
      <c r="C30" s="429"/>
      <c r="D30" s="357"/>
      <c r="E30" s="359"/>
      <c r="F30" s="360"/>
      <c r="G30" s="358"/>
      <c r="H30" s="360"/>
      <c r="I30" s="342"/>
      <c r="J30" s="360"/>
      <c r="K30" s="360"/>
      <c r="L30" s="360"/>
      <c r="M30" s="345"/>
      <c r="N30" s="342"/>
      <c r="O30" s="256"/>
      <c r="P30" s="256"/>
      <c r="Q30" s="256"/>
      <c r="R30" s="256"/>
      <c r="S30" s="256"/>
      <c r="T30" s="364"/>
      <c r="U30" s="364"/>
      <c r="V30" s="364"/>
      <c r="W30" s="345"/>
      <c r="X30" s="345"/>
      <c r="Y30" s="345"/>
      <c r="Z30" s="115"/>
    </row>
    <row r="31" spans="2:42" ht="15" customHeight="1" x14ac:dyDescent="0.3">
      <c r="B31" s="357"/>
      <c r="C31" s="429"/>
      <c r="D31" s="357"/>
      <c r="E31" s="359"/>
      <c r="F31" s="360"/>
      <c r="G31" s="358"/>
      <c r="H31" s="360"/>
      <c r="I31" s="342"/>
      <c r="J31" s="431"/>
      <c r="K31" s="431"/>
      <c r="L31" s="360"/>
      <c r="M31" s="345"/>
      <c r="N31" s="342"/>
      <c r="O31" s="256"/>
      <c r="P31" s="256"/>
      <c r="Q31" s="256"/>
      <c r="R31" s="256"/>
      <c r="S31" s="256"/>
      <c r="T31" s="364"/>
      <c r="U31" s="364"/>
      <c r="V31" s="364"/>
      <c r="W31" s="345"/>
      <c r="X31" s="345"/>
      <c r="Y31" s="345"/>
      <c r="Z31" s="115"/>
    </row>
    <row r="32" spans="2:42" ht="15" customHeight="1" x14ac:dyDescent="0.3">
      <c r="B32" s="357"/>
      <c r="C32" s="429"/>
      <c r="D32" s="357"/>
      <c r="E32" s="359"/>
      <c r="F32" s="360"/>
      <c r="G32" s="358"/>
      <c r="H32" s="360"/>
      <c r="I32" s="342"/>
      <c r="J32" s="431"/>
      <c r="K32" s="431"/>
      <c r="L32" s="360"/>
      <c r="M32" s="345"/>
      <c r="N32" s="342"/>
      <c r="O32" s="256"/>
      <c r="P32" s="256"/>
      <c r="Q32" s="256"/>
      <c r="R32" s="256"/>
      <c r="S32" s="256"/>
      <c r="T32" s="364"/>
      <c r="U32" s="364"/>
      <c r="V32" s="364"/>
      <c r="W32" s="345"/>
      <c r="X32" s="345"/>
      <c r="Y32" s="345"/>
      <c r="Z32" s="115"/>
    </row>
    <row r="33" spans="2:26" ht="15" customHeight="1" x14ac:dyDescent="0.3">
      <c r="B33" s="357"/>
      <c r="C33" s="429"/>
      <c r="D33" s="357"/>
      <c r="E33" s="359"/>
      <c r="F33" s="360"/>
      <c r="G33" s="358"/>
      <c r="H33" s="360"/>
      <c r="I33" s="342"/>
      <c r="J33" s="360"/>
      <c r="K33" s="360"/>
      <c r="L33" s="360"/>
      <c r="M33" s="345"/>
      <c r="N33" s="342"/>
      <c r="O33" s="256"/>
      <c r="P33" s="256"/>
      <c r="Q33" s="256"/>
      <c r="R33" s="256"/>
      <c r="S33" s="256"/>
      <c r="T33" s="364"/>
      <c r="U33" s="364"/>
      <c r="V33" s="364"/>
      <c r="W33" s="345"/>
      <c r="X33" s="345"/>
      <c r="Y33" s="345"/>
      <c r="Z33" s="115"/>
    </row>
    <row r="34" spans="2:26" ht="14.25" customHeight="1" x14ac:dyDescent="0.3">
      <c r="B34" s="357"/>
      <c r="C34" s="429"/>
      <c r="D34" s="357"/>
      <c r="E34" s="359"/>
      <c r="F34" s="360"/>
      <c r="G34" s="358"/>
      <c r="H34" s="360"/>
      <c r="I34" s="342"/>
      <c r="J34" s="360"/>
      <c r="K34" s="360"/>
      <c r="L34" s="360"/>
      <c r="M34" s="345"/>
      <c r="N34" s="342"/>
      <c r="O34" s="256"/>
      <c r="P34" s="256"/>
      <c r="Q34" s="256"/>
      <c r="R34" s="256"/>
      <c r="S34" s="256"/>
      <c r="T34" s="364"/>
      <c r="U34" s="364"/>
      <c r="V34" s="364"/>
      <c r="W34" s="345"/>
      <c r="X34" s="345"/>
      <c r="Y34" s="345"/>
      <c r="Z34" s="115"/>
    </row>
    <row r="35" spans="2:26" ht="15" customHeight="1" x14ac:dyDescent="0.3">
      <c r="B35" s="357"/>
      <c r="C35" s="429"/>
      <c r="D35" s="357"/>
      <c r="E35" s="359"/>
      <c r="F35" s="360"/>
      <c r="G35" s="358"/>
      <c r="H35" s="360"/>
      <c r="I35" s="342"/>
      <c r="J35" s="360"/>
      <c r="K35" s="360"/>
      <c r="L35" s="360"/>
      <c r="M35" s="345"/>
      <c r="N35" s="342"/>
      <c r="O35" s="256"/>
      <c r="P35" s="256"/>
      <c r="Q35" s="256"/>
      <c r="R35" s="256"/>
      <c r="S35" s="256"/>
      <c r="T35" s="364"/>
      <c r="U35" s="364"/>
      <c r="V35" s="364"/>
      <c r="W35" s="345"/>
      <c r="X35" s="345"/>
      <c r="Y35" s="345"/>
      <c r="Z35" s="115"/>
    </row>
    <row r="36" spans="2:26" ht="15" customHeight="1" x14ac:dyDescent="0.3">
      <c r="B36" s="357"/>
      <c r="C36" s="429"/>
      <c r="D36" s="357"/>
      <c r="E36" s="359"/>
      <c r="F36" s="360"/>
      <c r="G36" s="358"/>
      <c r="H36" s="360"/>
      <c r="I36" s="342"/>
      <c r="J36" s="360"/>
      <c r="K36" s="360"/>
      <c r="L36" s="360"/>
      <c r="M36" s="345"/>
      <c r="N36" s="342"/>
      <c r="O36" s="256"/>
      <c r="P36" s="256"/>
      <c r="Q36" s="256"/>
      <c r="R36" s="256"/>
      <c r="S36" s="256"/>
      <c r="T36" s="364"/>
      <c r="U36" s="364"/>
      <c r="V36" s="364"/>
      <c r="W36" s="345"/>
      <c r="X36" s="345"/>
      <c r="Y36" s="345"/>
      <c r="Z36" s="115"/>
    </row>
    <row r="37" spans="2:26" ht="15" customHeight="1" x14ac:dyDescent="0.3">
      <c r="B37" s="357"/>
      <c r="C37" s="429"/>
      <c r="D37" s="357"/>
      <c r="E37" s="359"/>
      <c r="F37" s="360"/>
      <c r="G37" s="358"/>
      <c r="H37" s="360"/>
      <c r="I37" s="342"/>
      <c r="J37" s="360"/>
      <c r="K37" s="360"/>
      <c r="L37" s="360"/>
      <c r="M37" s="345"/>
      <c r="N37" s="342"/>
      <c r="O37" s="256"/>
      <c r="P37" s="256"/>
      <c r="Q37" s="256"/>
      <c r="R37" s="256"/>
      <c r="S37" s="256"/>
      <c r="T37" s="364"/>
      <c r="U37" s="364"/>
      <c r="V37" s="364"/>
      <c r="W37" s="345"/>
      <c r="X37" s="345"/>
      <c r="Y37" s="345"/>
      <c r="Z37" s="115"/>
    </row>
    <row r="38" spans="2:26" ht="15" customHeight="1" x14ac:dyDescent="0.3">
      <c r="B38" s="357"/>
      <c r="C38" s="429"/>
      <c r="D38" s="357"/>
      <c r="E38" s="359"/>
      <c r="F38" s="360"/>
      <c r="G38" s="358"/>
      <c r="H38" s="360"/>
      <c r="I38" s="342"/>
      <c r="J38" s="360"/>
      <c r="K38" s="360"/>
      <c r="L38" s="360"/>
      <c r="M38" s="345"/>
      <c r="N38" s="342"/>
      <c r="O38" s="256"/>
      <c r="P38" s="256"/>
      <c r="Q38" s="256"/>
      <c r="R38" s="256"/>
      <c r="S38" s="256"/>
      <c r="T38" s="364"/>
      <c r="U38" s="364"/>
      <c r="V38" s="364"/>
      <c r="W38" s="345"/>
      <c r="X38" s="345"/>
      <c r="Y38" s="345"/>
      <c r="Z38" s="115"/>
    </row>
    <row r="39" spans="2:26" ht="15" customHeight="1" x14ac:dyDescent="0.3">
      <c r="B39" s="357"/>
      <c r="C39" s="429"/>
      <c r="D39" s="357"/>
      <c r="E39" s="359"/>
      <c r="F39" s="360"/>
      <c r="G39" s="358"/>
      <c r="H39" s="360"/>
      <c r="I39" s="342"/>
      <c r="J39" s="360"/>
      <c r="K39" s="360"/>
      <c r="L39" s="360"/>
      <c r="M39" s="345"/>
      <c r="N39" s="342"/>
      <c r="O39" s="256"/>
      <c r="P39" s="256"/>
      <c r="Q39" s="256"/>
      <c r="R39" s="256"/>
      <c r="S39" s="256"/>
      <c r="T39" s="364"/>
      <c r="U39" s="364"/>
      <c r="V39" s="364"/>
      <c r="W39" s="345"/>
      <c r="X39" s="345"/>
      <c r="Y39" s="345"/>
      <c r="Z39" s="115"/>
    </row>
    <row r="40" spans="2:26" ht="15" customHeight="1" x14ac:dyDescent="0.3">
      <c r="B40" s="357"/>
      <c r="C40" s="429"/>
      <c r="D40" s="357"/>
      <c r="E40" s="359"/>
      <c r="F40" s="360"/>
      <c r="G40" s="358"/>
      <c r="H40" s="360"/>
      <c r="I40" s="342"/>
      <c r="J40" s="360"/>
      <c r="K40" s="360"/>
      <c r="L40" s="360"/>
      <c r="M40" s="345"/>
      <c r="N40" s="342"/>
      <c r="O40" s="256"/>
      <c r="P40" s="256"/>
      <c r="Q40" s="256"/>
      <c r="R40" s="256"/>
      <c r="S40" s="256"/>
      <c r="T40" s="364"/>
      <c r="U40" s="364"/>
      <c r="V40" s="364"/>
      <c r="W40" s="345"/>
      <c r="X40" s="345"/>
      <c r="Y40" s="345"/>
      <c r="Z40" s="115"/>
    </row>
    <row r="41" spans="2:26" ht="15" customHeight="1" x14ac:dyDescent="0.3">
      <c r="B41" s="357"/>
      <c r="C41" s="429"/>
      <c r="D41" s="357"/>
      <c r="E41" s="359"/>
      <c r="F41" s="360"/>
      <c r="G41" s="358"/>
      <c r="H41" s="360"/>
      <c r="I41" s="342"/>
      <c r="J41" s="360"/>
      <c r="K41" s="360"/>
      <c r="L41" s="360"/>
      <c r="M41" s="345"/>
      <c r="N41" s="342"/>
      <c r="O41" s="256"/>
      <c r="P41" s="256"/>
      <c r="Q41" s="256"/>
      <c r="R41" s="256"/>
      <c r="S41" s="256"/>
      <c r="T41" s="364"/>
      <c r="U41" s="364"/>
      <c r="V41" s="364"/>
      <c r="W41" s="345"/>
      <c r="X41" s="345"/>
      <c r="Y41" s="345"/>
      <c r="Z41" s="115"/>
    </row>
    <row r="42" spans="2:26" ht="15" customHeight="1" x14ac:dyDescent="0.3">
      <c r="B42" s="357"/>
      <c r="C42" s="429"/>
      <c r="D42" s="357"/>
      <c r="E42" s="359"/>
      <c r="F42" s="360"/>
      <c r="G42" s="358"/>
      <c r="H42" s="360"/>
      <c r="I42" s="342"/>
      <c r="J42" s="360"/>
      <c r="K42" s="360"/>
      <c r="L42" s="360"/>
      <c r="M42" s="345"/>
      <c r="N42" s="342"/>
      <c r="O42" s="256"/>
      <c r="P42" s="256"/>
      <c r="Q42" s="256"/>
      <c r="R42" s="256"/>
      <c r="S42" s="256"/>
      <c r="T42" s="364"/>
      <c r="U42" s="364"/>
      <c r="V42" s="364"/>
      <c r="W42" s="345"/>
      <c r="X42" s="345"/>
      <c r="Y42" s="345"/>
      <c r="Z42" s="115"/>
    </row>
    <row r="43" spans="2:26" ht="15" customHeight="1" x14ac:dyDescent="0.3">
      <c r="B43" s="357"/>
      <c r="C43" s="429"/>
      <c r="D43" s="357"/>
      <c r="E43" s="359"/>
      <c r="F43" s="360"/>
      <c r="G43" s="358"/>
      <c r="H43" s="360"/>
      <c r="I43" s="342"/>
      <c r="J43" s="360"/>
      <c r="K43" s="360"/>
      <c r="L43" s="360"/>
      <c r="M43" s="345"/>
      <c r="N43" s="342"/>
      <c r="O43" s="256"/>
      <c r="P43" s="256"/>
      <c r="Q43" s="256"/>
      <c r="R43" s="256"/>
      <c r="S43" s="256"/>
      <c r="T43" s="364"/>
      <c r="U43" s="364"/>
      <c r="V43" s="364"/>
      <c r="W43" s="345"/>
      <c r="X43" s="345"/>
      <c r="Y43" s="345"/>
      <c r="Z43" s="115"/>
    </row>
    <row r="44" spans="2:26" ht="15" customHeight="1" x14ac:dyDescent="0.3">
      <c r="B44" s="357"/>
      <c r="C44" s="357"/>
      <c r="D44" s="357"/>
      <c r="E44" s="359"/>
      <c r="F44" s="360"/>
      <c r="G44" s="358"/>
      <c r="H44" s="360"/>
      <c r="I44" s="342"/>
      <c r="J44" s="342"/>
      <c r="K44" s="342"/>
      <c r="L44" s="360"/>
      <c r="M44" s="345"/>
      <c r="N44" s="342"/>
      <c r="O44" s="256" t="e">
        <f t="shared" ref="O44:O45" si="7">3.96*(G44^0.77)/(H44^0.385)</f>
        <v>#DIV/0!</v>
      </c>
      <c r="P44" s="256" t="e">
        <f t="shared" ref="P44:P45" si="8">14.6*G44/((F44^0.1)*(H44^0.2))</f>
        <v>#DIV/0!</v>
      </c>
      <c r="Q44" s="256" t="e">
        <f t="shared" ref="Q44:Q45" si="9">(34.664*((G44)^0.8)*((1000/N44)-9)^0.7)/(I44^0.5)</f>
        <v>#DIV/0!</v>
      </c>
      <c r="R44" s="256"/>
      <c r="S44" s="256"/>
      <c r="T44" s="364"/>
      <c r="U44" s="364"/>
      <c r="V44" s="364"/>
      <c r="W44" s="115"/>
      <c r="X44" s="115"/>
      <c r="Y44" s="115"/>
      <c r="Z44" s="115"/>
    </row>
    <row r="45" spans="2:26" ht="15" customHeight="1" x14ac:dyDescent="0.3">
      <c r="B45" s="357"/>
      <c r="C45" s="357"/>
      <c r="D45" s="357"/>
      <c r="E45" s="359"/>
      <c r="F45" s="360"/>
      <c r="G45" s="358"/>
      <c r="H45" s="360"/>
      <c r="I45" s="342"/>
      <c r="J45" s="342"/>
      <c r="K45" s="342"/>
      <c r="L45" s="360"/>
      <c r="M45" s="345"/>
      <c r="N45" s="342"/>
      <c r="O45" s="256" t="e">
        <f t="shared" si="7"/>
        <v>#DIV/0!</v>
      </c>
      <c r="P45" s="256" t="e">
        <f t="shared" si="8"/>
        <v>#DIV/0!</v>
      </c>
      <c r="Q45" s="256" t="e">
        <f t="shared" si="9"/>
        <v>#DIV/0!</v>
      </c>
      <c r="R45" s="256"/>
      <c r="S45" s="256"/>
      <c r="T45" s="364"/>
      <c r="U45" s="364"/>
      <c r="V45" s="364"/>
      <c r="W45" s="115"/>
      <c r="X45" s="115"/>
      <c r="Y45" s="115"/>
      <c r="Z45" s="115"/>
    </row>
    <row r="46" spans="2:26" ht="15" customHeight="1" x14ac:dyDescent="0.3"/>
    <row r="47" spans="2:26" ht="15" customHeight="1" x14ac:dyDescent="0.3">
      <c r="L47" s="102"/>
    </row>
    <row r="48" spans="2:26" ht="15" customHeight="1" x14ac:dyDescent="0.3"/>
    <row r="49" spans="7:7" ht="15" customHeight="1" x14ac:dyDescent="0.3">
      <c r="G49" s="430"/>
    </row>
    <row r="50" spans="7:7" ht="15" customHeight="1" x14ac:dyDescent="0.3"/>
    <row r="51" spans="7:7" ht="15" customHeight="1" x14ac:dyDescent="0.3"/>
    <row r="52" spans="7:7" ht="15" customHeight="1" x14ac:dyDescent="0.3"/>
    <row r="53" spans="7:7" ht="15" customHeight="1" x14ac:dyDescent="0.3"/>
    <row r="54" spans="7:7" ht="15" customHeight="1" x14ac:dyDescent="0.3"/>
    <row r="55" spans="7:7" ht="15" customHeight="1" x14ac:dyDescent="0.3"/>
    <row r="56" spans="7:7" ht="15" customHeight="1" x14ac:dyDescent="0.3"/>
  </sheetData>
  <mergeCells count="26">
    <mergeCell ref="X11:X15"/>
    <mergeCell ref="Y11:Y15"/>
    <mergeCell ref="U11:U15"/>
    <mergeCell ref="V11:V15"/>
    <mergeCell ref="B1:Z1"/>
    <mergeCell ref="C11:C15"/>
    <mergeCell ref="T11:T15"/>
    <mergeCell ref="W11:W15"/>
    <mergeCell ref="H11:H15"/>
    <mergeCell ref="B11:B15"/>
    <mergeCell ref="D11:D15"/>
    <mergeCell ref="G11:G15"/>
    <mergeCell ref="Z11:Z15"/>
    <mergeCell ref="E11:E15"/>
    <mergeCell ref="O11:O15"/>
    <mergeCell ref="P11:P15"/>
    <mergeCell ref="Q11:Q15"/>
    <mergeCell ref="S11:S15"/>
    <mergeCell ref="N11:N15"/>
    <mergeCell ref="F11:F15"/>
    <mergeCell ref="M11:M15"/>
    <mergeCell ref="I11:I15"/>
    <mergeCell ref="R11:R15"/>
    <mergeCell ref="J11:J15"/>
    <mergeCell ref="K11:K15"/>
    <mergeCell ref="L11:L15"/>
  </mergeCells>
  <phoneticPr fontId="90" type="noConversion"/>
  <dataValidations disablePrompts="1" count="1">
    <dataValidation type="list" allowBlank="1" showInputMessage="1" showErrorMessage="1" sqref="E16:E45" xr:uid="{00000000-0002-0000-2100-000000000000}">
      <formula1>#REF!</formula1>
    </dataValidation>
  </dataValidations>
  <pageMargins left="0.7" right="0.7" top="0.75" bottom="0.75" header="0.3" footer="0.3"/>
  <pageSetup scale="5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5">
    <tabColor rgb="FF7030A0"/>
  </sheetPr>
  <dimension ref="A1:W429"/>
  <sheetViews>
    <sheetView showGridLines="0" view="pageBreakPreview" zoomScaleNormal="100" zoomScaleSheetLayoutView="100" workbookViewId="0">
      <selection activeCell="G64" sqref="G64"/>
    </sheetView>
  </sheetViews>
  <sheetFormatPr baseColWidth="10" defaultColWidth="11.44140625" defaultRowHeight="14.4" x14ac:dyDescent="0.3"/>
  <cols>
    <col min="2" max="2" width="4.6640625" customWidth="1"/>
    <col min="3" max="11" width="12.6640625" customWidth="1"/>
    <col min="12" max="14" width="11.6640625" customWidth="1"/>
    <col min="15" max="16" width="13.6640625" customWidth="1"/>
    <col min="17" max="17" width="13.44140625" customWidth="1"/>
  </cols>
  <sheetData>
    <row r="1" spans="1:14" ht="15" customHeight="1" x14ac:dyDescent="0.3">
      <c r="B1" s="559" t="s">
        <v>826</v>
      </c>
      <c r="C1" s="559"/>
      <c r="D1" s="559"/>
      <c r="E1" s="559"/>
      <c r="F1" s="559"/>
      <c r="G1" s="559"/>
      <c r="H1" s="559"/>
      <c r="I1" s="559"/>
      <c r="J1" s="559"/>
      <c r="K1" s="559"/>
      <c r="M1" s="692" t="s">
        <v>827</v>
      </c>
      <c r="N1" s="693" t="s">
        <v>828</v>
      </c>
    </row>
    <row r="2" spans="1:14" ht="15" customHeight="1" x14ac:dyDescent="0.3">
      <c r="M2" s="692"/>
      <c r="N2" s="693"/>
    </row>
    <row r="3" spans="1:14" ht="15" customHeight="1" x14ac:dyDescent="0.3">
      <c r="C3" s="70" t="s">
        <v>476</v>
      </c>
      <c r="D3" s="242" t="str">
        <f>ACV!J3</f>
        <v>YANTAC</v>
      </c>
      <c r="M3" s="274">
        <v>0</v>
      </c>
      <c r="N3" s="340">
        <v>20</v>
      </c>
    </row>
    <row r="4" spans="1:14" ht="15" customHeight="1" thickBot="1" x14ac:dyDescent="0.35">
      <c r="M4" s="386" t="str">
        <f>IF(M3&lt;=$D$67,IF($D$67&lt;M5,$D$67,""),"")</f>
        <v/>
      </c>
      <c r="N4" s="387">
        <f>IF(M4="",0,(N5*(M4-M3)+N3*(M5-M4))/(M5-M3))</f>
        <v>0</v>
      </c>
    </row>
    <row r="5" spans="1:14" ht="15" customHeight="1" x14ac:dyDescent="0.3">
      <c r="C5" s="694" t="s">
        <v>486</v>
      </c>
      <c r="D5" s="582" t="s">
        <v>829</v>
      </c>
      <c r="M5" s="274">
        <v>10</v>
      </c>
      <c r="N5" s="340">
        <v>19.399999999999999</v>
      </c>
    </row>
    <row r="6" spans="1:14" ht="15" customHeight="1" x14ac:dyDescent="0.3">
      <c r="C6" s="695"/>
      <c r="D6" s="696"/>
      <c r="M6" s="386">
        <f>IF(M5&lt;=$D$67,IF($D$67&lt;M7,$D$67,""),"")</f>
        <v>19.749056603773585</v>
      </c>
      <c r="N6" s="387">
        <f>IF(M6="",0,(N7*(M6-M5)+N5*(M7-M6))/(M7-M5))</f>
        <v>18.815056603773584</v>
      </c>
    </row>
    <row r="7" spans="1:14" ht="15" customHeight="1" x14ac:dyDescent="0.3">
      <c r="A7" s="129"/>
      <c r="C7" s="377">
        <f>IF(ACV!D8="","",ACV!D8)</f>
        <v>1969</v>
      </c>
      <c r="D7" s="163">
        <f>IF(ACV!Q8="","",ACV!Q8)</f>
        <v>21.9</v>
      </c>
      <c r="E7" s="30" t="s">
        <v>830</v>
      </c>
      <c r="F7" s="99"/>
      <c r="G7" s="378"/>
      <c r="H7" s="169"/>
      <c r="M7" s="274">
        <v>20</v>
      </c>
      <c r="N7" s="340">
        <v>18.8</v>
      </c>
    </row>
    <row r="8" spans="1:14" ht="15" customHeight="1" x14ac:dyDescent="0.3">
      <c r="A8" s="129"/>
      <c r="C8" s="377">
        <f>IF(ACV!D9="","",ACV!D9)</f>
        <v>1970</v>
      </c>
      <c r="D8" s="163">
        <f>IF(ACV!Q9="","",ACV!Q9)</f>
        <v>23.200000000000003</v>
      </c>
      <c r="F8" s="99"/>
      <c r="G8" s="378"/>
      <c r="M8" s="386" t="str">
        <f>IF(M7&lt;=$D$67,IF($D$67&lt;M9,$D$67,""),"")</f>
        <v/>
      </c>
      <c r="N8" s="387">
        <f>IF(M8="",0,(N9*(M8-M7)+N7*(M9-M8))/(M9-M7))</f>
        <v>0</v>
      </c>
    </row>
    <row r="9" spans="1:14" ht="15" customHeight="1" x14ac:dyDescent="0.3">
      <c r="A9" s="379"/>
      <c r="C9" s="377">
        <f>IF(ACV!D10="","",ACV!D10)</f>
        <v>1971</v>
      </c>
      <c r="D9" s="163">
        <f>IF(ACV!Q10="","",ACV!Q10)</f>
        <v>25</v>
      </c>
      <c r="E9" s="220" t="s">
        <v>807</v>
      </c>
      <c r="M9" s="274">
        <v>30</v>
      </c>
      <c r="N9" s="340">
        <v>18.2</v>
      </c>
    </row>
    <row r="10" spans="1:14" ht="15" customHeight="1" x14ac:dyDescent="0.3">
      <c r="A10" s="379"/>
      <c r="C10" s="377">
        <f>IF(ACV!D11="","",ACV!D11)</f>
        <v>1972</v>
      </c>
      <c r="D10" s="163">
        <f>IF(ACV!Q11="","",ACV!Q11)</f>
        <v>19.7</v>
      </c>
      <c r="F10" s="99" t="s">
        <v>831</v>
      </c>
      <c r="G10" s="388">
        <f>N20</f>
        <v>18.815056603773584</v>
      </c>
      <c r="H10" s="169"/>
      <c r="I10" s="376" t="s">
        <v>832</v>
      </c>
      <c r="M10" s="386" t="str">
        <f>IF(M9&lt;=$D$67,IF($D$67&lt;M11,$D$67,""),"")</f>
        <v/>
      </c>
      <c r="N10" s="387">
        <f>IF(M10="",0,(N11*(M10-M9)+N9*(M11-M10))/(M11-M9))</f>
        <v>0</v>
      </c>
    </row>
    <row r="11" spans="1:14" ht="15" customHeight="1" x14ac:dyDescent="0.3">
      <c r="A11" s="379"/>
      <c r="C11" s="377">
        <f>IF(ACV!D12="","",ACV!D12)</f>
        <v>1973</v>
      </c>
      <c r="D11" s="163">
        <f>IF(ACV!Q12="","",ACV!Q12)</f>
        <v>27.5</v>
      </c>
      <c r="M11" s="274">
        <v>50</v>
      </c>
      <c r="N11" s="340">
        <v>17.3</v>
      </c>
    </row>
    <row r="12" spans="1:14" ht="15" customHeight="1" x14ac:dyDescent="0.3">
      <c r="A12" s="379"/>
      <c r="C12" s="377">
        <f>IF(ACV!D13="","",ACV!D13)</f>
        <v>1974</v>
      </c>
      <c r="D12" s="163">
        <f>IF(ACV!Q13="","",ACV!Q13)</f>
        <v>35</v>
      </c>
      <c r="H12" s="104" t="s">
        <v>833</v>
      </c>
      <c r="M12" s="386" t="str">
        <f>IF(M11&lt;=$D$67,IF($D$67&lt;M13,$D$67,""),"")</f>
        <v/>
      </c>
      <c r="N12" s="387">
        <f>IF(M12="",0,(N13*(M12-M11)+N11*(M13-M12))/(M13-M11))</f>
        <v>0</v>
      </c>
    </row>
    <row r="13" spans="1:14" ht="15" customHeight="1" x14ac:dyDescent="0.3">
      <c r="C13" s="377">
        <f>IF(ACV!D14="","",ACV!D14)</f>
        <v>1975</v>
      </c>
      <c r="D13" s="163">
        <f>IF(ACV!Q14="","",ACV!Q14)</f>
        <v>33.400000000000006</v>
      </c>
      <c r="M13" s="274">
        <v>100</v>
      </c>
      <c r="N13" s="340">
        <v>15.2</v>
      </c>
    </row>
    <row r="14" spans="1:14" ht="15" customHeight="1" x14ac:dyDescent="0.3">
      <c r="C14" s="377">
        <f>IF(ACV!D15="","",ACV!D15)</f>
        <v>1976</v>
      </c>
      <c r="D14" s="163">
        <f>IF(ACV!Q15="","",ACV!Q15)</f>
        <v>28.5</v>
      </c>
      <c r="M14" s="386" t="str">
        <f>IF(M13&lt;=$D$67,IF($D$67&lt;M15,$D$67,""),"")</f>
        <v/>
      </c>
      <c r="N14" s="387">
        <f>IF(M14="",0,(N15*(M14-M13)+N13*(M15-M14))/(M15-M13))</f>
        <v>0</v>
      </c>
    </row>
    <row r="15" spans="1:14" ht="15" customHeight="1" x14ac:dyDescent="0.3">
      <c r="C15" s="377">
        <f>IF(ACV!D16="","",ACV!D16)</f>
        <v>1977</v>
      </c>
      <c r="D15" s="163">
        <f>IF(ACV!Q16="","",ACV!Q16)</f>
        <v>15.1</v>
      </c>
      <c r="M15" s="274">
        <v>150</v>
      </c>
      <c r="N15" s="340">
        <v>13.5</v>
      </c>
    </row>
    <row r="16" spans="1:14" ht="15" customHeight="1" x14ac:dyDescent="0.3">
      <c r="C16" s="377">
        <f>IF(ACV!D17="","",ACV!D17)</f>
        <v>1978</v>
      </c>
      <c r="D16" s="163">
        <f>IF(ACV!Q17="","",ACV!Q17)</f>
        <v>27</v>
      </c>
      <c r="M16" s="386" t="str">
        <f>IF(M15&lt;=$D$67,IF($D$67&lt;M17,$D$67,""),"")</f>
        <v/>
      </c>
      <c r="N16" s="387">
        <f>IF(M16="",0,(N17*(M16-M15)+N15*(M17-M16))/(M17-M15))</f>
        <v>0</v>
      </c>
    </row>
    <row r="17" spans="3:23" ht="15" customHeight="1" x14ac:dyDescent="0.3">
      <c r="C17" s="377">
        <f>IF(ACV!D18="","",ACV!D18)</f>
        <v>1979</v>
      </c>
      <c r="D17" s="163">
        <f>IF(ACV!Q18="","",ACV!Q18)</f>
        <v>23.1</v>
      </c>
      <c r="M17" s="274">
        <v>200</v>
      </c>
      <c r="N17" s="340">
        <v>12.1</v>
      </c>
    </row>
    <row r="18" spans="3:23" ht="15" customHeight="1" x14ac:dyDescent="0.3">
      <c r="C18" s="377">
        <f>IF(ACV!D19="","",ACV!D19)</f>
        <v>1980</v>
      </c>
      <c r="D18" s="163">
        <f>IF(ACV!Q19="","",ACV!Q19)</f>
        <v>25.2</v>
      </c>
      <c r="M18" s="386" t="str">
        <f>IF(M17&lt;=$D$67,IF($D$67&lt;M19,$D$67,""),"")</f>
        <v/>
      </c>
      <c r="N18" s="387">
        <f>IF(M18="",0,(N19*(M18-M17)+N17*(M19-M18))/(M19-M17))</f>
        <v>0</v>
      </c>
    </row>
    <row r="19" spans="3:23" ht="15" customHeight="1" x14ac:dyDescent="0.3">
      <c r="C19" s="377">
        <f>IF(ACV!D20="","",ACV!D20)</f>
        <v>1981</v>
      </c>
      <c r="D19" s="163">
        <f>IF(ACV!Q20="","",ACV!Q20)</f>
        <v>31.4</v>
      </c>
      <c r="M19" s="274">
        <v>250</v>
      </c>
      <c r="N19" s="340">
        <v>10.9</v>
      </c>
    </row>
    <row r="20" spans="3:23" ht="15" customHeight="1" x14ac:dyDescent="0.3">
      <c r="C20" s="377">
        <f>IF(ACV!D21="","",ACV!D21)</f>
        <v>1982</v>
      </c>
      <c r="D20" s="163">
        <f>IF(ACV!Q21="","",ACV!Q21)</f>
        <v>12.3</v>
      </c>
      <c r="N20" s="78">
        <f>SUM(N4,N6,N8,N10,N12,N14,N16,N18)</f>
        <v>18.815056603773584</v>
      </c>
    </row>
    <row r="21" spans="3:23" ht="15" customHeight="1" x14ac:dyDescent="0.3">
      <c r="C21" s="377">
        <f>IF(ACV!D22="","",ACV!D22)</f>
        <v>1983</v>
      </c>
      <c r="D21" s="163">
        <f>IF(ACV!Q22="","",ACV!Q22)</f>
        <v>15.3</v>
      </c>
    </row>
    <row r="22" spans="3:23" ht="15" customHeight="1" x14ac:dyDescent="0.3">
      <c r="C22" s="377">
        <f>IF(ACV!D23="","",ACV!D23)</f>
        <v>1984</v>
      </c>
      <c r="D22" s="163">
        <f>IF(ACV!Q23="","",ACV!Q23)</f>
        <v>16.7</v>
      </c>
    </row>
    <row r="23" spans="3:23" ht="15" customHeight="1" x14ac:dyDescent="0.3">
      <c r="C23" s="377">
        <f>IF(ACV!D24="","",ACV!D24)</f>
        <v>1985</v>
      </c>
      <c r="D23" s="163">
        <f>IF(ACV!Q24="","",ACV!Q24)</f>
        <v>10</v>
      </c>
    </row>
    <row r="24" spans="3:23" ht="15" customHeight="1" x14ac:dyDescent="0.3">
      <c r="C24" s="377">
        <f>IF(ACV!D25="","",ACV!D25)</f>
        <v>1986</v>
      </c>
      <c r="D24" s="163">
        <f>IF(ACV!Q25="","",ACV!Q25)</f>
        <v>12.399999999999999</v>
      </c>
    </row>
    <row r="25" spans="3:23" ht="15" customHeight="1" x14ac:dyDescent="0.3">
      <c r="C25" s="377">
        <f>IF(ACV!D26="","",ACV!D26)</f>
        <v>1987</v>
      </c>
      <c r="D25" s="163">
        <f>IF(ACV!Q26="","",ACV!Q26)</f>
        <v>10.7</v>
      </c>
      <c r="W25" s="233"/>
    </row>
    <row r="26" spans="3:23" ht="15" customHeight="1" x14ac:dyDescent="0.3">
      <c r="C26" s="377">
        <f>IF(ACV!D27="","",ACV!D27)</f>
        <v>1988</v>
      </c>
      <c r="D26" s="163">
        <f>IF(ACV!Q27="","",ACV!Q27)</f>
        <v>13.5</v>
      </c>
    </row>
    <row r="27" spans="3:23" ht="15" customHeight="1" x14ac:dyDescent="0.3">
      <c r="C27" s="377">
        <f>IF(ACV!D28="","",ACV!D28)</f>
        <v>1989</v>
      </c>
      <c r="D27" s="163">
        <f>IF(ACV!Q28="","",ACV!Q28)</f>
        <v>9.9</v>
      </c>
    </row>
    <row r="28" spans="3:23" ht="15" customHeight="1" x14ac:dyDescent="0.3">
      <c r="C28" s="377">
        <f>IF(ACV!D29="","",ACV!D29)</f>
        <v>1990</v>
      </c>
      <c r="D28" s="163">
        <f>IF(ACV!Q29="","",ACV!Q29)</f>
        <v>27.2</v>
      </c>
    </row>
    <row r="29" spans="3:23" ht="15" customHeight="1" x14ac:dyDescent="0.3">
      <c r="C29" s="377">
        <f>IF(ACV!D30="","",ACV!D30)</f>
        <v>1991</v>
      </c>
      <c r="D29" s="163">
        <f>IF(ACV!Q30="","",ACV!Q30)</f>
        <v>10.8</v>
      </c>
    </row>
    <row r="30" spans="3:23" ht="15" customHeight="1" x14ac:dyDescent="0.3">
      <c r="C30" s="377">
        <f>IF(ACV!D31="","",ACV!D31)</f>
        <v>1992</v>
      </c>
      <c r="D30" s="163">
        <f>IF(ACV!Q31="","",ACV!Q31)</f>
        <v>10.100000000000001</v>
      </c>
    </row>
    <row r="31" spans="3:23" ht="15" customHeight="1" x14ac:dyDescent="0.3">
      <c r="C31" s="377">
        <f>IF(ACV!D32="","",ACV!D32)</f>
        <v>1993</v>
      </c>
      <c r="D31" s="163">
        <f>IF(ACV!Q32="","",ACV!Q32)</f>
        <v>15.2</v>
      </c>
    </row>
    <row r="32" spans="3:23" ht="15" customHeight="1" x14ac:dyDescent="0.3">
      <c r="C32" s="377">
        <f>IF(ACV!D33="","",ACV!D33)</f>
        <v>1994</v>
      </c>
      <c r="D32" s="163">
        <f>IF(ACV!Q33="","",ACV!Q33)</f>
        <v>18</v>
      </c>
    </row>
    <row r="33" spans="3:9" ht="15" customHeight="1" x14ac:dyDescent="0.3">
      <c r="C33" s="377">
        <f>IF(ACV!D34="","",ACV!D34)</f>
        <v>1995</v>
      </c>
      <c r="D33" s="163">
        <f>IF(ACV!Q34="","",ACV!Q34)</f>
        <v>19.7</v>
      </c>
      <c r="H33" s="339" t="s">
        <v>834</v>
      </c>
    </row>
    <row r="34" spans="3:9" ht="15" customHeight="1" x14ac:dyDescent="0.3">
      <c r="C34" s="377">
        <f>IF(ACV!D35="","",ACV!D35)</f>
        <v>1996</v>
      </c>
      <c r="D34" s="163">
        <f>IF(ACV!Q35="","",ACV!Q35)</f>
        <v>17.7</v>
      </c>
    </row>
    <row r="35" spans="3:9" ht="15" customHeight="1" x14ac:dyDescent="0.3">
      <c r="C35" s="377">
        <f>IF(ACV!D36="","",ACV!D36)</f>
        <v>1997</v>
      </c>
      <c r="D35" s="163">
        <f>IF(ACV!Q36="","",ACV!Q36)</f>
        <v>26.200000000000003</v>
      </c>
      <c r="F35" s="99" t="s">
        <v>835</v>
      </c>
      <c r="G35" s="380">
        <f>D67+G10*D68</f>
        <v>157.38794119665997</v>
      </c>
      <c r="H35" s="381" t="s">
        <v>3</v>
      </c>
      <c r="I35" s="376" t="s">
        <v>836</v>
      </c>
    </row>
    <row r="36" spans="3:9" ht="15" customHeight="1" x14ac:dyDescent="0.3">
      <c r="C36" s="377">
        <f>IF(ACV!D37="","",ACV!D37)</f>
        <v>1998</v>
      </c>
      <c r="D36" s="163">
        <f>IF(ACV!Q37="","",ACV!Q37)</f>
        <v>28.599999999999998</v>
      </c>
    </row>
    <row r="37" spans="3:9" ht="15" customHeight="1" x14ac:dyDescent="0.3">
      <c r="C37" s="377">
        <f>IF(ACV!D38="","",ACV!D38)</f>
        <v>1999</v>
      </c>
      <c r="D37" s="163">
        <f>IF(ACV!Q38="","",ACV!Q38)</f>
        <v>24.9</v>
      </c>
    </row>
    <row r="38" spans="3:9" ht="15" customHeight="1" x14ac:dyDescent="0.3">
      <c r="C38" s="377">
        <f>IF(ACV!D39="","",ACV!D39)</f>
        <v>2000</v>
      </c>
      <c r="D38" s="163">
        <f>IF(ACV!Q39="","",ACV!Q39)</f>
        <v>35.599999999999994</v>
      </c>
      <c r="F38" s="220" t="s">
        <v>837</v>
      </c>
    </row>
    <row r="39" spans="3:9" ht="15" customHeight="1" x14ac:dyDescent="0.3">
      <c r="C39" s="377">
        <f>IF(ACV!D40="","",ACV!D40)</f>
        <v>2001</v>
      </c>
      <c r="D39" s="163">
        <f>IF(ACV!Q40="","",ACV!Q40)</f>
        <v>28.1</v>
      </c>
      <c r="F39" s="220" t="s">
        <v>838</v>
      </c>
    </row>
    <row r="40" spans="3:9" ht="15" customHeight="1" x14ac:dyDescent="0.3">
      <c r="C40" s="377">
        <f>IF(ACV!D41="","",ACV!D41)</f>
        <v>2002</v>
      </c>
      <c r="D40" s="163">
        <f>IF(ACV!Q41="","",ACV!Q41)</f>
        <v>19.5</v>
      </c>
    </row>
    <row r="41" spans="3:9" ht="15" customHeight="1" x14ac:dyDescent="0.3">
      <c r="C41" s="377">
        <f>IF(ACV!D42="","",ACV!D42)</f>
        <v>2003</v>
      </c>
      <c r="D41" s="163">
        <f>IF(ACV!Q42="","",ACV!Q42)</f>
        <v>29.299999999999997</v>
      </c>
      <c r="H41" s="104" t="s">
        <v>839</v>
      </c>
    </row>
    <row r="42" spans="3:9" ht="15" customHeight="1" x14ac:dyDescent="0.3">
      <c r="C42" s="377">
        <f>IF(ACV!D43="","",ACV!D43)</f>
        <v>2004</v>
      </c>
      <c r="D42" s="163">
        <f>IF(ACV!Q43="","",ACV!Q43)</f>
        <v>16.5</v>
      </c>
    </row>
    <row r="43" spans="3:9" ht="15" customHeight="1" x14ac:dyDescent="0.3">
      <c r="C43" s="377">
        <f>IF(ACV!D44="","",ACV!D44)</f>
        <v>2005</v>
      </c>
      <c r="D43" s="163">
        <f>IF(ACV!Q44="","",ACV!Q44)</f>
        <v>12.3</v>
      </c>
    </row>
    <row r="44" spans="3:9" ht="15" customHeight="1" x14ac:dyDescent="0.3">
      <c r="C44" s="377">
        <f>IF(ACV!D45="","",ACV!D45)</f>
        <v>2006</v>
      </c>
      <c r="D44" s="163">
        <f>IF(ACV!Q45="","",ACV!Q45)</f>
        <v>31.6</v>
      </c>
    </row>
    <row r="45" spans="3:9" ht="15" customHeight="1" x14ac:dyDescent="0.3">
      <c r="C45" s="377">
        <f>IF(ACV!D46="","",ACV!D46)</f>
        <v>2007</v>
      </c>
      <c r="D45" s="163">
        <f>IF(ACV!Q46="","",ACV!Q46)</f>
        <v>14.1</v>
      </c>
    </row>
    <row r="46" spans="3:9" ht="15" customHeight="1" x14ac:dyDescent="0.3">
      <c r="C46" s="377">
        <f>IF(ACV!D47="","",ACV!D47)</f>
        <v>2008</v>
      </c>
      <c r="D46" s="163">
        <f>IF(ACV!Q47="","",ACV!Q47)</f>
        <v>17.5</v>
      </c>
    </row>
    <row r="47" spans="3:9" ht="15" customHeight="1" x14ac:dyDescent="0.3">
      <c r="C47" s="377">
        <f>IF(ACV!D48="","",ACV!D48)</f>
        <v>2009</v>
      </c>
      <c r="D47" s="163">
        <f>IF(ACV!Q48="","",ACV!Q48)</f>
        <v>25.5</v>
      </c>
    </row>
    <row r="48" spans="3:9" ht="15" customHeight="1" x14ac:dyDescent="0.3">
      <c r="C48" s="377">
        <f>IF(ACV!D49="","",ACV!D49)</f>
        <v>2010</v>
      </c>
      <c r="D48" s="163">
        <f>IF(ACV!Q49="","",ACV!Q49)</f>
        <v>19.100000000000001</v>
      </c>
    </row>
    <row r="49" spans="3:9" ht="15" customHeight="1" x14ac:dyDescent="0.3">
      <c r="C49" s="377">
        <f>IF(ACV!D50="","",ACV!D50)</f>
        <v>2011</v>
      </c>
      <c r="D49" s="163">
        <f>IF(ACV!Q50="","",ACV!Q50)</f>
        <v>15.8</v>
      </c>
    </row>
    <row r="50" spans="3:9" ht="15" customHeight="1" x14ac:dyDescent="0.3">
      <c r="C50" s="377">
        <f>IF(ACV!D51="","",ACV!D51)</f>
        <v>2012</v>
      </c>
      <c r="D50" s="163">
        <f>IF(ACV!Q51="","",ACV!Q51)</f>
        <v>9.9</v>
      </c>
    </row>
    <row r="51" spans="3:9" ht="15" customHeight="1" x14ac:dyDescent="0.3">
      <c r="C51" s="377">
        <f>IF(ACV!D52="","",ACV!D52)</f>
        <v>2013</v>
      </c>
      <c r="D51" s="163">
        <f>IF(ACV!Q52="","",ACV!Q52)</f>
        <v>10.7</v>
      </c>
    </row>
    <row r="52" spans="3:9" ht="15" customHeight="1" x14ac:dyDescent="0.3">
      <c r="C52" s="377">
        <f>IF(ACV!D53="","",ACV!D53)</f>
        <v>2014</v>
      </c>
      <c r="D52" s="163">
        <f>IF(ACV!Q53="","",ACV!Q53)</f>
        <v>12.3</v>
      </c>
    </row>
    <row r="53" spans="3:9" ht="15" customHeight="1" x14ac:dyDescent="0.3">
      <c r="C53" s="377">
        <f>IF(ACV!D54="","",ACV!D54)</f>
        <v>2015</v>
      </c>
      <c r="D53" s="163">
        <f>IF(ACV!Q54="","",ACV!Q54)</f>
        <v>15.7</v>
      </c>
    </row>
    <row r="54" spans="3:9" ht="15" customHeight="1" x14ac:dyDescent="0.3">
      <c r="C54" s="377">
        <f>IF(ACV!D55="","",ACV!D55)</f>
        <v>2016</v>
      </c>
      <c r="D54" s="163">
        <f>IF(ACV!Q55="","",ACV!Q55)</f>
        <v>15.3</v>
      </c>
    </row>
    <row r="55" spans="3:9" ht="15" customHeight="1" x14ac:dyDescent="0.3">
      <c r="C55" s="377">
        <f>IF(ACV!D56="","",ACV!D56)</f>
        <v>2017</v>
      </c>
      <c r="D55" s="163">
        <f>IF(ACV!Q56="","",ACV!Q56)</f>
        <v>14.8</v>
      </c>
    </row>
    <row r="56" spans="3:9" ht="15" customHeight="1" x14ac:dyDescent="0.3">
      <c r="C56" s="377">
        <f>IF(ACV!D57="","",ACV!D57)</f>
        <v>2018</v>
      </c>
      <c r="D56" s="163">
        <f>IF(ACV!Q57="","",ACV!Q57)</f>
        <v>18.8</v>
      </c>
    </row>
    <row r="57" spans="3:9" ht="15" customHeight="1" x14ac:dyDescent="0.3">
      <c r="C57" s="377">
        <f>IF(ACV!D58="","",ACV!D58)</f>
        <v>2019</v>
      </c>
      <c r="D57" s="163">
        <f>IF(ACV!Q58="","",ACV!Q58)</f>
        <v>11.7</v>
      </c>
      <c r="E57" s="220"/>
    </row>
    <row r="58" spans="3:9" ht="15" customHeight="1" x14ac:dyDescent="0.3">
      <c r="C58" s="377">
        <f>IF(ACV!D59="","",ACV!D59)</f>
        <v>2020</v>
      </c>
      <c r="D58" s="163">
        <f>IF(ACV!Q59="","",ACV!Q59)</f>
        <v>20.9</v>
      </c>
      <c r="F58" s="257"/>
    </row>
    <row r="59" spans="3:9" ht="15" customHeight="1" x14ac:dyDescent="0.3">
      <c r="C59" s="377">
        <f>IF(ACV!D60="","",ACV!D60)</f>
        <v>2023</v>
      </c>
      <c r="D59" s="163">
        <f>IF(ACV!Q60="","",ACV!Q60)</f>
        <v>16.5</v>
      </c>
      <c r="F59" s="257"/>
    </row>
    <row r="60" spans="3:9" ht="15" customHeight="1" x14ac:dyDescent="0.3">
      <c r="C60" s="377" t="str">
        <f>IF(ACV!D61="","",ACV!D61)</f>
        <v/>
      </c>
      <c r="D60" s="163" t="str">
        <f>IF(ACV!Q61="","",ACV!Q61)</f>
        <v/>
      </c>
      <c r="F60" s="257"/>
    </row>
    <row r="61" spans="3:9" ht="15" customHeight="1" x14ac:dyDescent="0.3">
      <c r="C61" s="377" t="str">
        <f>IF(ACV!D62="","",ACV!D62)</f>
        <v/>
      </c>
      <c r="D61" s="163" t="str">
        <f>IF(ACV!Q62="","",ACV!Q62)</f>
        <v/>
      </c>
      <c r="H61" s="339" t="s">
        <v>834</v>
      </c>
    </row>
    <row r="62" spans="3:9" ht="15" customHeight="1" x14ac:dyDescent="0.3">
      <c r="C62" s="377" t="str">
        <f>IF(ACV!D63="","",ACV!D63)</f>
        <v/>
      </c>
      <c r="D62" s="163" t="str">
        <f>IF(ACV!Q63="","",ACV!Q63)</f>
        <v/>
      </c>
    </row>
    <row r="63" spans="3:9" ht="15" customHeight="1" x14ac:dyDescent="0.3">
      <c r="C63" s="377" t="str">
        <f>IF(ACV!D64="","",ACV!D64)</f>
        <v/>
      </c>
      <c r="D63" s="163" t="str">
        <f>IF(ACV!Q64="","",ACV!Q64)</f>
        <v/>
      </c>
      <c r="E63" s="220" t="s">
        <v>346</v>
      </c>
    </row>
    <row r="64" spans="3:9" ht="15" customHeight="1" x14ac:dyDescent="0.3">
      <c r="C64" s="377" t="str">
        <f>IF(ACV!D65="","",ACV!D65)</f>
        <v/>
      </c>
      <c r="D64" s="163" t="str">
        <f>IF(ACV!Q65="","",ACV!Q65)</f>
        <v/>
      </c>
      <c r="F64" s="70" t="s">
        <v>835</v>
      </c>
      <c r="G64" s="389">
        <f>G35*0.92</f>
        <v>144.79690590092719</v>
      </c>
      <c r="H64" s="390" t="s">
        <v>3</v>
      </c>
      <c r="I64" s="236" t="s">
        <v>840</v>
      </c>
    </row>
    <row r="65" spans="3:23" ht="15" customHeight="1" x14ac:dyDescent="0.3">
      <c r="C65" s="377" t="str">
        <f>IF(ACV!D66="","",ACV!D66)</f>
        <v/>
      </c>
      <c r="D65" s="163" t="str">
        <f>IF(ACV!Q66="","",ACV!Q66)</f>
        <v/>
      </c>
      <c r="I65" s="236" t="s">
        <v>841</v>
      </c>
      <c r="W65" s="233"/>
    </row>
    <row r="66" spans="3:23" ht="15" customHeight="1" thickBot="1" x14ac:dyDescent="0.35">
      <c r="C66" s="382" t="str">
        <f>IF(ACV!D67="","",ACV!D67)</f>
        <v/>
      </c>
      <c r="D66" s="164" t="str">
        <f>IF(ACV!Q67="","",ACV!Q67)</f>
        <v/>
      </c>
    </row>
    <row r="67" spans="3:23" ht="15" customHeight="1" x14ac:dyDescent="0.3">
      <c r="C67" s="370" t="s">
        <v>822</v>
      </c>
      <c r="D67" s="372">
        <f>AVERAGE(D7:D66)</f>
        <v>19.749056603773585</v>
      </c>
    </row>
    <row r="68" spans="3:23" ht="15" customHeight="1" thickBot="1" x14ac:dyDescent="0.35">
      <c r="C68" s="384" t="s">
        <v>823</v>
      </c>
      <c r="D68" s="373">
        <f>STDEV(D7:D66)</f>
        <v>7.3153585179903873</v>
      </c>
    </row>
    <row r="69" spans="3:23" ht="15" customHeight="1" x14ac:dyDescent="0.3"/>
    <row r="70" spans="3:23" ht="15" customHeight="1" x14ac:dyDescent="0.3"/>
    <row r="71" spans="3:23" ht="15" customHeight="1" x14ac:dyDescent="0.3"/>
    <row r="72" spans="3:23" ht="15" customHeight="1" x14ac:dyDescent="0.3"/>
    <row r="73" spans="3:23" ht="15" customHeight="1" x14ac:dyDescent="0.3"/>
    <row r="74" spans="3:23" ht="15" customHeight="1" x14ac:dyDescent="0.3"/>
    <row r="75" spans="3:23" ht="15" customHeight="1" x14ac:dyDescent="0.3"/>
    <row r="76" spans="3:23" ht="15" customHeight="1" x14ac:dyDescent="0.3"/>
    <row r="77" spans="3:23" ht="15" customHeight="1" x14ac:dyDescent="0.3"/>
    <row r="78" spans="3:23" ht="15" customHeight="1" x14ac:dyDescent="0.3"/>
    <row r="79" spans="3:23" ht="15" customHeight="1" x14ac:dyDescent="0.3"/>
    <row r="80" spans="3:23" ht="15" customHeight="1" x14ac:dyDescent="0.3"/>
    <row r="81" ht="15" customHeight="1" x14ac:dyDescent="0.3"/>
    <row r="82" ht="15" customHeight="1" x14ac:dyDescent="0.3"/>
    <row r="8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9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  <row r="110" ht="15" customHeight="1" x14ac:dyDescent="0.3"/>
    <row r="111" ht="15" customHeight="1" x14ac:dyDescent="0.3"/>
    <row r="112" ht="15" customHeight="1" x14ac:dyDescent="0.3"/>
    <row r="113" ht="15" customHeight="1" x14ac:dyDescent="0.3"/>
    <row r="114" ht="15" customHeight="1" x14ac:dyDescent="0.3"/>
    <row r="115" ht="15" customHeight="1" x14ac:dyDescent="0.3"/>
    <row r="116" ht="15" customHeight="1" x14ac:dyDescent="0.3"/>
    <row r="117" ht="15" customHeight="1" x14ac:dyDescent="0.3"/>
    <row r="118" ht="15" customHeight="1" x14ac:dyDescent="0.3"/>
    <row r="119" ht="15" customHeight="1" x14ac:dyDescent="0.3"/>
    <row r="120" ht="15" customHeight="1" x14ac:dyDescent="0.3"/>
    <row r="121" ht="15" customHeight="1" x14ac:dyDescent="0.3"/>
    <row r="122" ht="15" customHeight="1" x14ac:dyDescent="0.3"/>
    <row r="123" ht="15" customHeight="1" x14ac:dyDescent="0.3"/>
    <row r="124" ht="15" customHeight="1" x14ac:dyDescent="0.3"/>
    <row r="125" ht="15" customHeight="1" x14ac:dyDescent="0.3"/>
    <row r="126" ht="15" customHeight="1" x14ac:dyDescent="0.3"/>
    <row r="127" ht="15" customHeight="1" x14ac:dyDescent="0.3"/>
    <row r="128" ht="15" customHeight="1" x14ac:dyDescent="0.3"/>
    <row r="129" ht="15" customHeight="1" x14ac:dyDescent="0.3"/>
    <row r="130" ht="15" customHeight="1" x14ac:dyDescent="0.3"/>
    <row r="131" ht="15" customHeight="1" x14ac:dyDescent="0.3"/>
    <row r="132" ht="15" customHeight="1" x14ac:dyDescent="0.3"/>
    <row r="133" ht="15" customHeight="1" x14ac:dyDescent="0.3"/>
    <row r="134" ht="15" customHeight="1" x14ac:dyDescent="0.3"/>
    <row r="135" ht="15" customHeight="1" x14ac:dyDescent="0.3"/>
    <row r="136" ht="15" customHeight="1" x14ac:dyDescent="0.3"/>
    <row r="137" ht="15" customHeight="1" x14ac:dyDescent="0.3"/>
    <row r="138" ht="15" customHeight="1" x14ac:dyDescent="0.3"/>
    <row r="139" ht="15" customHeight="1" x14ac:dyDescent="0.3"/>
    <row r="140" ht="15" customHeight="1" x14ac:dyDescent="0.3"/>
    <row r="141" ht="15" customHeight="1" x14ac:dyDescent="0.3"/>
    <row r="142" ht="15" customHeight="1" x14ac:dyDescent="0.3"/>
    <row r="143" ht="15" customHeight="1" x14ac:dyDescent="0.3"/>
    <row r="144" ht="15" customHeight="1" x14ac:dyDescent="0.3"/>
    <row r="145" ht="15" customHeight="1" x14ac:dyDescent="0.3"/>
    <row r="146" ht="15" customHeight="1" x14ac:dyDescent="0.3"/>
    <row r="147" ht="15" customHeight="1" x14ac:dyDescent="0.3"/>
    <row r="148" ht="15" customHeight="1" x14ac:dyDescent="0.3"/>
    <row r="149" ht="15" customHeight="1" x14ac:dyDescent="0.3"/>
    <row r="150" ht="15" customHeight="1" x14ac:dyDescent="0.3"/>
    <row r="151" ht="15" customHeight="1" x14ac:dyDescent="0.3"/>
    <row r="152" ht="15" customHeight="1" x14ac:dyDescent="0.3"/>
    <row r="153" ht="15" customHeight="1" x14ac:dyDescent="0.3"/>
    <row r="154" ht="15" customHeight="1" x14ac:dyDescent="0.3"/>
    <row r="155" ht="15" customHeight="1" x14ac:dyDescent="0.3"/>
    <row r="156" ht="15" customHeight="1" x14ac:dyDescent="0.3"/>
    <row r="157" ht="15" customHeight="1" x14ac:dyDescent="0.3"/>
    <row r="158" ht="15" customHeight="1" x14ac:dyDescent="0.3"/>
    <row r="159" ht="15" customHeight="1" x14ac:dyDescent="0.3"/>
    <row r="160" ht="15" customHeight="1" x14ac:dyDescent="0.3"/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15" customHeight="1" x14ac:dyDescent="0.3"/>
    <row r="173" ht="15" customHeight="1" x14ac:dyDescent="0.3"/>
    <row r="174" ht="15" customHeight="1" x14ac:dyDescent="0.3"/>
    <row r="175" ht="15" customHeight="1" x14ac:dyDescent="0.3"/>
    <row r="176" ht="15" customHeight="1" x14ac:dyDescent="0.3"/>
    <row r="177" ht="15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85" ht="15" customHeight="1" x14ac:dyDescent="0.3"/>
    <row r="186" ht="15" customHeight="1" x14ac:dyDescent="0.3"/>
    <row r="187" ht="15" customHeight="1" x14ac:dyDescent="0.3"/>
    <row r="188" ht="15" customHeight="1" x14ac:dyDescent="0.3"/>
    <row r="189" ht="15" customHeight="1" x14ac:dyDescent="0.3"/>
    <row r="190" ht="15" customHeight="1" x14ac:dyDescent="0.3"/>
    <row r="191" ht="15" customHeight="1" x14ac:dyDescent="0.3"/>
    <row r="192" ht="15" customHeight="1" x14ac:dyDescent="0.3"/>
    <row r="193" ht="15" customHeight="1" x14ac:dyDescent="0.3"/>
    <row r="194" ht="15" customHeight="1" x14ac:dyDescent="0.3"/>
    <row r="195" ht="15" customHeight="1" x14ac:dyDescent="0.3"/>
    <row r="196" ht="15" customHeight="1" x14ac:dyDescent="0.3"/>
    <row r="197" ht="15" customHeight="1" x14ac:dyDescent="0.3"/>
    <row r="198" ht="15" customHeight="1" x14ac:dyDescent="0.3"/>
    <row r="199" ht="15" customHeight="1" x14ac:dyDescent="0.3"/>
    <row r="200" ht="15" customHeight="1" x14ac:dyDescent="0.3"/>
    <row r="201" ht="15" customHeight="1" x14ac:dyDescent="0.3"/>
    <row r="202" ht="15" customHeight="1" x14ac:dyDescent="0.3"/>
    <row r="203" ht="15" customHeight="1" x14ac:dyDescent="0.3"/>
    <row r="204" ht="15" customHeight="1" x14ac:dyDescent="0.3"/>
    <row r="205" ht="15" customHeight="1" x14ac:dyDescent="0.3"/>
    <row r="206" ht="15" customHeight="1" x14ac:dyDescent="0.3"/>
    <row r="207" ht="15" customHeight="1" x14ac:dyDescent="0.3"/>
    <row r="208" ht="15" customHeight="1" x14ac:dyDescent="0.3"/>
    <row r="209" ht="15" customHeight="1" x14ac:dyDescent="0.3"/>
    <row r="210" ht="15" customHeight="1" x14ac:dyDescent="0.3"/>
    <row r="211" ht="15" customHeight="1" x14ac:dyDescent="0.3"/>
    <row r="212" ht="15" customHeight="1" x14ac:dyDescent="0.3"/>
    <row r="213" ht="15" customHeight="1" x14ac:dyDescent="0.3"/>
    <row r="214" ht="15" customHeight="1" x14ac:dyDescent="0.3"/>
    <row r="215" ht="15" customHeight="1" x14ac:dyDescent="0.3"/>
    <row r="216" ht="15" customHeight="1" x14ac:dyDescent="0.3"/>
    <row r="217" ht="15" customHeight="1" x14ac:dyDescent="0.3"/>
    <row r="218" ht="15" customHeight="1" x14ac:dyDescent="0.3"/>
    <row r="219" ht="15" customHeight="1" x14ac:dyDescent="0.3"/>
    <row r="220" ht="15" customHeight="1" x14ac:dyDescent="0.3"/>
    <row r="221" ht="15" customHeight="1" x14ac:dyDescent="0.3"/>
    <row r="222" ht="15" customHeight="1" x14ac:dyDescent="0.3"/>
    <row r="223" ht="15" customHeight="1" x14ac:dyDescent="0.3"/>
    <row r="224" ht="15" customHeight="1" x14ac:dyDescent="0.3"/>
    <row r="225" ht="15" customHeight="1" x14ac:dyDescent="0.3"/>
    <row r="226" ht="15" customHeight="1" x14ac:dyDescent="0.3"/>
    <row r="227" ht="15" customHeight="1" x14ac:dyDescent="0.3"/>
    <row r="228" ht="15" customHeight="1" x14ac:dyDescent="0.3"/>
    <row r="229" ht="15" customHeight="1" x14ac:dyDescent="0.3"/>
    <row r="230" ht="15" customHeight="1" x14ac:dyDescent="0.3"/>
    <row r="231" ht="15" customHeight="1" x14ac:dyDescent="0.3"/>
    <row r="232" ht="15" customHeight="1" x14ac:dyDescent="0.3"/>
    <row r="233" ht="15" customHeight="1" x14ac:dyDescent="0.3"/>
    <row r="234" ht="15" customHeight="1" x14ac:dyDescent="0.3"/>
    <row r="235" ht="15" customHeight="1" x14ac:dyDescent="0.3"/>
    <row r="236" ht="15" customHeight="1" x14ac:dyDescent="0.3"/>
    <row r="237" ht="15" customHeight="1" x14ac:dyDescent="0.3"/>
    <row r="238" ht="15" customHeight="1" x14ac:dyDescent="0.3"/>
    <row r="239" ht="15" customHeight="1" x14ac:dyDescent="0.3"/>
    <row r="240" ht="15" customHeight="1" x14ac:dyDescent="0.3"/>
    <row r="241" ht="15" customHeight="1" x14ac:dyDescent="0.3"/>
    <row r="242" ht="15" customHeight="1" x14ac:dyDescent="0.3"/>
    <row r="243" ht="15" customHeight="1" x14ac:dyDescent="0.3"/>
    <row r="244" ht="15" customHeight="1" x14ac:dyDescent="0.3"/>
    <row r="245" ht="15" customHeight="1" x14ac:dyDescent="0.3"/>
    <row r="246" ht="15" customHeight="1" x14ac:dyDescent="0.3"/>
    <row r="247" ht="15" customHeight="1" x14ac:dyDescent="0.3"/>
    <row r="248" ht="15" customHeight="1" x14ac:dyDescent="0.3"/>
    <row r="249" ht="15" customHeight="1" x14ac:dyDescent="0.3"/>
    <row r="250" ht="15" customHeight="1" x14ac:dyDescent="0.3"/>
    <row r="251" ht="15" customHeight="1" x14ac:dyDescent="0.3"/>
    <row r="252" ht="15" customHeight="1" x14ac:dyDescent="0.3"/>
    <row r="253" ht="15" customHeight="1" x14ac:dyDescent="0.3"/>
    <row r="254" ht="15" customHeight="1" x14ac:dyDescent="0.3"/>
    <row r="255" ht="15" customHeight="1" x14ac:dyDescent="0.3"/>
    <row r="256" ht="15" customHeight="1" x14ac:dyDescent="0.3"/>
    <row r="257" ht="15" customHeight="1" x14ac:dyDescent="0.3"/>
    <row r="258" ht="15" customHeight="1" x14ac:dyDescent="0.3"/>
    <row r="259" ht="15" customHeight="1" x14ac:dyDescent="0.3"/>
    <row r="260" ht="15" customHeight="1" x14ac:dyDescent="0.3"/>
    <row r="261" ht="15" customHeight="1" x14ac:dyDescent="0.3"/>
    <row r="262" ht="15" customHeight="1" x14ac:dyDescent="0.3"/>
    <row r="263" ht="15" customHeight="1" x14ac:dyDescent="0.3"/>
    <row r="264" ht="15" customHeight="1" x14ac:dyDescent="0.3"/>
    <row r="265" ht="15" customHeight="1" x14ac:dyDescent="0.3"/>
    <row r="266" ht="15" customHeight="1" x14ac:dyDescent="0.3"/>
    <row r="267" ht="15" customHeight="1" x14ac:dyDescent="0.3"/>
    <row r="268" ht="15" customHeight="1" x14ac:dyDescent="0.3"/>
    <row r="269" ht="15" customHeight="1" x14ac:dyDescent="0.3"/>
    <row r="270" ht="15" customHeight="1" x14ac:dyDescent="0.3"/>
    <row r="271" ht="15" customHeight="1" x14ac:dyDescent="0.3"/>
    <row r="272" ht="15" customHeight="1" x14ac:dyDescent="0.3"/>
    <row r="273" ht="15" customHeight="1" x14ac:dyDescent="0.3"/>
    <row r="274" ht="15" customHeight="1" x14ac:dyDescent="0.3"/>
    <row r="275" ht="15" customHeight="1" x14ac:dyDescent="0.3"/>
    <row r="276" ht="15" customHeight="1" x14ac:dyDescent="0.3"/>
    <row r="277" ht="15" customHeight="1" x14ac:dyDescent="0.3"/>
    <row r="278" ht="15" customHeight="1" x14ac:dyDescent="0.3"/>
    <row r="279" ht="15" customHeight="1" x14ac:dyDescent="0.3"/>
    <row r="280" ht="15" customHeight="1" x14ac:dyDescent="0.3"/>
    <row r="281" ht="15" customHeight="1" x14ac:dyDescent="0.3"/>
    <row r="282" ht="15" customHeight="1" x14ac:dyDescent="0.3"/>
    <row r="283" ht="15" customHeight="1" x14ac:dyDescent="0.3"/>
    <row r="284" ht="15" customHeight="1" x14ac:dyDescent="0.3"/>
    <row r="285" ht="15" customHeight="1" x14ac:dyDescent="0.3"/>
    <row r="286" ht="15" customHeight="1" x14ac:dyDescent="0.3"/>
    <row r="287" ht="15" customHeight="1" x14ac:dyDescent="0.3"/>
    <row r="288" ht="15" customHeight="1" x14ac:dyDescent="0.3"/>
    <row r="289" ht="15" customHeight="1" x14ac:dyDescent="0.3"/>
    <row r="290" ht="15" customHeight="1" x14ac:dyDescent="0.3"/>
    <row r="291" ht="15" customHeight="1" x14ac:dyDescent="0.3"/>
    <row r="292" ht="15" customHeight="1" x14ac:dyDescent="0.3"/>
    <row r="293" ht="15" customHeight="1" x14ac:dyDescent="0.3"/>
    <row r="294" ht="15" customHeight="1" x14ac:dyDescent="0.3"/>
    <row r="295" ht="15" customHeight="1" x14ac:dyDescent="0.3"/>
    <row r="296" ht="15" customHeight="1" x14ac:dyDescent="0.3"/>
    <row r="297" ht="15" customHeight="1" x14ac:dyDescent="0.3"/>
    <row r="298" ht="15" customHeight="1" x14ac:dyDescent="0.3"/>
    <row r="299" ht="15" customHeight="1" x14ac:dyDescent="0.3"/>
    <row r="300" ht="15" customHeight="1" x14ac:dyDescent="0.3"/>
    <row r="301" ht="15" customHeight="1" x14ac:dyDescent="0.3"/>
    <row r="302" ht="15" customHeight="1" x14ac:dyDescent="0.3"/>
    <row r="303" ht="15" customHeight="1" x14ac:dyDescent="0.3"/>
    <row r="304" ht="15" customHeight="1" x14ac:dyDescent="0.3"/>
    <row r="305" ht="15" customHeight="1" x14ac:dyDescent="0.3"/>
    <row r="306" ht="15" customHeight="1" x14ac:dyDescent="0.3"/>
    <row r="307" ht="15" customHeight="1" x14ac:dyDescent="0.3"/>
    <row r="308" ht="15" customHeight="1" x14ac:dyDescent="0.3"/>
    <row r="309" ht="15" customHeight="1" x14ac:dyDescent="0.3"/>
    <row r="310" ht="15" customHeight="1" x14ac:dyDescent="0.3"/>
    <row r="311" ht="15" customHeight="1" x14ac:dyDescent="0.3"/>
    <row r="312" ht="15" customHeight="1" x14ac:dyDescent="0.3"/>
    <row r="313" ht="15" customHeight="1" x14ac:dyDescent="0.3"/>
    <row r="314" ht="15" customHeight="1" x14ac:dyDescent="0.3"/>
    <row r="315" ht="15" customHeight="1" x14ac:dyDescent="0.3"/>
    <row r="316" ht="15" customHeight="1" x14ac:dyDescent="0.3"/>
    <row r="317" ht="15" customHeight="1" x14ac:dyDescent="0.3"/>
    <row r="318" ht="15" customHeight="1" x14ac:dyDescent="0.3"/>
    <row r="319" ht="15" customHeight="1" x14ac:dyDescent="0.3"/>
    <row r="320" ht="15" customHeight="1" x14ac:dyDescent="0.3"/>
    <row r="321" ht="15" customHeight="1" x14ac:dyDescent="0.3"/>
    <row r="322" ht="15" customHeight="1" x14ac:dyDescent="0.3"/>
    <row r="323" ht="15" customHeight="1" x14ac:dyDescent="0.3"/>
    <row r="324" ht="15" customHeight="1" x14ac:dyDescent="0.3"/>
    <row r="325" ht="15" customHeight="1" x14ac:dyDescent="0.3"/>
    <row r="326" ht="15" customHeight="1" x14ac:dyDescent="0.3"/>
    <row r="327" ht="15" customHeight="1" x14ac:dyDescent="0.3"/>
    <row r="328" ht="15" customHeight="1" x14ac:dyDescent="0.3"/>
    <row r="329" ht="15" customHeight="1" x14ac:dyDescent="0.3"/>
    <row r="330" ht="15" customHeight="1" x14ac:dyDescent="0.3"/>
    <row r="331" ht="15" customHeight="1" x14ac:dyDescent="0.3"/>
    <row r="332" ht="15" customHeight="1" x14ac:dyDescent="0.3"/>
    <row r="333" ht="15" customHeight="1" x14ac:dyDescent="0.3"/>
    <row r="334" ht="15" customHeight="1" x14ac:dyDescent="0.3"/>
    <row r="335" ht="15" customHeight="1" x14ac:dyDescent="0.3"/>
    <row r="336" ht="15" customHeight="1" x14ac:dyDescent="0.3"/>
    <row r="337" ht="15" customHeight="1" x14ac:dyDescent="0.3"/>
    <row r="338" ht="15" customHeight="1" x14ac:dyDescent="0.3"/>
    <row r="339" ht="15" customHeight="1" x14ac:dyDescent="0.3"/>
    <row r="340" ht="15" customHeight="1" x14ac:dyDescent="0.3"/>
    <row r="341" ht="15" customHeight="1" x14ac:dyDescent="0.3"/>
    <row r="342" ht="15" customHeight="1" x14ac:dyDescent="0.3"/>
    <row r="343" ht="15" customHeight="1" x14ac:dyDescent="0.3"/>
    <row r="344" ht="15" customHeight="1" x14ac:dyDescent="0.3"/>
    <row r="345" ht="15" customHeight="1" x14ac:dyDescent="0.3"/>
    <row r="346" ht="15" customHeight="1" x14ac:dyDescent="0.3"/>
    <row r="347" ht="15" customHeight="1" x14ac:dyDescent="0.3"/>
    <row r="348" ht="15" customHeight="1" x14ac:dyDescent="0.3"/>
    <row r="349" ht="15" customHeight="1" x14ac:dyDescent="0.3"/>
    <row r="350" ht="15" customHeight="1" x14ac:dyDescent="0.3"/>
    <row r="351" ht="15" customHeight="1" x14ac:dyDescent="0.3"/>
    <row r="352" ht="15" customHeight="1" x14ac:dyDescent="0.3"/>
    <row r="353" ht="15" customHeight="1" x14ac:dyDescent="0.3"/>
    <row r="354" ht="15" customHeight="1" x14ac:dyDescent="0.3"/>
    <row r="355" ht="15" customHeight="1" x14ac:dyDescent="0.3"/>
    <row r="356" ht="15" customHeight="1" x14ac:dyDescent="0.3"/>
    <row r="357" ht="15" customHeight="1" x14ac:dyDescent="0.3"/>
    <row r="358" ht="15" customHeight="1" x14ac:dyDescent="0.3"/>
    <row r="359" ht="15" customHeight="1" x14ac:dyDescent="0.3"/>
    <row r="360" ht="15" customHeight="1" x14ac:dyDescent="0.3"/>
    <row r="361" ht="15" customHeight="1" x14ac:dyDescent="0.3"/>
    <row r="362" ht="15" customHeight="1" x14ac:dyDescent="0.3"/>
    <row r="363" ht="15" customHeight="1" x14ac:dyDescent="0.3"/>
    <row r="364" ht="15" customHeight="1" x14ac:dyDescent="0.3"/>
    <row r="365" ht="15" customHeight="1" x14ac:dyDescent="0.3"/>
    <row r="366" ht="15" customHeight="1" x14ac:dyDescent="0.3"/>
    <row r="367" ht="15" customHeight="1" x14ac:dyDescent="0.3"/>
    <row r="368" ht="15" customHeight="1" x14ac:dyDescent="0.3"/>
    <row r="369" ht="15" customHeight="1" x14ac:dyDescent="0.3"/>
    <row r="370" ht="15" customHeight="1" x14ac:dyDescent="0.3"/>
    <row r="371" ht="15" customHeight="1" x14ac:dyDescent="0.3"/>
    <row r="372" ht="15" customHeight="1" x14ac:dyDescent="0.3"/>
    <row r="373" ht="15" customHeight="1" x14ac:dyDescent="0.3"/>
    <row r="374" ht="15" customHeight="1" x14ac:dyDescent="0.3"/>
    <row r="375" ht="15" customHeight="1" x14ac:dyDescent="0.3"/>
    <row r="376" ht="15" customHeight="1" x14ac:dyDescent="0.3"/>
    <row r="377" ht="15" customHeight="1" x14ac:dyDescent="0.3"/>
    <row r="378" ht="15" customHeight="1" x14ac:dyDescent="0.3"/>
    <row r="379" ht="15" customHeight="1" x14ac:dyDescent="0.3"/>
    <row r="380" ht="15" customHeight="1" x14ac:dyDescent="0.3"/>
    <row r="381" ht="15" customHeight="1" x14ac:dyDescent="0.3"/>
    <row r="382" ht="15" customHeight="1" x14ac:dyDescent="0.3"/>
    <row r="383" ht="15" customHeight="1" x14ac:dyDescent="0.3"/>
    <row r="384" ht="15" customHeight="1" x14ac:dyDescent="0.3"/>
    <row r="385" ht="15" customHeight="1" x14ac:dyDescent="0.3"/>
    <row r="386" ht="15" customHeight="1" x14ac:dyDescent="0.3"/>
    <row r="387" ht="15" customHeight="1" x14ac:dyDescent="0.3"/>
    <row r="388" ht="15" customHeight="1" x14ac:dyDescent="0.3"/>
    <row r="389" ht="15" customHeight="1" x14ac:dyDescent="0.3"/>
    <row r="390" ht="15" customHeight="1" x14ac:dyDescent="0.3"/>
    <row r="391" ht="15" customHeight="1" x14ac:dyDescent="0.3"/>
    <row r="392" ht="15" customHeight="1" x14ac:dyDescent="0.3"/>
    <row r="393" ht="15" customHeight="1" x14ac:dyDescent="0.3"/>
    <row r="394" ht="15" customHeight="1" x14ac:dyDescent="0.3"/>
    <row r="395" ht="15" customHeight="1" x14ac:dyDescent="0.3"/>
    <row r="396" ht="15" customHeight="1" x14ac:dyDescent="0.3"/>
    <row r="397" ht="15" customHeight="1" x14ac:dyDescent="0.3"/>
    <row r="398" ht="15" customHeight="1" x14ac:dyDescent="0.3"/>
    <row r="399" ht="15" customHeight="1" x14ac:dyDescent="0.3"/>
    <row r="400" ht="15" customHeight="1" x14ac:dyDescent="0.3"/>
    <row r="401" ht="15" customHeight="1" x14ac:dyDescent="0.3"/>
    <row r="402" ht="15" customHeight="1" x14ac:dyDescent="0.3"/>
    <row r="403" ht="15" customHeight="1" x14ac:dyDescent="0.3"/>
    <row r="404" ht="15" customHeight="1" x14ac:dyDescent="0.3"/>
    <row r="405" ht="15" customHeight="1" x14ac:dyDescent="0.3"/>
    <row r="406" ht="15" customHeight="1" x14ac:dyDescent="0.3"/>
    <row r="407" ht="15" customHeight="1" x14ac:dyDescent="0.3"/>
    <row r="408" ht="15" customHeight="1" x14ac:dyDescent="0.3"/>
    <row r="409" ht="15" customHeight="1" x14ac:dyDescent="0.3"/>
    <row r="410" ht="15" customHeight="1" x14ac:dyDescent="0.3"/>
    <row r="411" ht="15" customHeight="1" x14ac:dyDescent="0.3"/>
    <row r="412" ht="15" customHeight="1" x14ac:dyDescent="0.3"/>
    <row r="413" ht="15" customHeight="1" x14ac:dyDescent="0.3"/>
    <row r="414" ht="15" customHeight="1" x14ac:dyDescent="0.3"/>
    <row r="415" ht="15" customHeight="1" x14ac:dyDescent="0.3"/>
    <row r="416" ht="15" customHeight="1" x14ac:dyDescent="0.3"/>
    <row r="417" ht="15" customHeight="1" x14ac:dyDescent="0.3"/>
    <row r="418" ht="15" customHeight="1" x14ac:dyDescent="0.3"/>
    <row r="419" ht="15" customHeight="1" x14ac:dyDescent="0.3"/>
    <row r="420" ht="15" customHeight="1" x14ac:dyDescent="0.3"/>
    <row r="421" ht="15" customHeight="1" x14ac:dyDescent="0.3"/>
    <row r="422" ht="15" customHeight="1" x14ac:dyDescent="0.3"/>
    <row r="423" ht="15" customHeight="1" x14ac:dyDescent="0.3"/>
    <row r="424" ht="15" customHeight="1" x14ac:dyDescent="0.3"/>
    <row r="425" ht="15" customHeight="1" x14ac:dyDescent="0.3"/>
    <row r="426" ht="15" customHeight="1" x14ac:dyDescent="0.3"/>
    <row r="427" ht="15" customHeight="1" x14ac:dyDescent="0.3"/>
    <row r="428" ht="15" customHeight="1" x14ac:dyDescent="0.3"/>
    <row r="429" ht="15" customHeight="1" x14ac:dyDescent="0.3"/>
  </sheetData>
  <mergeCells count="5">
    <mergeCell ref="B1:K1"/>
    <mergeCell ref="M1:M2"/>
    <mergeCell ref="N1:N2"/>
    <mergeCell ref="C5:C6"/>
    <mergeCell ref="D5:D6"/>
  </mergeCells>
  <printOptions horizontalCentered="1"/>
  <pageMargins left="0.78740157480314965" right="0.39370078740157483" top="0.86614173228346458" bottom="0.86614173228346458" header="0.31496062992125984" footer="0.31496062992125984"/>
  <pageSetup paperSize="9" scale="70" pageOrder="overThenDown" orientation="portrait" horizontalDpi="360" verticalDpi="360" r:id="rId1"/>
  <headerFooter scaleWithDoc="0">
    <oddHeader xml:space="preserve">&amp;R&amp;"Arial Narrow,Negrita"&amp;9Ing. Aquiles Berrocal Rodríguez
&amp;"Arial Narrow,Normal"Ing. Civil – CIP: 196696
Especialista Hidrología, Hidráulica y Drenaje </oddHeader>
    <oddFooter>&amp;L&amp;"Arial Narrow,Normal"&amp;9Rev.:B - Agosto 2018
Proyecto: Actualización Hidrológica para el Estudio de Pre-Factibilidad de
la Presa de Relaves Pukaqaqa, U.M. Pukaqaqa, Milpo - Huancavelica&amp;R&amp;"Arial Narrow,Negrita"&amp;9ANEXO A: HIDROLOGIA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29</vt:i4>
      </vt:variant>
    </vt:vector>
  </HeadingPairs>
  <TitlesOfParts>
    <vt:vector size="44" baseType="lpstr">
      <vt:lpstr>ACV</vt:lpstr>
      <vt:lpstr>P24h_real</vt:lpstr>
      <vt:lpstr>Años</vt:lpstr>
      <vt:lpstr>SK_1</vt:lpstr>
      <vt:lpstr>Resumen SK_1</vt:lpstr>
      <vt:lpstr>P24h_1</vt:lpstr>
      <vt:lpstr>IDF_1</vt:lpstr>
      <vt:lpstr>Pefect_1</vt:lpstr>
      <vt:lpstr>HUS_1</vt:lpstr>
      <vt:lpstr>CN</vt:lpstr>
      <vt:lpstr>Cuadros</vt:lpstr>
      <vt:lpstr>Tr</vt:lpstr>
      <vt:lpstr>Creager</vt:lpstr>
      <vt:lpstr>Qracional</vt:lpstr>
      <vt:lpstr>PMP</vt:lpstr>
      <vt:lpstr>ACV!Área_de_impresión</vt:lpstr>
      <vt:lpstr>Años!Área_de_impresión</vt:lpstr>
      <vt:lpstr>CN!Área_de_impresión</vt:lpstr>
      <vt:lpstr>Creager!Área_de_impresión</vt:lpstr>
      <vt:lpstr>Cuadros!Área_de_impresión</vt:lpstr>
      <vt:lpstr>HUS_1!Área_de_impresión</vt:lpstr>
      <vt:lpstr>IDF_1!Área_de_impresión</vt:lpstr>
      <vt:lpstr>P24h_1!Área_de_impresión</vt:lpstr>
      <vt:lpstr>P24h_real!Área_de_impresión</vt:lpstr>
      <vt:lpstr>Pefect_1!Área_de_impresión</vt:lpstr>
      <vt:lpstr>PMP!Área_de_impresión</vt:lpstr>
      <vt:lpstr>Qracional!Área_de_impresión</vt:lpstr>
      <vt:lpstr>SK_1!Área_de_impresión</vt:lpstr>
      <vt:lpstr>Tr!Área_de_impresión</vt:lpstr>
      <vt:lpstr>Datos1</vt:lpstr>
      <vt:lpstr>Matriz1</vt:lpstr>
      <vt:lpstr>Matriz2</vt:lpstr>
      <vt:lpstr>Matriz3</vt:lpstr>
      <vt:lpstr>Matriz4</vt:lpstr>
      <vt:lpstr>Matriz5</vt:lpstr>
      <vt:lpstr>MatrizA1</vt:lpstr>
      <vt:lpstr>MatrizA2</vt:lpstr>
      <vt:lpstr>MatrizA3</vt:lpstr>
      <vt:lpstr>MatrizA4</vt:lpstr>
      <vt:lpstr>MatrizA5</vt:lpstr>
      <vt:lpstr>OrdenAjuste_1</vt:lpstr>
      <vt:lpstr>Pmax24h_1</vt:lpstr>
      <vt:lpstr>Seleccion_Estacion1</vt:lpstr>
      <vt:lpstr>Zona_1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Aquiles Berrocal</dc:creator>
  <cp:lastModifiedBy>Joseph Rubén Huanay Pérez</cp:lastModifiedBy>
  <cp:lastPrinted>2024-10-25T20:12:36Z</cp:lastPrinted>
  <dcterms:created xsi:type="dcterms:W3CDTF">2012-10-05T19:56:36Z</dcterms:created>
  <dcterms:modified xsi:type="dcterms:W3CDTF">2026-03-29T02:10:18Z</dcterms:modified>
</cp:coreProperties>
</file>