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PI Calls" sheetId="2" r:id="rId5"/>
    <sheet state="visible" name="Main Sheet" sheetId="3" r:id="rId6"/>
    <sheet state="visible" name="Text Tible Viz" sheetId="4" r:id="rId7"/>
    <sheet state="visible" name="S&amp;P ETF Related Price History" sheetId="5" r:id="rId8"/>
    <sheet state="visible" name="Sheet3" sheetId="6" r:id="rId9"/>
    <sheet state="visible" name="Sheet8" sheetId="7" r:id="rId10"/>
    <sheet state="visible" name="Sheet4" sheetId="8" r:id="rId11"/>
  </sheets>
  <definedNames>
    <definedName hidden="1" localSheetId="5" name="_xlnm._FilterDatabase">Sheet3!$A$1:$A$2997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Look at Extensions &gt; Apps Script
	-William Cull</t>
      </text>
    </comment>
  </commentList>
</comments>
</file>

<file path=xl/sharedStrings.xml><?xml version="1.0" encoding="utf-8"?>
<sst xmlns="http://schemas.openxmlformats.org/spreadsheetml/2006/main" count="5029" uniqueCount="2043">
  <si>
    <t>DATE 1</t>
  </si>
  <si>
    <t>LMAT</t>
  </si>
  <si>
    <t xml:space="preserve">ACIW </t>
  </si>
  <si>
    <t xml:space="preserve">ADSK </t>
  </si>
  <si>
    <t xml:space="preserve">AMWD </t>
  </si>
  <si>
    <t>ANSS</t>
  </si>
  <si>
    <t xml:space="preserve">CRI </t>
  </si>
  <si>
    <t xml:space="preserve">ECPG </t>
  </si>
  <si>
    <t xml:space="preserve">GPS </t>
  </si>
  <si>
    <t>IRDM</t>
  </si>
  <si>
    <t>JCP</t>
  </si>
  <si>
    <t xml:space="preserve">LYV </t>
  </si>
  <si>
    <t xml:space="preserve">ORN </t>
  </si>
  <si>
    <t>NWN</t>
  </si>
  <si>
    <t xml:space="preserve">RDC </t>
  </si>
  <si>
    <t xml:space="preserve">SJI </t>
  </si>
  <si>
    <t>BID</t>
  </si>
  <si>
    <t>MDR</t>
  </si>
  <si>
    <t>TG</t>
  </si>
  <si>
    <t xml:space="preserve">AZO </t>
  </si>
  <si>
    <t>NX</t>
  </si>
  <si>
    <t>AMED</t>
  </si>
  <si>
    <t>ANF</t>
  </si>
  <si>
    <t>ESL</t>
  </si>
  <si>
    <t>FL</t>
  </si>
  <si>
    <t xml:space="preserve">KOPN </t>
  </si>
  <si>
    <t xml:space="preserve">RAVN </t>
  </si>
  <si>
    <t xml:space="preserve">PLCE </t>
  </si>
  <si>
    <t xml:space="preserve">ULTA </t>
  </si>
  <si>
    <t xml:space="preserve">BKE </t>
  </si>
  <si>
    <t xml:space="preserve">RGEN </t>
  </si>
  <si>
    <t xml:space="preserve">DSW </t>
  </si>
  <si>
    <t>FDS</t>
  </si>
  <si>
    <t>GIII</t>
  </si>
  <si>
    <t>PAYX</t>
  </si>
  <si>
    <t xml:space="preserve">REX </t>
  </si>
  <si>
    <t xml:space="preserve">SCHL </t>
  </si>
  <si>
    <t xml:space="preserve">CCL </t>
  </si>
  <si>
    <t>MOV</t>
  </si>
  <si>
    <t xml:space="preserve">MU </t>
  </si>
  <si>
    <t xml:space="preserve">PERY </t>
  </si>
  <si>
    <t xml:space="preserve">WFC </t>
  </si>
  <si>
    <t xml:space="preserve">WSO </t>
  </si>
  <si>
    <t xml:space="preserve">CBU </t>
  </si>
  <si>
    <t>LII</t>
  </si>
  <si>
    <t>LRCX</t>
  </si>
  <si>
    <t xml:space="preserve">RMBS </t>
  </si>
  <si>
    <t xml:space="preserve">SANM </t>
  </si>
  <si>
    <t xml:space="preserve">ABG </t>
  </si>
  <si>
    <t>AMGN</t>
  </si>
  <si>
    <t xml:space="preserve">BMI </t>
  </si>
  <si>
    <t xml:space="preserve">CMG </t>
  </si>
  <si>
    <t>IBKR</t>
  </si>
  <si>
    <t>KMB</t>
  </si>
  <si>
    <t>NTRS</t>
  </si>
  <si>
    <t>OMC</t>
  </si>
  <si>
    <t xml:space="preserve">RF </t>
  </si>
  <si>
    <t xml:space="preserve">SBNY </t>
  </si>
  <si>
    <t>STBA</t>
  </si>
  <si>
    <t xml:space="preserve">SYK </t>
  </si>
  <si>
    <t xml:space="preserve">AN </t>
  </si>
  <si>
    <t>AZZ</t>
  </si>
  <si>
    <t>BA</t>
  </si>
  <si>
    <t>CATY</t>
  </si>
  <si>
    <t>CLW</t>
  </si>
  <si>
    <t>EXPO</t>
  </si>
  <si>
    <t>LAD</t>
  </si>
  <si>
    <t>MPWR</t>
  </si>
  <si>
    <t>PCH</t>
  </si>
  <si>
    <t xml:space="preserve">R </t>
  </si>
  <si>
    <t>SEIC</t>
  </si>
  <si>
    <t>SNBR</t>
  </si>
  <si>
    <t xml:space="preserve">TMO </t>
  </si>
  <si>
    <t xml:space="preserve">TUP </t>
  </si>
  <si>
    <t>XLNX</t>
  </si>
  <si>
    <t>ATGE</t>
  </si>
  <si>
    <t>AVT</t>
  </si>
  <si>
    <t>BBT</t>
  </si>
  <si>
    <t>CMS</t>
  </si>
  <si>
    <t>COL</t>
  </si>
  <si>
    <t>DAN</t>
  </si>
  <si>
    <t>EFII</t>
  </si>
  <si>
    <t>FAF</t>
  </si>
  <si>
    <t>GHL</t>
  </si>
  <si>
    <t>HAFC</t>
  </si>
  <si>
    <t>HSY</t>
  </si>
  <si>
    <t xml:space="preserve">HZO </t>
  </si>
  <si>
    <t>JNPR</t>
  </si>
  <si>
    <t>LSTR</t>
  </si>
  <si>
    <t>MDP</t>
  </si>
  <si>
    <t>MSFT</t>
  </si>
  <si>
    <t>MTH</t>
  </si>
  <si>
    <t>NTGR</t>
  </si>
  <si>
    <t>NUE</t>
  </si>
  <si>
    <t>PII</t>
  </si>
  <si>
    <t>POOL</t>
  </si>
  <si>
    <t xml:space="preserve">PTEN </t>
  </si>
  <si>
    <t>RMD</t>
  </si>
  <si>
    <t>SFNC</t>
  </si>
  <si>
    <t>SRNC</t>
  </si>
  <si>
    <t>SRCL</t>
  </si>
  <si>
    <t>TBI</t>
  </si>
  <si>
    <t>UAL</t>
  </si>
  <si>
    <t>UFI</t>
  </si>
  <si>
    <t>PFS</t>
  </si>
  <si>
    <t>SPG</t>
  </si>
  <si>
    <t>XRX</t>
  </si>
  <si>
    <t>OSIS</t>
  </si>
  <si>
    <t>ROP</t>
  </si>
  <si>
    <t>WRB</t>
  </si>
  <si>
    <t>AET</t>
  </si>
  <si>
    <t>AKAM</t>
  </si>
  <si>
    <t>BGFV</t>
  </si>
  <si>
    <t>CIR</t>
  </si>
  <si>
    <t>CNC</t>
  </si>
  <si>
    <t>CRUS</t>
  </si>
  <si>
    <t>EPR</t>
  </si>
  <si>
    <t>HELE</t>
  </si>
  <si>
    <t>HLIT</t>
  </si>
  <si>
    <t>IDXX</t>
  </si>
  <si>
    <t>IIVI</t>
  </si>
  <si>
    <t>LOGM</t>
  </si>
  <si>
    <t>MAS</t>
  </si>
  <si>
    <t>MRCY</t>
  </si>
  <si>
    <t>MSTR</t>
  </si>
  <si>
    <t>NATI</t>
  </si>
  <si>
    <t>NOV</t>
  </si>
  <si>
    <t>OMI</t>
  </si>
  <si>
    <t>WDC</t>
  </si>
  <si>
    <t>WWW</t>
  </si>
  <si>
    <t>WYND</t>
  </si>
  <si>
    <t>ASGN</t>
  </si>
  <si>
    <t>BEN</t>
  </si>
  <si>
    <t>CFR</t>
  </si>
  <si>
    <t>EQIX</t>
  </si>
  <si>
    <t>GPRE</t>
  </si>
  <si>
    <t>HF</t>
  </si>
  <si>
    <t>LL</t>
  </si>
  <si>
    <t xml:space="preserve">NOC </t>
  </si>
  <si>
    <t>PKE</t>
  </si>
  <si>
    <t>PX</t>
  </si>
  <si>
    <t>ABC</t>
  </si>
  <si>
    <t>APD</t>
  </si>
  <si>
    <t>ARW</t>
  </si>
  <si>
    <t>CHSP</t>
  </si>
  <si>
    <t>COP</t>
  </si>
  <si>
    <t>CRR</t>
  </si>
  <si>
    <t>CYTK</t>
  </si>
  <si>
    <t>FSS</t>
  </si>
  <si>
    <t>GEO</t>
  </si>
  <si>
    <t>HST</t>
  </si>
  <si>
    <t>INCY</t>
  </si>
  <si>
    <t>LLL</t>
  </si>
  <si>
    <t xml:space="preserve">NI </t>
  </si>
  <si>
    <t xml:space="preserve">NTRI </t>
  </si>
  <si>
    <t>ODFL</t>
  </si>
  <si>
    <t>OIS</t>
  </si>
  <si>
    <t>PBI</t>
  </si>
  <si>
    <t>PKI</t>
  </si>
  <si>
    <t>RGS</t>
  </si>
  <si>
    <t>SKYW</t>
  </si>
  <si>
    <t>SWKS</t>
  </si>
  <si>
    <t>TFX</t>
  </si>
  <si>
    <t>WRLD</t>
  </si>
  <si>
    <t>WU</t>
  </si>
  <si>
    <t>XOM</t>
  </si>
  <si>
    <t xml:space="preserve">XYL </t>
  </si>
  <si>
    <t>AXL</t>
  </si>
  <si>
    <t>CBOE</t>
  </si>
  <si>
    <t>CTB</t>
  </si>
  <si>
    <t>FE</t>
  </si>
  <si>
    <t>GWR</t>
  </si>
  <si>
    <t>LPNT</t>
  </si>
  <si>
    <t>MCO</t>
  </si>
  <si>
    <t>NSP</t>
  </si>
  <si>
    <t>PEG</t>
  </si>
  <si>
    <t>TDS</t>
  </si>
  <si>
    <t>VFC</t>
  </si>
  <si>
    <t>CEVA</t>
  </si>
  <si>
    <t>CHUY</t>
  </si>
  <si>
    <t>CMCSA</t>
  </si>
  <si>
    <t>DO</t>
  </si>
  <si>
    <t>FN</t>
  </si>
  <si>
    <t>L</t>
  </si>
  <si>
    <t>NUVA</t>
  </si>
  <si>
    <t>TXRH</t>
  </si>
  <si>
    <t>ABMD</t>
  </si>
  <si>
    <t>ACLS</t>
  </si>
  <si>
    <t>CRAY</t>
  </si>
  <si>
    <t>CTL</t>
  </si>
  <si>
    <t>CVLT</t>
  </si>
  <si>
    <t>DIS</t>
  </si>
  <si>
    <t>ESE</t>
  </si>
  <si>
    <t>HCA</t>
  </si>
  <si>
    <t>ICUI</t>
  </si>
  <si>
    <t>K</t>
  </si>
  <si>
    <t>KLIC</t>
  </si>
  <si>
    <t>KMT</t>
  </si>
  <si>
    <t>MDC</t>
  </si>
  <si>
    <t>MDCO</t>
  </si>
  <si>
    <t>MYGN</t>
  </si>
  <si>
    <t>SMG</t>
  </si>
  <si>
    <t>ANDE</t>
  </si>
  <si>
    <t>CLH</t>
  </si>
  <si>
    <t>CRZO</t>
  </si>
  <si>
    <t>DDD</t>
  </si>
  <si>
    <t>HFC</t>
  </si>
  <si>
    <t>HSC</t>
  </si>
  <si>
    <t>LAMR</t>
  </si>
  <si>
    <t>NSIT</t>
  </si>
  <si>
    <t>RDC</t>
  </si>
  <si>
    <t>SNH</t>
  </si>
  <si>
    <t xml:space="preserve">VECO </t>
  </si>
  <si>
    <t>VSI</t>
  </si>
  <si>
    <t>WD</t>
  </si>
  <si>
    <t>ALEX</t>
  </si>
  <si>
    <t>BKNG</t>
  </si>
  <si>
    <t>CBB</t>
  </si>
  <si>
    <t>CNK</t>
  </si>
  <si>
    <t>CNSL</t>
  </si>
  <si>
    <t>CUTR</t>
  </si>
  <si>
    <t>EBS</t>
  </si>
  <si>
    <t>GDOT</t>
  </si>
  <si>
    <t>ILG</t>
  </si>
  <si>
    <t>JCOM</t>
  </si>
  <si>
    <t>MTD</t>
  </si>
  <si>
    <t>NVDA</t>
  </si>
  <si>
    <t>ROCK</t>
  </si>
  <si>
    <t>SPPI</t>
  </si>
  <si>
    <t>TAP</t>
  </si>
  <si>
    <t>CROX</t>
  </si>
  <si>
    <t>EBIX</t>
  </si>
  <si>
    <t>SSP</t>
  </si>
  <si>
    <t>TREX</t>
  </si>
  <si>
    <t>WELL</t>
  </si>
  <si>
    <t>ENDP</t>
  </si>
  <si>
    <t>GTY</t>
  </si>
  <si>
    <t>RBC</t>
  </si>
  <si>
    <t>IFF</t>
  </si>
  <si>
    <t>MCK</t>
  </si>
  <si>
    <t>JACK</t>
  </si>
  <si>
    <t>JWN</t>
  </si>
  <si>
    <t>PERY</t>
  </si>
  <si>
    <t>HD</t>
  </si>
  <si>
    <t>RRGB</t>
  </si>
  <si>
    <t>VSAT</t>
  </si>
  <si>
    <t>HPQ</t>
  </si>
  <si>
    <t>MNRO</t>
  </si>
  <si>
    <t>TTC</t>
  </si>
  <si>
    <t xml:space="preserve">BIG </t>
  </si>
  <si>
    <t>ASNA</t>
  </si>
  <si>
    <t>CBRL</t>
  </si>
  <si>
    <t>DAKT</t>
  </si>
  <si>
    <t>GES</t>
  </si>
  <si>
    <t>MDT</t>
  </si>
  <si>
    <t>COO</t>
  </si>
  <si>
    <t xml:space="preserve">LABL </t>
  </si>
  <si>
    <t>HRB</t>
  </si>
  <si>
    <t>UNFI</t>
  </si>
  <si>
    <t>KMX</t>
  </si>
  <si>
    <t>SONC</t>
  </si>
  <si>
    <t>MSM</t>
  </si>
  <si>
    <t>PNC</t>
  </si>
  <si>
    <t>FAST</t>
  </si>
  <si>
    <t>AIR</t>
  </si>
  <si>
    <t>ANGO</t>
  </si>
  <si>
    <t>AAPL</t>
  </si>
  <si>
    <t>CAKE</t>
  </si>
  <si>
    <t>WSO</t>
  </si>
  <si>
    <t>AMZN</t>
  </si>
  <si>
    <t>MMM</t>
  </si>
  <si>
    <t>ORI</t>
  </si>
  <si>
    <t>NDAQ</t>
  </si>
  <si>
    <t>Symbol</t>
  </si>
  <si>
    <t>Reportedcurrency</t>
  </si>
  <si>
    <t>Cik</t>
  </si>
  <si>
    <t>Fillingdate</t>
  </si>
  <si>
    <t>Accepteddate</t>
  </si>
  <si>
    <t>Calendaryear</t>
  </si>
  <si>
    <t>Period</t>
  </si>
  <si>
    <t>Revenue</t>
  </si>
  <si>
    <t>Costofrevenue</t>
  </si>
  <si>
    <t>Grossprofit</t>
  </si>
  <si>
    <t>Grossprofitratio</t>
  </si>
  <si>
    <t>Researchanddevelopmentexpenses</t>
  </si>
  <si>
    <t>Generalandadministrativeexpenses</t>
  </si>
  <si>
    <t>Sellingandmarketingexpenses</t>
  </si>
  <si>
    <t>Sellinggeneralandadministrativeexpenses</t>
  </si>
  <si>
    <t>Otherexpenses</t>
  </si>
  <si>
    <t>Operatingexpenses</t>
  </si>
  <si>
    <t>Costandexpenses</t>
  </si>
  <si>
    <t>Interestincome</t>
  </si>
  <si>
    <t>Interestexpense</t>
  </si>
  <si>
    <t>Depreciationandamortization</t>
  </si>
  <si>
    <t>Ebitda</t>
  </si>
  <si>
    <t>Ebitdaratio</t>
  </si>
  <si>
    <t>Operatingincome</t>
  </si>
  <si>
    <t>Operatingincomeratio</t>
  </si>
  <si>
    <t>Totalotherincomeexpensesnet</t>
  </si>
  <si>
    <t>Incomebeforetax</t>
  </si>
  <si>
    <t>Incomebeforetaxratio</t>
  </si>
  <si>
    <t>Incometaxexpense</t>
  </si>
  <si>
    <t>Netincome</t>
  </si>
  <si>
    <t>Netincomeratio</t>
  </si>
  <si>
    <t>Eps</t>
  </si>
  <si>
    <t>Epsdiluted</t>
  </si>
  <si>
    <t>Weightedaverageshsout</t>
  </si>
  <si>
    <t>Weightedaverageshsoutdil</t>
  </si>
  <si>
    <t>Link</t>
  </si>
  <si>
    <t>Finallink</t>
  </si>
  <si>
    <t>2021-09-25</t>
  </si>
  <si>
    <t>USD</t>
  </si>
  <si>
    <t>0000320193</t>
  </si>
  <si>
    <t>2021-10-29</t>
  </si>
  <si>
    <t>2021-10-28 18:04:28</t>
  </si>
  <si>
    <t>2021</t>
  </si>
  <si>
    <t>FY</t>
  </si>
  <si>
    <t>365817000000</t>
  </si>
  <si>
    <t>212981000000</t>
  </si>
  <si>
    <t>152836000000</t>
  </si>
  <si>
    <t>0.4177935962516778</t>
  </si>
  <si>
    <t>21914000000</t>
  </si>
  <si>
    <t>21973000000</t>
  </si>
  <si>
    <t>43887000000</t>
  </si>
  <si>
    <t>256868000000</t>
  </si>
  <si>
    <t>2843000000</t>
  </si>
  <si>
    <t>2645000000</t>
  </si>
  <si>
    <t>11284000000</t>
  </si>
  <si>
    <t>123136000000</t>
  </si>
  <si>
    <t>0.33660546120054563</t>
  </si>
  <si>
    <t>108949000000</t>
  </si>
  <si>
    <t>0.29782377527561593</t>
  </si>
  <si>
    <t>258000000</t>
  </si>
  <si>
    <t>109207000000</t>
  </si>
  <si>
    <t>0.2985290459437369</t>
  </si>
  <si>
    <t>14527000000</t>
  </si>
  <si>
    <t>94680000000</t>
  </si>
  <si>
    <t>0.2588179335569424</t>
  </si>
  <si>
    <t>5.67</t>
  </si>
  <si>
    <t>5.61</t>
  </si>
  <si>
    <t>16701272000</t>
  </si>
  <si>
    <t>16864919000</t>
  </si>
  <si>
    <t>https://www.sec.gov/Archives/edgar/data/320193/000032019321000105/0000320193-21-000105-index.htm</t>
  </si>
  <si>
    <t>https://www.sec.gov/Archives/edgar/data/320193/000032019321000105/aapl-20210925.htm</t>
  </si>
  <si>
    <t>2020-09-26</t>
  </si>
  <si>
    <t>2020-10-30</t>
  </si>
  <si>
    <t>2020-10-29 18:06:25</t>
  </si>
  <si>
    <t>2020</t>
  </si>
  <si>
    <t>274515000000</t>
  </si>
  <si>
    <t>169559000000</t>
  </si>
  <si>
    <t>104956000000</t>
  </si>
  <si>
    <t>0.38233247727810865</t>
  </si>
  <si>
    <t>18752000000</t>
  </si>
  <si>
    <t>19916000000</t>
  </si>
  <si>
    <t>38668000000</t>
  </si>
  <si>
    <t>208227000000</t>
  </si>
  <si>
    <t>3763000000</t>
  </si>
  <si>
    <t>2873000000</t>
  </si>
  <si>
    <t>11056000000</t>
  </si>
  <si>
    <t>81020000000</t>
  </si>
  <si>
    <t>0.2951386991603373</t>
  </si>
  <si>
    <t>66288000000</t>
  </si>
  <si>
    <t>0.24147314354406862</t>
  </si>
  <si>
    <t>803000000</t>
  </si>
  <si>
    <t>67091000000</t>
  </si>
  <si>
    <t>0.24439830246070343</t>
  </si>
  <si>
    <t>9680000000</t>
  </si>
  <si>
    <t>57411000000</t>
  </si>
  <si>
    <t>0.20913611278072236</t>
  </si>
  <si>
    <t>3.31</t>
  </si>
  <si>
    <t>3.28</t>
  </si>
  <si>
    <t>17352119000</t>
  </si>
  <si>
    <t>17528214000</t>
  </si>
  <si>
    <t>https://www.sec.gov/Archives/edgar/data/320193/000032019320000096/0000320193-20-000096-index.htm</t>
  </si>
  <si>
    <t>https://www.sec.gov/Archives/edgar/data/320193/000032019320000096/aapl-20200926.htm</t>
  </si>
  <si>
    <t>2019-09-28</t>
  </si>
  <si>
    <t>2019-10-31</t>
  </si>
  <si>
    <t>2019-10-30 18:12:36</t>
  </si>
  <si>
    <t>2019</t>
  </si>
  <si>
    <t>260174000000</t>
  </si>
  <si>
    <t>161782000000</t>
  </si>
  <si>
    <t>98392000000</t>
  </si>
  <si>
    <t>0.3781776810903472</t>
  </si>
  <si>
    <t>16217000000</t>
  </si>
  <si>
    <t>18245000000</t>
  </si>
  <si>
    <t>34462000000</t>
  </si>
  <si>
    <t>196244000000</t>
  </si>
  <si>
    <t>4961000000</t>
  </si>
  <si>
    <t>3576000000</t>
  </si>
  <si>
    <t>12547000000</t>
  </si>
  <si>
    <t>81860000000</t>
  </si>
  <si>
    <t>0.3146355900282119</t>
  </si>
  <si>
    <t>63930000000</t>
  </si>
  <si>
    <t>0.24572017188496928</t>
  </si>
  <si>
    <t>1807000000</t>
  </si>
  <si>
    <t>65737000000</t>
  </si>
  <si>
    <t>0.2526655238417367</t>
  </si>
  <si>
    <t>10481000000</t>
  </si>
  <si>
    <t>55256000000</t>
  </si>
  <si>
    <t>0.21238094505984456</t>
  </si>
  <si>
    <t>2.9925</t>
  </si>
  <si>
    <t>2.9725</t>
  </si>
  <si>
    <t>18471336000</t>
  </si>
  <si>
    <t>18595652000</t>
  </si>
  <si>
    <t>https://www.sec.gov/Archives/edgar/data/320193/000032019319000119/0000320193-19-000119-index.html</t>
  </si>
  <si>
    <t>https://www.sec.gov/Archives/edgar/data/320193/000032019319000119/a10-k20199282019.htm</t>
  </si>
  <si>
    <t>2021-12-31</t>
  </si>
  <si>
    <t>TSLA</t>
  </si>
  <si>
    <t>0001318605</t>
  </si>
  <si>
    <t>2022-02-07</t>
  </si>
  <si>
    <t>2022-02-04 20:11:27</t>
  </si>
  <si>
    <t>53823000000</t>
  </si>
  <si>
    <t>40217000000</t>
  </si>
  <si>
    <t>13606000000</t>
  </si>
  <si>
    <t>0.25279155751258753</t>
  </si>
  <si>
    <t>2593000000</t>
  </si>
  <si>
    <t>4517000000</t>
  </si>
  <si>
    <t>7110000000</t>
  </si>
  <si>
    <t>47327000000</t>
  </si>
  <si>
    <t>56000000</t>
  </si>
  <si>
    <t>371000000</t>
  </si>
  <si>
    <t>2911000000</t>
  </si>
  <si>
    <t>9500000000</t>
  </si>
  <si>
    <t>0.17650446834996192</t>
  </si>
  <si>
    <t>6523000000</t>
  </si>
  <si>
    <t>0.12119354179440016</t>
  </si>
  <si>
    <t>-180000000</t>
  </si>
  <si>
    <t>6343000000</t>
  </si>
  <si>
    <t>0.11784924660461141</t>
  </si>
  <si>
    <t>699000000</t>
  </si>
  <si>
    <t>5519000000</t>
  </si>
  <si>
    <t>0.10253980640246735</t>
  </si>
  <si>
    <t>5.75</t>
  </si>
  <si>
    <t>960000000</t>
  </si>
  <si>
    <t>https://www.sec.gov/Archives/edgar/data/1318605/000095017022000796/0000950170-22-000796-index.htm</t>
  </si>
  <si>
    <t>https://www.sec.gov/Archives/edgar/data/1318605/000095017022000796/tsla-20211231.htm</t>
  </si>
  <si>
    <t>2020-12-31</t>
  </si>
  <si>
    <t>2021-02-08</t>
  </si>
  <si>
    <t>2021-02-08 07:27:23</t>
  </si>
  <si>
    <t>31536000000</t>
  </si>
  <si>
    <t>24906000000</t>
  </si>
  <si>
    <t>6630000000</t>
  </si>
  <si>
    <t>0.2102359208523592</t>
  </si>
  <si>
    <t>1491000000</t>
  </si>
  <si>
    <t>3145000000</t>
  </si>
  <si>
    <t>4636000000</t>
  </si>
  <si>
    <t>29542000000</t>
  </si>
  <si>
    <t>30000000</t>
  </si>
  <si>
    <t>748000000</t>
  </si>
  <si>
    <t>2322000000</t>
  </si>
  <si>
    <t>4052000000</t>
  </si>
  <si>
    <t>0.1284880771182141</t>
  </si>
  <si>
    <t>1994000000</t>
  </si>
  <si>
    <t>0.06322932521562659</t>
  </si>
  <si>
    <t>-840000000</t>
  </si>
  <si>
    <t>1154000000</t>
  </si>
  <si>
    <t>0.03659309994926433</t>
  </si>
  <si>
    <t>292000000</t>
  </si>
  <si>
    <t>690000000</t>
  </si>
  <si>
    <t>0.021879756468797563</t>
  </si>
  <si>
    <t>0.74</t>
  </si>
  <si>
    <t>0.64</t>
  </si>
  <si>
    <t>https://www.sec.gov/Archives/edgar/data/1318605/000156459021004599/0001564590-21-004599-index.htm</t>
  </si>
  <si>
    <t>https://www.sec.gov/Archives/edgar/data/1318605/000156459021004599/tsla-10k_20201231.htm</t>
  </si>
  <si>
    <t>2019-12-31</t>
  </si>
  <si>
    <t>2020-02-13</t>
  </si>
  <si>
    <t>2020-02-13 07:12:18</t>
  </si>
  <si>
    <t>24578000000</t>
  </si>
  <si>
    <t>20509000000</t>
  </si>
  <si>
    <t>4069000000</t>
  </si>
  <si>
    <t>0.1655545609895028</t>
  </si>
  <si>
    <t>1343000000</t>
  </si>
  <si>
    <t>2646000000</t>
  </si>
  <si>
    <t>3989000000</t>
  </si>
  <si>
    <t>24498000000</t>
  </si>
  <si>
    <t>44000000</t>
  </si>
  <si>
    <t>685000000</t>
  </si>
  <si>
    <t>2154000000</t>
  </si>
  <si>
    <t>2087000000</t>
  </si>
  <si>
    <t>0.08491333713076735</t>
  </si>
  <si>
    <t>-69000000</t>
  </si>
  <si>
    <t>-0.002807388721620962</t>
  </si>
  <si>
    <t>-596000000</t>
  </si>
  <si>
    <t>-665000000</t>
  </si>
  <si>
    <t>-0.027056717389535356</t>
  </si>
  <si>
    <t>110000000</t>
  </si>
  <si>
    <t>-862000000</t>
  </si>
  <si>
    <t>-0.03507201562372854</t>
  </si>
  <si>
    <t>-0.984</t>
  </si>
  <si>
    <t>885000000</t>
  </si>
  <si>
    <t>https://www.sec.gov/Archives/edgar/data/1318605/000156459020004475/0001564590-20-004475-index.htm</t>
  </si>
  <si>
    <t>https://www.sec.gov/Archives/edgar/data/1318605/000156459020004475/tsla-10k_20191231.htm</t>
  </si>
  <si>
    <t>0001158895</t>
  </si>
  <si>
    <t>2022-02-28</t>
  </si>
  <si>
    <t>2022-02-28 17:11:08</t>
  </si>
  <si>
    <t>154424000</t>
  </si>
  <si>
    <t>53042000</t>
  </si>
  <si>
    <t>101382000</t>
  </si>
  <si>
    <t>0.6565171216909289</t>
  </si>
  <si>
    <t>11801000</t>
  </si>
  <si>
    <t>25501000</t>
  </si>
  <si>
    <t>27655000</t>
  </si>
  <si>
    <t>53156000</t>
  </si>
  <si>
    <t>64957000</t>
  </si>
  <si>
    <t>117999000</t>
  </si>
  <si>
    <t>197000</t>
  </si>
  <si>
    <t>2219000</t>
  </si>
  <si>
    <t>11070000</t>
  </si>
  <si>
    <t>47576000</t>
  </si>
  <si>
    <t>0.30808682588198727</t>
  </si>
  <si>
    <t>36425000</t>
  </si>
  <si>
    <t>0.23587654768688804</t>
  </si>
  <si>
    <t>-2138000</t>
  </si>
  <si>
    <t>34287000</t>
  </si>
  <si>
    <t>0.2220315495000777</t>
  </si>
  <si>
    <t>7380000</t>
  </si>
  <si>
    <t>26907000</t>
  </si>
  <si>
    <t>0.17424105061389422</t>
  </si>
  <si>
    <t>1.27</t>
  </si>
  <si>
    <t>1.25</t>
  </si>
  <si>
    <t>21157000</t>
  </si>
  <si>
    <t>21475000</t>
  </si>
  <si>
    <t>https://www.sec.gov/Archives/edgar/data/1158895/000143774922004662/0001437749-22-004662-index.htm</t>
  </si>
  <si>
    <t>https://www.sec.gov/Archives/edgar/data/1158895/000143774922004662/lmat20211231_10k.htm</t>
  </si>
  <si>
    <t>2021-03-12</t>
  </si>
  <si>
    <t>2021-03-12 17:18:37</t>
  </si>
  <si>
    <t>129366000</t>
  </si>
  <si>
    <t>44748000</t>
  </si>
  <si>
    <t>84618000</t>
  </si>
  <si>
    <t>0.6540976763600946</t>
  </si>
  <si>
    <t>10099000</t>
  </si>
  <si>
    <t>22501000</t>
  </si>
  <si>
    <t>23700000</t>
  </si>
  <si>
    <t>46201000</t>
  </si>
  <si>
    <t>56300000</t>
  </si>
  <si>
    <t>101048000</t>
  </si>
  <si>
    <t>207000</t>
  </si>
  <si>
    <t>1310000</t>
  </si>
  <si>
    <t>8395000</t>
  </si>
  <si>
    <t>37061000</t>
  </si>
  <si>
    <t>0.28648176491504723</t>
  </si>
  <si>
    <t>28788000</t>
  </si>
  <si>
    <t>0.22253142247576643</t>
  </si>
  <si>
    <t>-1432000</t>
  </si>
  <si>
    <t>27356000</t>
  </si>
  <si>
    <t>0.2114620533988838</t>
  </si>
  <si>
    <t>6136000</t>
  </si>
  <si>
    <t>21220000</t>
  </si>
  <si>
    <t>0.1640307345052023</t>
  </si>
  <si>
    <t>1.05</t>
  </si>
  <si>
    <t>1.04</t>
  </si>
  <si>
    <t>20246000</t>
  </si>
  <si>
    <t>20479000</t>
  </si>
  <si>
    <t>https://www.sec.gov/Archives/edgar/data/1158895/000143774921005956/0001437749-21-005956-index.htm</t>
  </si>
  <si>
    <t>https://www.sec.gov/Archives/edgar/data/1158895/000143774921005956/lmat20201231_10k.htm</t>
  </si>
  <si>
    <t>2020-03-12</t>
  </si>
  <si>
    <t>2020-03-11 19:30:51</t>
  </si>
  <si>
    <t>117232000</t>
  </si>
  <si>
    <t>37379000</t>
  </si>
  <si>
    <t>79853000</t>
  </si>
  <si>
    <t>0.6811536099358537</t>
  </si>
  <si>
    <t>9276000</t>
  </si>
  <si>
    <t>19055000</t>
  </si>
  <si>
    <t>30339000</t>
  </si>
  <si>
    <t>49394000</t>
  </si>
  <si>
    <t>58670000</t>
  </si>
  <si>
    <t>96049000</t>
  </si>
  <si>
    <t>698000</t>
  </si>
  <si>
    <t>5416000</t>
  </si>
  <si>
    <t>27095000</t>
  </si>
  <si>
    <t>0.23112290159683363</t>
  </si>
  <si>
    <t>21183000</t>
  </si>
  <si>
    <t>0.18069298485055274</t>
  </si>
  <si>
    <t>496000</t>
  </si>
  <si>
    <t>21679000</t>
  </si>
  <si>
    <t>0.1849239115599836</t>
  </si>
  <si>
    <t>3745000</t>
  </si>
  <si>
    <t>17934000</t>
  </si>
  <si>
    <t>0.15297870888494608</t>
  </si>
  <si>
    <t>0.91</t>
  </si>
  <si>
    <t>0.88</t>
  </si>
  <si>
    <t>19813000</t>
  </si>
  <si>
    <t>20326000</t>
  </si>
  <si>
    <t>https://www.sec.gov/Archives/edgar/data/1158895/000143774920004836/0001437749-20-004836-index.htm</t>
  </si>
  <si>
    <t>https://www.sec.gov/Archives/edgar/data/1158895/000143774920004836/lmat20191231_10k.htm</t>
  </si>
  <si>
    <t>Quarter</t>
  </si>
  <si>
    <t>Year</t>
  </si>
  <si>
    <t>Date</t>
  </si>
  <si>
    <t>Content</t>
  </si>
  <si>
    <t>1</t>
  </si>
  <si>
    <t>2015</t>
  </si>
  <si>
    <t>2015-04-29 17:00:00</t>
  </si>
  <si>
    <t xml:space="preserve">Operator: Welcome to the LeMaitre Vascular Q1 2015 Financial Results Conference Call. As a reminder, today's call is being recorded. At this time, I’d like to turn the call over to Mr. JJ Pellegrino, Chief Financial Officer of LeMaitre Vascular. Please go </t>
  </si>
  <si>
    <t>https://financialmodelingprep.com/api/v3/earning_call_transcript/AAPL?quarter=3&amp;year=2020&amp;apikey=ec9d29f143d5a1cf9ee6c5a2232736f9</t>
  </si>
  <si>
    <t>Quarter &amp; Year</t>
  </si>
  <si>
    <t>Trading Volume 7 Day Average Prior to Call Date</t>
  </si>
  <si>
    <t xml:space="preserve">Gross Margin </t>
  </si>
  <si>
    <t>Revenue (E8)</t>
  </si>
  <si>
    <t>Release Date</t>
  </si>
  <si>
    <t xml:space="preserve">Stock Price on Release Date </t>
  </si>
  <si>
    <t>Call Date</t>
  </si>
  <si>
    <t>Stock Price on Call Date</t>
  </si>
  <si>
    <t>Stock Price Delta Between Dates</t>
  </si>
  <si>
    <t>EPS Basic &amp; Diluted</t>
  </si>
  <si>
    <t>Revenue Delta</t>
  </si>
  <si>
    <t>Gross Margin Delta</t>
  </si>
  <si>
    <t>Trading Volume Delta</t>
  </si>
  <si>
    <t>Beta Value at Call Date</t>
  </si>
  <si>
    <t>Rating Score (avg. - ROE, DCF, ROA)</t>
  </si>
  <si>
    <t>Market Cap</t>
  </si>
  <si>
    <t>Common Shares Outstanding at Call Date</t>
  </si>
  <si>
    <t>V10</t>
  </si>
  <si>
    <t>VX</t>
  </si>
  <si>
    <t>2015 Q1</t>
  </si>
  <si>
    <t xml:space="preserve">TSLA </t>
  </si>
  <si>
    <t>~</t>
  </si>
  <si>
    <t>sentiment</t>
  </si>
  <si>
    <t>past and future representativeness</t>
  </si>
  <si>
    <t>2015 Q2</t>
  </si>
  <si>
    <t>2015 Q3</t>
  </si>
  <si>
    <t>2015 Q4</t>
  </si>
  <si>
    <t>2016 Q1</t>
  </si>
  <si>
    <t>2016 Q2</t>
  </si>
  <si>
    <t>2016 Q3</t>
  </si>
  <si>
    <t xml:space="preserve">2016 Q4 </t>
  </si>
  <si>
    <t xml:space="preserve">2017 Q1 </t>
  </si>
  <si>
    <t xml:space="preserve">2017 Q2 </t>
  </si>
  <si>
    <t>2017 Q3</t>
  </si>
  <si>
    <t>2017 Q4</t>
  </si>
  <si>
    <t>2016 Q4</t>
  </si>
  <si>
    <t>2017 Q1</t>
  </si>
  <si>
    <t>2017 Q2</t>
  </si>
  <si>
    <t>text</t>
  </si>
  <si>
    <t xml:space="preserve">CAKE </t>
  </si>
  <si>
    <t>Max Change (8/24/2015)</t>
  </si>
  <si>
    <t>SPY</t>
  </si>
  <si>
    <t>%</t>
  </si>
  <si>
    <t>abs</t>
  </si>
  <si>
    <t>20150225_LMAT</t>
  </si>
  <si>
    <t>no duplicates</t>
  </si>
  <si>
    <t>20150226_ACIW</t>
  </si>
  <si>
    <t>ACIW</t>
  </si>
  <si>
    <t>update</t>
  </si>
  <si>
    <t>2 years ago</t>
  </si>
  <si>
    <t>ADSK</t>
  </si>
  <si>
    <t>20150226_ADSK</t>
  </si>
  <si>
    <t>AMWD</t>
  </si>
  <si>
    <t>CRI</t>
  </si>
  <si>
    <t>20150226_AMWD</t>
  </si>
  <si>
    <t>ECPG</t>
  </si>
  <si>
    <t>GPS</t>
  </si>
  <si>
    <t>20150226_ANSS</t>
  </si>
  <si>
    <t>LYV</t>
  </si>
  <si>
    <t>ORN</t>
  </si>
  <si>
    <t>20150226_CRI</t>
  </si>
  <si>
    <t>SJI</t>
  </si>
  <si>
    <t>20150226_ECPG</t>
  </si>
  <si>
    <t>20150226_GPS</t>
  </si>
  <si>
    <t>AZO</t>
  </si>
  <si>
    <t>20150226_IRDM</t>
  </si>
  <si>
    <t>20150226_JCP</t>
  </si>
  <si>
    <t>KOPN</t>
  </si>
  <si>
    <t>RAVN</t>
  </si>
  <si>
    <t>PLCE</t>
  </si>
  <si>
    <t>20150226_LYV</t>
  </si>
  <si>
    <t>ULTA</t>
  </si>
  <si>
    <t>BKE</t>
  </si>
  <si>
    <t>RGEN</t>
  </si>
  <si>
    <t>20150226_ORN</t>
  </si>
  <si>
    <t>DSW</t>
  </si>
  <si>
    <t>20150227_NWN</t>
  </si>
  <si>
    <t>REX</t>
  </si>
  <si>
    <t>SCHL</t>
  </si>
  <si>
    <t>20150227_RDC</t>
  </si>
  <si>
    <t>CCL</t>
  </si>
  <si>
    <t>MU</t>
  </si>
  <si>
    <t>20150227_SJI</t>
  </si>
  <si>
    <t>WFC</t>
  </si>
  <si>
    <t>20150302_BID</t>
  </si>
  <si>
    <t>CBU</t>
  </si>
  <si>
    <t>20150302_MDR</t>
  </si>
  <si>
    <t>RMBS</t>
  </si>
  <si>
    <t>SANM</t>
  </si>
  <si>
    <t>ABG</t>
  </si>
  <si>
    <t>20150302_TG</t>
  </si>
  <si>
    <t>BMI</t>
  </si>
  <si>
    <t>CMG</t>
  </si>
  <si>
    <t>20150303_AZO</t>
  </si>
  <si>
    <t>MAN</t>
  </si>
  <si>
    <t>20150303_NX</t>
  </si>
  <si>
    <t>RF</t>
  </si>
  <si>
    <t>20150304_AMED</t>
  </si>
  <si>
    <t>SBNY</t>
  </si>
  <si>
    <t>SYK</t>
  </si>
  <si>
    <t>20150304_ANF</t>
  </si>
  <si>
    <t>AN</t>
  </si>
  <si>
    <t>20150305_ESL</t>
  </si>
  <si>
    <t>20150306_FL</t>
  </si>
  <si>
    <t>20150310_KOPN</t>
  </si>
  <si>
    <t>R</t>
  </si>
  <si>
    <t>20150311_RAVN</t>
  </si>
  <si>
    <t>TMO</t>
  </si>
  <si>
    <t>TUP</t>
  </si>
  <si>
    <t>20150312_PLCE</t>
  </si>
  <si>
    <t>20150312_ULTA</t>
  </si>
  <si>
    <t>20150313_BKE</t>
  </si>
  <si>
    <t>20150313_RGEN</t>
  </si>
  <si>
    <t>HZO</t>
  </si>
  <si>
    <t>20150317_DSW</t>
  </si>
  <si>
    <t>20150317_FDS</t>
  </si>
  <si>
    <t>20150324_GIII</t>
  </si>
  <si>
    <t>20150325_PAYX</t>
  </si>
  <si>
    <t>PTEN</t>
  </si>
  <si>
    <t>20150325_REX</t>
  </si>
  <si>
    <t>20150326_SCHL</t>
  </si>
  <si>
    <t>20150327_CCL</t>
  </si>
  <si>
    <t>20150331_MOV</t>
  </si>
  <si>
    <t>20150401_MU</t>
  </si>
  <si>
    <t>20150402_PERY</t>
  </si>
  <si>
    <t>20150414_WFC</t>
  </si>
  <si>
    <t>20150415_WSO</t>
  </si>
  <si>
    <t>20150420_CBU</t>
  </si>
  <si>
    <t>20150420_LII</t>
  </si>
  <si>
    <t>20150420_LRCX</t>
  </si>
  <si>
    <t>20150420_RMBS</t>
  </si>
  <si>
    <t>20150420_SANM</t>
  </si>
  <si>
    <t>NOC</t>
  </si>
  <si>
    <t>20150421_ABG</t>
  </si>
  <si>
    <t>20150421_AMGN</t>
  </si>
  <si>
    <t>20150421_BMI</t>
  </si>
  <si>
    <t>20150421_CMG</t>
  </si>
  <si>
    <t>20150421_IBKR</t>
  </si>
  <si>
    <t>NI</t>
  </si>
  <si>
    <t>20150421_KMB</t>
  </si>
  <si>
    <t>NTRI</t>
  </si>
  <si>
    <t>20150421_MAN</t>
  </si>
  <si>
    <t>20150421_NTRS</t>
  </si>
  <si>
    <t>20150421_OMC</t>
  </si>
  <si>
    <t>20150421_RF</t>
  </si>
  <si>
    <t>XYL</t>
  </si>
  <si>
    <t>20150421_SBNY</t>
  </si>
  <si>
    <t>20150421_STBA</t>
  </si>
  <si>
    <t>LM</t>
  </si>
  <si>
    <t>20150421_SYK</t>
  </si>
  <si>
    <t>20150422_AN</t>
  </si>
  <si>
    <t>20150422_AZZ</t>
  </si>
  <si>
    <t>20150422_BA</t>
  </si>
  <si>
    <t>20150422_CATY</t>
  </si>
  <si>
    <t>20150422_CLW</t>
  </si>
  <si>
    <t>20150422_EXPO</t>
  </si>
  <si>
    <t>20150422_LAD</t>
  </si>
  <si>
    <t>20150422_MPWR</t>
  </si>
  <si>
    <t>20150422_PCH</t>
  </si>
  <si>
    <t>20150422_R</t>
  </si>
  <si>
    <t>20150422_SEIC</t>
  </si>
  <si>
    <t>MSI</t>
  </si>
  <si>
    <t>20150422_SNBR</t>
  </si>
  <si>
    <t>VECO</t>
  </si>
  <si>
    <t>20150422_TMO</t>
  </si>
  <si>
    <t>20150422_TUP</t>
  </si>
  <si>
    <t>20150422_XLNX</t>
  </si>
  <si>
    <t>20150423_ATGE</t>
  </si>
  <si>
    <t>20150423_AVT</t>
  </si>
  <si>
    <t>20150423_BBT</t>
  </si>
  <si>
    <t>20150423_CMS</t>
  </si>
  <si>
    <t>20150423_COL</t>
  </si>
  <si>
    <t>20150423_DAN</t>
  </si>
  <si>
    <t>20150423_EFII</t>
  </si>
  <si>
    <t>20150423_FAF</t>
  </si>
  <si>
    <t>20150423_GHL</t>
  </si>
  <si>
    <t>ROST</t>
  </si>
  <si>
    <t>20150423_HAFC</t>
  </si>
  <si>
    <t>CHS</t>
  </si>
  <si>
    <t>BIG</t>
  </si>
  <si>
    <t>20150423_HSY</t>
  </si>
  <si>
    <t>CRVL</t>
  </si>
  <si>
    <t>20150423_HZO</t>
  </si>
  <si>
    <t>20150423_JNPR</t>
  </si>
  <si>
    <t>LABL</t>
  </si>
  <si>
    <t>20150423_LSTR</t>
  </si>
  <si>
    <t>BBBY</t>
  </si>
  <si>
    <t>20150423_MDP</t>
  </si>
  <si>
    <t>MON</t>
  </si>
  <si>
    <t>BKS</t>
  </si>
  <si>
    <t>AYI</t>
  </si>
  <si>
    <t>20150423_MSFT</t>
  </si>
  <si>
    <t>GIS</t>
  </si>
  <si>
    <t>STZ</t>
  </si>
  <si>
    <t>20150423_MTH</t>
  </si>
  <si>
    <t>20150423_NTGR</t>
  </si>
  <si>
    <t>AMD</t>
  </si>
  <si>
    <t>GS</t>
  </si>
  <si>
    <t>20150423_NUE</t>
  </si>
  <si>
    <t>IIIN</t>
  </si>
  <si>
    <t>PM</t>
  </si>
  <si>
    <t>SHW</t>
  </si>
  <si>
    <t>20150423_PII</t>
  </si>
  <si>
    <t>UFPI</t>
  </si>
  <si>
    <t>WBS</t>
  </si>
  <si>
    <t>GWW</t>
  </si>
  <si>
    <t>20150423_POOL</t>
  </si>
  <si>
    <t>KSU</t>
  </si>
  <si>
    <t>ASTE</t>
  </si>
  <si>
    <t>20150423_PTEN</t>
  </si>
  <si>
    <t>ATI</t>
  </si>
  <si>
    <t>MANH</t>
  </si>
  <si>
    <t>SNV</t>
  </si>
  <si>
    <t>20150423_RMD</t>
  </si>
  <si>
    <t>TRV</t>
  </si>
  <si>
    <t>VZ</t>
  </si>
  <si>
    <t>AXP</t>
  </si>
  <si>
    <t>20150423_SFNC</t>
  </si>
  <si>
    <t>EGHT</t>
  </si>
  <si>
    <t>FTNT</t>
  </si>
  <si>
    <t>20150423_SRCL</t>
  </si>
  <si>
    <t>TSCO</t>
  </si>
  <si>
    <t>ALK</t>
  </si>
  <si>
    <t>20150423_TBI</t>
  </si>
  <si>
    <t>AOS</t>
  </si>
  <si>
    <t>COF</t>
  </si>
  <si>
    <t>CSL</t>
  </si>
  <si>
    <t>20150423_UAL</t>
  </si>
  <si>
    <t>DGII</t>
  </si>
  <si>
    <t>DGX</t>
  </si>
  <si>
    <t>DHR</t>
  </si>
  <si>
    <t>20150423_UFI</t>
  </si>
  <si>
    <t>FIS</t>
  </si>
  <si>
    <t>FNB</t>
  </si>
  <si>
    <t>IVC</t>
  </si>
  <si>
    <t>20150424_PFS</t>
  </si>
  <si>
    <t>MSCC</t>
  </si>
  <si>
    <t>20150424_SPG</t>
  </si>
  <si>
    <t>PHM</t>
  </si>
  <si>
    <t>RSG</t>
  </si>
  <si>
    <t>20150424_XRX</t>
  </si>
  <si>
    <t>TYL</t>
  </si>
  <si>
    <t>B</t>
  </si>
  <si>
    <t>CPF</t>
  </si>
  <si>
    <t>20150427_OSIS</t>
  </si>
  <si>
    <t>FLIR</t>
  </si>
  <si>
    <t>OFG</t>
  </si>
  <si>
    <t>RGA</t>
  </si>
  <si>
    <t>20150427_ROP</t>
  </si>
  <si>
    <t>HAE</t>
  </si>
  <si>
    <t>POL</t>
  </si>
  <si>
    <t>AGCO</t>
  </si>
  <si>
    <t>20150427_WRB</t>
  </si>
  <si>
    <t>CTXS</t>
  </si>
  <si>
    <t>GILD</t>
  </si>
  <si>
    <t>HSII</t>
  </si>
  <si>
    <t>20150428_AET</t>
  </si>
  <si>
    <t>OSPN</t>
  </si>
  <si>
    <t>PCAR</t>
  </si>
  <si>
    <t>20150428_AKAM</t>
  </si>
  <si>
    <t>VICR</t>
  </si>
  <si>
    <t>ALGT</t>
  </si>
  <si>
    <t>FCF</t>
  </si>
  <si>
    <t>20150428_BGFV</t>
  </si>
  <si>
    <t>SLAB</t>
  </si>
  <si>
    <t>TGI</t>
  </si>
  <si>
    <t>ADP</t>
  </si>
  <si>
    <t>20150428_CIR</t>
  </si>
  <si>
    <t>BCOR</t>
  </si>
  <si>
    <t>CRL</t>
  </si>
  <si>
    <t>CRS</t>
  </si>
  <si>
    <t>20150428_CNC</t>
  </si>
  <si>
    <t>FLR</t>
  </si>
  <si>
    <t>IART</t>
  </si>
  <si>
    <t>INT</t>
  </si>
  <si>
    <t>20150428_CRUS</t>
  </si>
  <si>
    <t>IT</t>
  </si>
  <si>
    <t>MD</t>
  </si>
  <si>
    <t>MDLZ</t>
  </si>
  <si>
    <t>20150428_EPR</t>
  </si>
  <si>
    <t>PRFT</t>
  </si>
  <si>
    <t>SAM</t>
  </si>
  <si>
    <t>SWK</t>
  </si>
  <si>
    <t>20150428_HELE</t>
  </si>
  <si>
    <t>SYNA</t>
  </si>
  <si>
    <t>TPX</t>
  </si>
  <si>
    <t>VG</t>
  </si>
  <si>
    <t>20150428_HLIT</t>
  </si>
  <si>
    <t>WST</t>
  </si>
  <si>
    <t>XRAY</t>
  </si>
  <si>
    <t>VRTS</t>
  </si>
  <si>
    <t>20150428_IDXX</t>
  </si>
  <si>
    <t>WY</t>
  </si>
  <si>
    <t>MCY</t>
  </si>
  <si>
    <t>QNST</t>
  </si>
  <si>
    <t>20150428_IIVI</t>
  </si>
  <si>
    <t>ALE</t>
  </si>
  <si>
    <t>CBT</t>
  </si>
  <si>
    <t>CHD</t>
  </si>
  <si>
    <t>20150428_LOGM</t>
  </si>
  <si>
    <t>UFCS</t>
  </si>
  <si>
    <t>ACXM</t>
  </si>
  <si>
    <t>CTSH</t>
  </si>
  <si>
    <t>20150428_MAS</t>
  </si>
  <si>
    <t>ECHO</t>
  </si>
  <si>
    <t>EE</t>
  </si>
  <si>
    <t>ITRI</t>
  </si>
  <si>
    <t>20150428_MRCY</t>
  </si>
  <si>
    <t>MED</t>
  </si>
  <si>
    <t>PLUS</t>
  </si>
  <si>
    <t>WCG</t>
  </si>
  <si>
    <t>20150428_MSTR</t>
  </si>
  <si>
    <t>AGN</t>
  </si>
  <si>
    <t>ANDV</t>
  </si>
  <si>
    <t>CUB</t>
  </si>
  <si>
    <t>20150428_NATI</t>
  </si>
  <si>
    <t>PGNX</t>
  </si>
  <si>
    <t>STMP</t>
  </si>
  <si>
    <t>VIAB</t>
  </si>
  <si>
    <t>20150428_NOV</t>
  </si>
  <si>
    <t>TTI</t>
  </si>
  <si>
    <t>PRAA</t>
  </si>
  <si>
    <t>TTWO</t>
  </si>
  <si>
    <t>20150428_OMI</t>
  </si>
  <si>
    <t>ZBRA</t>
  </si>
  <si>
    <t>KSS</t>
  </si>
  <si>
    <t>ADI</t>
  </si>
  <si>
    <t>20150428_WDC</t>
  </si>
  <si>
    <t>LZB</t>
  </si>
  <si>
    <t>NTAP</t>
  </si>
  <si>
    <t>TGT</t>
  </si>
  <si>
    <t>20150428_WWW</t>
  </si>
  <si>
    <t>WSM</t>
  </si>
  <si>
    <t>FRED</t>
  </si>
  <si>
    <t>GME</t>
  </si>
  <si>
    <t>20150428_WYND</t>
  </si>
  <si>
    <t>SCVL</t>
  </si>
  <si>
    <t>KFY</t>
  </si>
  <si>
    <t>BRC</t>
  </si>
  <si>
    <t>20150429_AMED</t>
  </si>
  <si>
    <t>RHT</t>
  </si>
  <si>
    <t>ACN</t>
  </si>
  <si>
    <t>CAMP</t>
  </si>
  <si>
    <t>20150429_ASGN</t>
  </si>
  <si>
    <t>PRGS</t>
  </si>
  <si>
    <t>CSX</t>
  </si>
  <si>
    <t>KEY</t>
  </si>
  <si>
    <t>20150429_BEN</t>
  </si>
  <si>
    <t>LNN</t>
  </si>
  <si>
    <t>PPG</t>
  </si>
  <si>
    <t>USB</t>
  </si>
  <si>
    <t>20150429_CFR</t>
  </si>
  <si>
    <t>WYNN</t>
  </si>
  <si>
    <t>DOV</t>
  </si>
  <si>
    <t>FITB</t>
  </si>
  <si>
    <t>20150429_EQIX</t>
  </si>
  <si>
    <t>PNR</t>
  </si>
  <si>
    <t>RLI</t>
  </si>
  <si>
    <t>UTX</t>
  </si>
  <si>
    <t>20150429_GPRE</t>
  </si>
  <si>
    <t>CA</t>
  </si>
  <si>
    <t>ELY</t>
  </si>
  <si>
    <t>SVU</t>
  </si>
  <si>
    <t>20150429_HF</t>
  </si>
  <si>
    <t>BJRI</t>
  </si>
  <si>
    <t>BMS</t>
  </si>
  <si>
    <t>CY</t>
  </si>
  <si>
    <t>20150429_LL</t>
  </si>
  <si>
    <t>HBAN</t>
  </si>
  <si>
    <t>LLY</t>
  </si>
  <si>
    <t>MHO</t>
  </si>
  <si>
    <t>20150429_NOC</t>
  </si>
  <si>
    <t>PRLB</t>
  </si>
  <si>
    <t>QSII</t>
  </si>
  <si>
    <t>SKX</t>
  </si>
  <si>
    <t>20150429_PKE</t>
  </si>
  <si>
    <t>SPSC</t>
  </si>
  <si>
    <t>SXT</t>
  </si>
  <si>
    <t>UMPQ</t>
  </si>
  <si>
    <t>20150429_PX</t>
  </si>
  <si>
    <t>UNP</t>
  </si>
  <si>
    <t>VRSN</t>
  </si>
  <si>
    <t>COG</t>
  </si>
  <si>
    <t>20150430_ABC</t>
  </si>
  <si>
    <t>RCL</t>
  </si>
  <si>
    <t>SSD</t>
  </si>
  <si>
    <t>STT</t>
  </si>
  <si>
    <t>20150430_APD</t>
  </si>
  <si>
    <t>BOH</t>
  </si>
  <si>
    <t>ABAX</t>
  </si>
  <si>
    <t>CLD</t>
  </si>
  <si>
    <t>20150430_ARW</t>
  </si>
  <si>
    <t>CRY</t>
  </si>
  <si>
    <t>FELE</t>
  </si>
  <si>
    <t>FISV</t>
  </si>
  <si>
    <t>20150430_CHSP</t>
  </si>
  <si>
    <t>MDSO</t>
  </si>
  <si>
    <t>TPR</t>
  </si>
  <si>
    <t>ULTI</t>
  </si>
  <si>
    <t>20150430_COP</t>
  </si>
  <si>
    <t>AIT</t>
  </si>
  <si>
    <t>APC</t>
  </si>
  <si>
    <t>CMC</t>
  </si>
  <si>
    <t>20150430_CRR</t>
  </si>
  <si>
    <t>DHX</t>
  </si>
  <si>
    <t>DSPG</t>
  </si>
  <si>
    <t>GRMN</t>
  </si>
  <si>
    <t>20150430_CYTK</t>
  </si>
  <si>
    <t>SAH</t>
  </si>
  <si>
    <t>VAR</t>
  </si>
  <si>
    <t>VLO</t>
  </si>
  <si>
    <t>20150430_FSS</t>
  </si>
  <si>
    <t>VRTX</t>
  </si>
  <si>
    <t>ALXN</t>
  </si>
  <si>
    <t>AVY</t>
  </si>
  <si>
    <t>20150430_GEO</t>
  </si>
  <si>
    <t>BC</t>
  </si>
  <si>
    <t>CENX</t>
  </si>
  <si>
    <t>COLB</t>
  </si>
  <si>
    <t>20150430_HST</t>
  </si>
  <si>
    <t>DIN</t>
  </si>
  <si>
    <t>DLR</t>
  </si>
  <si>
    <t>EHTH</t>
  </si>
  <si>
    <t>20150430_INCY</t>
  </si>
  <si>
    <t>GT</t>
  </si>
  <si>
    <t>GTLS</t>
  </si>
  <si>
    <t>LANC</t>
  </si>
  <si>
    <t>20150430_LLL</t>
  </si>
  <si>
    <t>LKQ</t>
  </si>
  <si>
    <t>MGM</t>
  </si>
  <si>
    <t>MOH</t>
  </si>
  <si>
    <t>20150430_LYV</t>
  </si>
  <si>
    <t>OMCL</t>
  </si>
  <si>
    <t>PDFS</t>
  </si>
  <si>
    <t>PES</t>
  </si>
  <si>
    <t>20150430_NI</t>
  </si>
  <si>
    <t>SCSC</t>
  </si>
  <si>
    <t>UVE</t>
  </si>
  <si>
    <t>WMB</t>
  </si>
  <si>
    <t>20150430_NTRI</t>
  </si>
  <si>
    <t>AON</t>
  </si>
  <si>
    <t>BCO</t>
  </si>
  <si>
    <t>BGG</t>
  </si>
  <si>
    <t>20150430_ODFL</t>
  </si>
  <si>
    <t>CL</t>
  </si>
  <si>
    <t>EXC</t>
  </si>
  <si>
    <t>IDCC</t>
  </si>
  <si>
    <t>20150430_OIS</t>
  </si>
  <si>
    <t>IRM</t>
  </si>
  <si>
    <t>NWL</t>
  </si>
  <si>
    <t>SBSI</t>
  </si>
  <si>
    <t>20150430_PBI</t>
  </si>
  <si>
    <t>STX</t>
  </si>
  <si>
    <t>UFS</t>
  </si>
  <si>
    <t>EDR</t>
  </si>
  <si>
    <t>20150430_PKI</t>
  </si>
  <si>
    <t>ETR</t>
  </si>
  <si>
    <t>EVR</t>
  </si>
  <si>
    <t>DISCA</t>
  </si>
  <si>
    <t>20150430_RGS</t>
  </si>
  <si>
    <t>OCLR</t>
  </si>
  <si>
    <t>SRE</t>
  </si>
  <si>
    <t>VMC</t>
  </si>
  <si>
    <t>20150430_SKYW</t>
  </si>
  <si>
    <t>VSH</t>
  </si>
  <si>
    <t>AGYS</t>
  </si>
  <si>
    <t>AVA</t>
  </si>
  <si>
    <t>20150430_SWKS</t>
  </si>
  <si>
    <t>DVN</t>
  </si>
  <si>
    <t>OSUR</t>
  </si>
  <si>
    <t>PZZA</t>
  </si>
  <si>
    <t>20150430_TFX</t>
  </si>
  <si>
    <t>AAWW</t>
  </si>
  <si>
    <t>AES</t>
  </si>
  <si>
    <t>CLDT</t>
  </si>
  <si>
    <t>20150430_WRLD</t>
  </si>
  <si>
    <t>CNP</t>
  </si>
  <si>
    <t>CORT</t>
  </si>
  <si>
    <t>HE</t>
  </si>
  <si>
    <t>20150430_WU</t>
  </si>
  <si>
    <t>HII</t>
  </si>
  <si>
    <t>HRC</t>
  </si>
  <si>
    <t>IPCC</t>
  </si>
  <si>
    <t>20150430_XOM</t>
  </si>
  <si>
    <t>MASI</t>
  </si>
  <si>
    <t>OGE</t>
  </si>
  <si>
    <t>PLT</t>
  </si>
  <si>
    <t>20150430_XYL</t>
  </si>
  <si>
    <t>SSTK</t>
  </si>
  <si>
    <t>TRIP</t>
  </si>
  <si>
    <t>UEIC</t>
  </si>
  <si>
    <t>20150501_AXL</t>
  </si>
  <si>
    <t>ZEUS</t>
  </si>
  <si>
    <t>LXU</t>
  </si>
  <si>
    <t>MHK</t>
  </si>
  <si>
    <t>20150501_CBOE</t>
  </si>
  <si>
    <t>AMG</t>
  </si>
  <si>
    <t>APEI</t>
  </si>
  <si>
    <t>DISH</t>
  </si>
  <si>
    <t>20150501_CTB</t>
  </si>
  <si>
    <t>LGND</t>
  </si>
  <si>
    <t>SRDX</t>
  </si>
  <si>
    <t>LOW</t>
  </si>
  <si>
    <t>20150501_FE</t>
  </si>
  <si>
    <t>KIRK</t>
  </si>
  <si>
    <t>HIBB</t>
  </si>
  <si>
    <t>TSN</t>
  </si>
  <si>
    <t>20150501_GWR</t>
  </si>
  <si>
    <t>CPB</t>
  </si>
  <si>
    <t>DLTR</t>
  </si>
  <si>
    <t>TECD</t>
  </si>
  <si>
    <t>20150501_LM</t>
  </si>
  <si>
    <t>TIF</t>
  </si>
  <si>
    <t>DCI</t>
  </si>
  <si>
    <t>DE</t>
  </si>
  <si>
    <t>20150501_LPNT</t>
  </si>
  <si>
    <t>EXPR</t>
  </si>
  <si>
    <t>ALOG</t>
  </si>
  <si>
    <t>TOL</t>
  </si>
  <si>
    <t>20150501_MCO</t>
  </si>
  <si>
    <t>FRAN</t>
  </si>
  <si>
    <t>VRA</t>
  </si>
  <si>
    <t>ADBE</t>
  </si>
  <si>
    <t>20150501_NSP</t>
  </si>
  <si>
    <t>JBL</t>
  </si>
  <si>
    <t>ORCL</t>
  </si>
  <si>
    <t>APOG</t>
  </si>
  <si>
    <t>20150501_PEG</t>
  </si>
  <si>
    <t>RECN</t>
  </si>
  <si>
    <t>FINL</t>
  </si>
  <si>
    <t>SNX</t>
  </si>
  <si>
    <t>20150501_TDS</t>
  </si>
  <si>
    <t>INTC</t>
  </si>
  <si>
    <t>FHN</t>
  </si>
  <si>
    <t>MS</t>
  </si>
  <si>
    <t>20150501_VFC</t>
  </si>
  <si>
    <t>WWD</t>
  </si>
  <si>
    <t>EAT</t>
  </si>
  <si>
    <t>KMI</t>
  </si>
  <si>
    <t>20150504_CEVA</t>
  </si>
  <si>
    <t>TEL</t>
  </si>
  <si>
    <t>ETFC</t>
  </si>
  <si>
    <t>ISRG</t>
  </si>
  <si>
    <t>20150504_CHUY</t>
  </si>
  <si>
    <t>SIVB</t>
  </si>
  <si>
    <t>SLM</t>
  </si>
  <si>
    <t>ABCB</t>
  </si>
  <si>
    <t>20150504_CMCSA</t>
  </si>
  <si>
    <t>STI</t>
  </si>
  <si>
    <t>DHI</t>
  </si>
  <si>
    <t>AKS</t>
  </si>
  <si>
    <t>20150504_DO</t>
  </si>
  <si>
    <t>ISCA</t>
  </si>
  <si>
    <t>PG</t>
  </si>
  <si>
    <t>TSS</t>
  </si>
  <si>
    <t>20150504_FN</t>
  </si>
  <si>
    <t>CNMD</t>
  </si>
  <si>
    <t>DFS</t>
  </si>
  <si>
    <t>GD</t>
  </si>
  <si>
    <t>20150504_L</t>
  </si>
  <si>
    <t>HOLX</t>
  </si>
  <si>
    <t>PYPL</t>
  </si>
  <si>
    <t>TXN</t>
  </si>
  <si>
    <t>20150504_NUVA</t>
  </si>
  <si>
    <t>TXT</t>
  </si>
  <si>
    <t>VLY</t>
  </si>
  <si>
    <t>ADS</t>
  </si>
  <si>
    <t>20150504_TXRH</t>
  </si>
  <si>
    <t>CPSI</t>
  </si>
  <si>
    <t>EA</t>
  </si>
  <si>
    <t>FICO</t>
  </si>
  <si>
    <t>20150505_ABMD</t>
  </si>
  <si>
    <t>GNTX</t>
  </si>
  <si>
    <t>IVZ</t>
  </si>
  <si>
    <t>KEM</t>
  </si>
  <si>
    <t>20150505_ACLS</t>
  </si>
  <si>
    <t>NEE</t>
  </si>
  <si>
    <t>CVX</t>
  </si>
  <si>
    <t>HON</t>
  </si>
  <si>
    <t>20150505_CRAY</t>
  </si>
  <si>
    <t>MAT</t>
  </si>
  <si>
    <t>ONB</t>
  </si>
  <si>
    <t>PFE</t>
  </si>
  <si>
    <t>20150505_CTL</t>
  </si>
  <si>
    <t>RHI</t>
  </si>
  <si>
    <t>SXI</t>
  </si>
  <si>
    <t>ENR</t>
  </si>
  <si>
    <t>20150505_CVLT</t>
  </si>
  <si>
    <t>ETN</t>
  </si>
  <si>
    <t>FBHS</t>
  </si>
  <si>
    <t>JLL</t>
  </si>
  <si>
    <t>20150505_DIS</t>
  </si>
  <si>
    <t>POWL</t>
  </si>
  <si>
    <t>LQDT</t>
  </si>
  <si>
    <t>PJC</t>
  </si>
  <si>
    <t>20150505_ESE</t>
  </si>
  <si>
    <t>POWI</t>
  </si>
  <si>
    <t>RL</t>
  </si>
  <si>
    <t>TDC</t>
  </si>
  <si>
    <t>20150505_HCA</t>
  </si>
  <si>
    <t>CME</t>
  </si>
  <si>
    <t>HAS</t>
  </si>
  <si>
    <t>BHE</t>
  </si>
  <si>
    <t>20150505_ICUI</t>
  </si>
  <si>
    <t>CVS</t>
  </si>
  <si>
    <t>GLT</t>
  </si>
  <si>
    <t>MPAA</t>
  </si>
  <si>
    <t>20150505_K</t>
  </si>
  <si>
    <t>STE</t>
  </si>
  <si>
    <t>TDG</t>
  </si>
  <si>
    <t>DTE</t>
  </si>
  <si>
    <t>20150505_KLIC</t>
  </si>
  <si>
    <t>INTL</t>
  </si>
  <si>
    <t>LPSN</t>
  </si>
  <si>
    <t>AAP</t>
  </si>
  <si>
    <t>20150505_KMT</t>
  </si>
  <si>
    <t>ATVI</t>
  </si>
  <si>
    <t>BWA</t>
  </si>
  <si>
    <t>FLO</t>
  </si>
  <si>
    <t>20150505_MDC</t>
  </si>
  <si>
    <t>LPX</t>
  </si>
  <si>
    <t>NNN</t>
  </si>
  <si>
    <t>NUS</t>
  </si>
  <si>
    <t>20150505_MDCO</t>
  </si>
  <si>
    <t>SON</t>
  </si>
  <si>
    <t>TYPE</t>
  </si>
  <si>
    <t>WWE</t>
  </si>
  <si>
    <t>20150505_MYGN</t>
  </si>
  <si>
    <t>IPG</t>
  </si>
  <si>
    <t>BYD</t>
  </si>
  <si>
    <t>EIG</t>
  </si>
  <si>
    <t>20150505_NWN</t>
  </si>
  <si>
    <t>MANT</t>
  </si>
  <si>
    <t>SNPS</t>
  </si>
  <si>
    <t>AAN</t>
  </si>
  <si>
    <t>20150505_SMG</t>
  </si>
  <si>
    <t>LH</t>
  </si>
  <si>
    <t>PCG</t>
  </si>
  <si>
    <t>PNW</t>
  </si>
  <si>
    <t>20150506_ANDE</t>
  </si>
  <si>
    <t>DRH</t>
  </si>
  <si>
    <t>FSLR</t>
  </si>
  <si>
    <t>LXP</t>
  </si>
  <si>
    <t>20150506_CLH</t>
  </si>
  <si>
    <t>M</t>
  </si>
  <si>
    <t>SF</t>
  </si>
  <si>
    <t>CHK</t>
  </si>
  <si>
    <t>20150506_CRZO</t>
  </si>
  <si>
    <t>CRM</t>
  </si>
  <si>
    <t>EV</t>
  </si>
  <si>
    <t>FARO</t>
  </si>
  <si>
    <t>20150506_DDD</t>
  </si>
  <si>
    <t>20150506_HFC</t>
  </si>
  <si>
    <t>20150506_HSC</t>
  </si>
  <si>
    <t>20150506_LAMR</t>
  </si>
  <si>
    <t>20150506_MSI</t>
  </si>
  <si>
    <t>20150506_NSIT</t>
  </si>
  <si>
    <t>20150506_RDC</t>
  </si>
  <si>
    <t>20150506_SNH</t>
  </si>
  <si>
    <t>20150506_VECO</t>
  </si>
  <si>
    <t>20150506_VSI</t>
  </si>
  <si>
    <t>20150506_WD</t>
  </si>
  <si>
    <t>20150507_ALEX</t>
  </si>
  <si>
    <t>20150507_BKNG</t>
  </si>
  <si>
    <t>20150507_CBB</t>
  </si>
  <si>
    <t>20150507_CNK</t>
  </si>
  <si>
    <t>20150507_CNSL</t>
  </si>
  <si>
    <t>20150507_CUTR</t>
  </si>
  <si>
    <t>20150507_EBS</t>
  </si>
  <si>
    <t>20150507_GDOT</t>
  </si>
  <si>
    <t>20150507_ILG</t>
  </si>
  <si>
    <t>20150507_JCOM</t>
  </si>
  <si>
    <t>20150507_MTD</t>
  </si>
  <si>
    <t>20150507_NVDA</t>
  </si>
  <si>
    <t>20150507_ROCK</t>
  </si>
  <si>
    <t>20150507_SPPI</t>
  </si>
  <si>
    <t>20150507_TAP</t>
  </si>
  <si>
    <t>20150508_CROX</t>
  </si>
  <si>
    <t>20150508_EBIX</t>
  </si>
  <si>
    <t>20150508_SSP</t>
  </si>
  <si>
    <t>20150508_TREX</t>
  </si>
  <si>
    <t>20150508_WELL</t>
  </si>
  <si>
    <t>20150511_BID</t>
  </si>
  <si>
    <t>20150511_ENDP</t>
  </si>
  <si>
    <t>20150511_GTY</t>
  </si>
  <si>
    <t>20150511_RBC</t>
  </si>
  <si>
    <t>20150512_IFF</t>
  </si>
  <si>
    <t>20150512_MCK</t>
  </si>
  <si>
    <t>20150513_JCP</t>
  </si>
  <si>
    <t>20150514_JACK</t>
  </si>
  <si>
    <t>20150514_JWN</t>
  </si>
  <si>
    <t>20150514_PERY</t>
  </si>
  <si>
    <t>20150519_HD</t>
  </si>
  <si>
    <t>20150519_RRGB</t>
  </si>
  <si>
    <t>20150519_VSAT</t>
  </si>
  <si>
    <t>20150521_GPS</t>
  </si>
  <si>
    <t>20150521_HPQ</t>
  </si>
  <si>
    <t>20150521_MNRO</t>
  </si>
  <si>
    <t>20150521_ROST</t>
  </si>
  <si>
    <t>20150521_TTC</t>
  </si>
  <si>
    <t>20150527_CHS</t>
  </si>
  <si>
    <t>20150527_MOV</t>
  </si>
  <si>
    <t>20150529_BIG</t>
  </si>
  <si>
    <t>20150602_ASNA</t>
  </si>
  <si>
    <t>20150602_CBRL</t>
  </si>
  <si>
    <t>20150602_CRVL</t>
  </si>
  <si>
    <t>20150602_DAKT</t>
  </si>
  <si>
    <t>20150602_GES</t>
  </si>
  <si>
    <t>20150602_MDT</t>
  </si>
  <si>
    <t>20150604_COO</t>
  </si>
  <si>
    <t>20150605_LABL</t>
  </si>
  <si>
    <t>20150608_HRB</t>
  </si>
  <si>
    <t>20150608_UNFI</t>
  </si>
  <si>
    <t>20150619_KMX</t>
  </si>
  <si>
    <t>20150622_SONC</t>
  </si>
  <si>
    <t>20150623_CCL</t>
  </si>
  <si>
    <t>20150624_BBBY</t>
  </si>
  <si>
    <t>20150624_MON</t>
  </si>
  <si>
    <t>20150625_BKS</t>
  </si>
  <si>
    <t>20150701_AYI</t>
  </si>
  <si>
    <t>20150701_GIS</t>
  </si>
  <si>
    <t>20150701_STZ</t>
  </si>
  <si>
    <t>20150707_MSM</t>
  </si>
  <si>
    <t>20150709_HELE</t>
  </si>
  <si>
    <t>20150714_AIR</t>
  </si>
  <si>
    <t>20150714_FAST</t>
  </si>
  <si>
    <t>20150714_WFC</t>
  </si>
  <si>
    <t>20150715_PNC</t>
  </si>
  <si>
    <t>20150716_AMD</t>
  </si>
  <si>
    <t>20150716_ANGO</t>
  </si>
  <si>
    <t>20150716_BBT</t>
  </si>
  <si>
    <t>20150716_GS</t>
  </si>
  <si>
    <t>20150716_IIIN</t>
  </si>
  <si>
    <t>20150716_PM</t>
  </si>
  <si>
    <t>20150716_SHW</t>
  </si>
  <si>
    <t>20150716_UFPI</t>
  </si>
  <si>
    <t>20150716_WBS</t>
  </si>
  <si>
    <t>20150717_GWW</t>
  </si>
  <si>
    <t>20150717_KSU</t>
  </si>
  <si>
    <t>20150720_EFII</t>
  </si>
  <si>
    <t>20150720_RMBS</t>
  </si>
  <si>
    <t>20150721_AAPL</t>
  </si>
  <si>
    <t>20150721_ABG</t>
  </si>
  <si>
    <t>20150721_ASTE</t>
  </si>
  <si>
    <t>20150721_ATI</t>
  </si>
  <si>
    <t>20150721_CATY</t>
  </si>
  <si>
    <t>20150721_CMG</t>
  </si>
  <si>
    <t>20150721_EXPO</t>
  </si>
  <si>
    <t>20150721_IBKR</t>
  </si>
  <si>
    <t>20150721_MANH</t>
  </si>
  <si>
    <t>20150721_MSFT</t>
  </si>
  <si>
    <t>20150721_SBNY</t>
  </si>
  <si>
    <t>20150721_SNV</t>
  </si>
  <si>
    <t>20150721_STBA</t>
  </si>
  <si>
    <t>20150721_TRV</t>
  </si>
  <si>
    <t>20150721_VZ</t>
  </si>
  <si>
    <t>20150721_WSO</t>
  </si>
  <si>
    <t>20150722_AXP</t>
  </si>
  <si>
    <t>20150722_CAKE</t>
  </si>
  <si>
    <t>20150722_EGHT</t>
  </si>
  <si>
    <t>20150722_FTNT</t>
  </si>
  <si>
    <t>20150722_TSCO</t>
  </si>
  <si>
    <t>20150722_TUP</t>
  </si>
  <si>
    <t>20150723_ABC</t>
  </si>
  <si>
    <t>20150723_ALK</t>
  </si>
  <si>
    <t>20150723_AMZN</t>
  </si>
  <si>
    <t>20150723_AOS</t>
  </si>
  <si>
    <t>20150723_CMCSA</t>
  </si>
  <si>
    <t>20150723_COF</t>
  </si>
  <si>
    <t>20150723_CSL</t>
  </si>
  <si>
    <t>20150723_DGII</t>
  </si>
  <si>
    <t>20150723_DGX</t>
  </si>
  <si>
    <t>20150723_DHR</t>
  </si>
  <si>
    <t>20150723_FIS</t>
  </si>
  <si>
    <t>20150723_FNB</t>
  </si>
  <si>
    <t>20150723_IVC</t>
  </si>
  <si>
    <t>20150723_JNPR</t>
  </si>
  <si>
    <t>20150723_KMB</t>
  </si>
  <si>
    <t>20150723_MMM</t>
  </si>
  <si>
    <t>20150723_MSCC</t>
  </si>
  <si>
    <t>20150723_NDAQ</t>
  </si>
  <si>
    <t>20150723_ORI</t>
  </si>
  <si>
    <t>20150723_PHM</t>
  </si>
  <si>
    <t>20150723_RSG</t>
  </si>
  <si>
    <t>20150723_SCHL</t>
  </si>
  <si>
    <t>20150723_TYL</t>
  </si>
  <si>
    <t>20150723_UAL</t>
  </si>
  <si>
    <t>20150723_WRLD</t>
  </si>
  <si>
    <t>20150724_B</t>
  </si>
  <si>
    <t>20150724_CPF</t>
  </si>
  <si>
    <t>20150724_FLIR</t>
  </si>
  <si>
    <t>20150724_OFG</t>
  </si>
  <si>
    <t>20150724_RGA</t>
  </si>
  <si>
    <t>20150724_SPG</t>
  </si>
  <si>
    <t>20150724_VFC</t>
  </si>
  <si>
    <t>20150727_HAE</t>
  </si>
  <si>
    <t>20150727_HLIT</t>
  </si>
  <si>
    <t>20150727_POL</t>
  </si>
  <si>
    <t>20150727_ROP</t>
  </si>
  <si>
    <t>20150727_WRB</t>
  </si>
  <si>
    <t>20150728_AGCO</t>
  </si>
  <si>
    <t>20150728_AKAM</t>
  </si>
  <si>
    <t>20150728_BGFV</t>
  </si>
  <si>
    <t>20150728_CNC</t>
  </si>
  <si>
    <t>20150728_CTXS</t>
  </si>
  <si>
    <t>20150728_GILD</t>
  </si>
  <si>
    <t>20150728_HSII</t>
  </si>
  <si>
    <t>20150728_LMAT</t>
  </si>
  <si>
    <t>20150728_NATI</t>
  </si>
  <si>
    <t>20150728_OSPN</t>
  </si>
  <si>
    <t>20150728_PCAR</t>
  </si>
  <si>
    <t>20150728_VICR</t>
  </si>
  <si>
    <t>20150729_ALGT</t>
  </si>
  <si>
    <t>20150729_BEN</t>
  </si>
  <si>
    <t>20150729_CFR</t>
  </si>
  <si>
    <t>20150729_CYTK</t>
  </si>
  <si>
    <t>20150729_FCF</t>
  </si>
  <si>
    <t>20150729_NOC</t>
  </si>
  <si>
    <t>20150729_PX</t>
  </si>
  <si>
    <t>20150729_SLAB</t>
  </si>
  <si>
    <t>20150729_TGI</t>
  </si>
  <si>
    <t>20150730_ACIW</t>
  </si>
  <si>
    <t>20150730_ADP</t>
  </si>
  <si>
    <t>20150730_BCOR</t>
  </si>
  <si>
    <t>20150730_CBB</t>
  </si>
  <si>
    <t>20150730_CEVA</t>
  </si>
  <si>
    <t>20150730_CRL</t>
  </si>
  <si>
    <t>20150730_CROX</t>
  </si>
  <si>
    <t>20150730_CRS</t>
  </si>
  <si>
    <t>20150730_FLR</t>
  </si>
  <si>
    <t>20150730_HF</t>
  </si>
  <si>
    <t>20150730_HST</t>
  </si>
  <si>
    <t>20150730_IART</t>
  </si>
  <si>
    <t>20150730_IDXX</t>
  </si>
  <si>
    <t>20150730_INT</t>
  </si>
  <si>
    <t>20150730_IT</t>
  </si>
  <si>
    <t>20150730_MD</t>
  </si>
  <si>
    <t>20150730_MDLZ</t>
  </si>
  <si>
    <t>20150730_MTD</t>
  </si>
  <si>
    <t>20150730_PRFT</t>
  </si>
  <si>
    <t>20150730_SAM</t>
  </si>
  <si>
    <t>20150730_SWK</t>
  </si>
  <si>
    <t>20150730_SYNA</t>
  </si>
  <si>
    <t>20150730_TPX</t>
  </si>
  <si>
    <t>20150730_VG</t>
  </si>
  <si>
    <t>20150730_WST</t>
  </si>
  <si>
    <t>20150730_WU</t>
  </si>
  <si>
    <t>20150730_XRAY</t>
  </si>
  <si>
    <t>20150731_FE</t>
  </si>
  <si>
    <t>20150731_LPNT</t>
  </si>
  <si>
    <t>20150731_PFS</t>
  </si>
  <si>
    <t>20150731_VRTS</t>
  </si>
  <si>
    <t>20150731_WY</t>
  </si>
  <si>
    <t>20150731_XOM</t>
  </si>
  <si>
    <t>20150803_MCY</t>
  </si>
  <si>
    <t>20150803_NI</t>
  </si>
  <si>
    <t>20150803_NSP</t>
  </si>
  <si>
    <t>20150803_QNST</t>
  </si>
  <si>
    <t>20150803_TXRH</t>
  </si>
  <si>
    <t>20150803_VECO</t>
  </si>
  <si>
    <t>20150804_ALE</t>
  </si>
  <si>
    <t>20150804_CBT</t>
  </si>
  <si>
    <t>20150804_CHD</t>
  </si>
  <si>
    <t>20150804_CHUY</t>
  </si>
  <si>
    <t>20150804_DIS</t>
  </si>
  <si>
    <t>20150804_INCY</t>
  </si>
  <si>
    <t>20150804_KLIC</t>
  </si>
  <si>
    <t>20150804_MRCY</t>
  </si>
  <si>
    <t>20150804_UFCS</t>
  </si>
  <si>
    <t>20150805_ACXM</t>
  </si>
  <si>
    <t>20150805_ANSS</t>
  </si>
  <si>
    <t>20150805_CTL</t>
  </si>
  <si>
    <t>20150805_CTSH</t>
  </si>
  <si>
    <t>20150805_CUTR</t>
  </si>
  <si>
    <t>20150805_ECHO</t>
  </si>
  <si>
    <t>20150805_EE</t>
  </si>
  <si>
    <t>20150805_ITRI</t>
  </si>
  <si>
    <t>20150805_MED</t>
  </si>
  <si>
    <t>20150805_MSI</t>
  </si>
  <si>
    <t>20150805_PLUS</t>
  </si>
  <si>
    <t>20150805_WCG</t>
  </si>
  <si>
    <t>20150806_AGN</t>
  </si>
  <si>
    <t>20150806_ALEX</t>
  </si>
  <si>
    <t>20150806_ANDV</t>
  </si>
  <si>
    <t>20150806_CNK</t>
  </si>
  <si>
    <t>20150806_CUB</t>
  </si>
  <si>
    <t>20150806_DDD</t>
  </si>
  <si>
    <t>20150806_PGNX</t>
  </si>
  <si>
    <t>20150806_RGEN</t>
  </si>
  <si>
    <t>20150806_SPPI</t>
  </si>
  <si>
    <t>20150806_STMP</t>
  </si>
  <si>
    <t>20150806_TAP</t>
  </si>
  <si>
    <t>20150806_VIAB</t>
  </si>
  <si>
    <t>20150807_EBIX</t>
  </si>
  <si>
    <t>20150807_SJI</t>
  </si>
  <si>
    <t>20150807_TTI</t>
  </si>
  <si>
    <t>20150810_ESE</t>
  </si>
  <si>
    <t>20150810_LYV</t>
  </si>
  <si>
    <t>20150810_PRAA</t>
  </si>
  <si>
    <t>20150810_TTWO</t>
  </si>
  <si>
    <t>20150811_ZBRA</t>
  </si>
  <si>
    <t>20150813_JWN</t>
  </si>
  <si>
    <t>20150813_KSS</t>
  </si>
  <si>
    <t>20150814_JCP</t>
  </si>
  <si>
    <t>20150818_ADI</t>
  </si>
  <si>
    <t>20150818_ATGE</t>
  </si>
  <si>
    <t>20150819_LZB</t>
  </si>
  <si>
    <t>20150819_NTAP</t>
  </si>
  <si>
    <t>20150819_TGT</t>
  </si>
  <si>
    <t>20150820_GPS</t>
  </si>
  <si>
    <t>20150820_HPQ</t>
  </si>
  <si>
    <t>20150820_PERY</t>
  </si>
  <si>
    <t>20150821_FL</t>
  </si>
  <si>
    <t>20150826_GES</t>
  </si>
  <si>
    <t>20150826_WSM</t>
  </si>
  <si>
    <t>20150827_FRED</t>
  </si>
  <si>
    <t>20150827_GME</t>
  </si>
  <si>
    <t>20150827_MOV</t>
  </si>
  <si>
    <t>20150827_ULTA</t>
  </si>
  <si>
    <t>20150828_BIG</t>
  </si>
  <si>
    <t>20150828_RGS</t>
  </si>
  <si>
    <t>20150901_HRB</t>
  </si>
  <si>
    <t>20150901_SCVL</t>
  </si>
  <si>
    <t>20150908_KFY</t>
  </si>
  <si>
    <t>20150909_BKS</t>
  </si>
  <si>
    <t>20150911_BRC</t>
  </si>
  <si>
    <t>20150921_RHT</t>
  </si>
  <si>
    <t>20150922_CCL</t>
  </si>
  <si>
    <t>20150922_GIS</t>
  </si>
  <si>
    <t>20150924_ACN</t>
  </si>
  <si>
    <t>20150924_AIR</t>
  </si>
  <si>
    <t>20150924_BBBY</t>
  </si>
  <si>
    <t>20150924_SCHL</t>
  </si>
  <si>
    <t>20150929_AZZ</t>
  </si>
  <si>
    <t>20151001_CAMP</t>
  </si>
  <si>
    <t>20151001_MU</t>
  </si>
  <si>
    <t>20151001_PRGS</t>
  </si>
  <si>
    <t>20151007_PKE</t>
  </si>
  <si>
    <t>20151007_STZ</t>
  </si>
  <si>
    <t>20151014_CSX</t>
  </si>
  <si>
    <t>20151014_WFC</t>
  </si>
  <si>
    <t>20151014_XLNX</t>
  </si>
  <si>
    <t>20151015_KEY</t>
  </si>
  <si>
    <t>20151015_LNN</t>
  </si>
  <si>
    <t>20151015_PPG</t>
  </si>
  <si>
    <t>20151015_UFPI</t>
  </si>
  <si>
    <t>20151015_USB</t>
  </si>
  <si>
    <t>20151015_WYNN</t>
  </si>
  <si>
    <t>20151020_DOV</t>
  </si>
  <si>
    <t>20151020_FITB</t>
  </si>
  <si>
    <t>20151020_IBKR</t>
  </si>
  <si>
    <t>20151020_PNR</t>
  </si>
  <si>
    <t>20151020_RLI</t>
  </si>
  <si>
    <t>20151020_STBA</t>
  </si>
  <si>
    <t>20151020_UTX</t>
  </si>
  <si>
    <t>20151020_VZ</t>
  </si>
  <si>
    <t>20151020_WWW</t>
  </si>
  <si>
    <t>20151021_AXP</t>
  </si>
  <si>
    <t>20151021_CA</t>
  </si>
  <si>
    <t>20151021_ELY</t>
  </si>
  <si>
    <t>20151021_EXPO</t>
  </si>
  <si>
    <t>20151021_SEIC</t>
  </si>
  <si>
    <t>20151021_SVU</t>
  </si>
  <si>
    <t>20151022_ALK</t>
  </si>
  <si>
    <t>20151022_AMZN</t>
  </si>
  <si>
    <t>20151022_BEN</t>
  </si>
  <si>
    <t>20151022_BJRI</t>
  </si>
  <si>
    <t>20151022_BMS</t>
  </si>
  <si>
    <t>20151022_CBU</t>
  </si>
  <si>
    <t>20151022_CRS</t>
  </si>
  <si>
    <t>20151022_CY</t>
  </si>
  <si>
    <t>20151022_DGX</t>
  </si>
  <si>
    <t>20151022_DHR</t>
  </si>
  <si>
    <t>20151022_EGHT</t>
  </si>
  <si>
    <t>20151022_FAF</t>
  </si>
  <si>
    <t>20151022_HBAN</t>
  </si>
  <si>
    <t>20151022_IVC</t>
  </si>
  <si>
    <t>20151022_LLY</t>
  </si>
  <si>
    <t>20151022_LOGM</t>
  </si>
  <si>
    <t>20151022_MHO</t>
  </si>
  <si>
    <t>20151022_MMM</t>
  </si>
  <si>
    <t>20151022_MSFT</t>
  </si>
  <si>
    <t>20151022_NDAQ</t>
  </si>
  <si>
    <t>20151022_NTGR</t>
  </si>
  <si>
    <t>20151022_NUE</t>
  </si>
  <si>
    <t>20151022_ORI</t>
  </si>
  <si>
    <t>20151022_POOL</t>
  </si>
  <si>
    <t>20151022_PRLB</t>
  </si>
  <si>
    <t>20151022_QSII</t>
  </si>
  <si>
    <t>20151022_R</t>
  </si>
  <si>
    <t>20151022_RMD</t>
  </si>
  <si>
    <t>20151022_SFNC</t>
  </si>
  <si>
    <t>20151022_SKX</t>
  </si>
  <si>
    <t>20151022_SPSC</t>
  </si>
  <si>
    <t>20151022_SXT</t>
  </si>
  <si>
    <t>20151022_SYK</t>
  </si>
  <si>
    <t>20151022_SYNA</t>
  </si>
  <si>
    <t>20151022_UMPQ</t>
  </si>
  <si>
    <t>20151022_UNP</t>
  </si>
  <si>
    <t>20151022_VRSN</t>
  </si>
  <si>
    <t>20151023_B</t>
  </si>
  <si>
    <t>20151023_COG</t>
  </si>
  <si>
    <t>20151023_OFG</t>
  </si>
  <si>
    <t>20151023_RCL</t>
  </si>
  <si>
    <t>20151023_SSD</t>
  </si>
  <si>
    <t>20151023_STT</t>
  </si>
  <si>
    <t>20151026_BOH</t>
  </si>
  <si>
    <t>20151026_MPWR</t>
  </si>
  <si>
    <t>20151026_MSTR</t>
  </si>
  <si>
    <t>20151026_ROP</t>
  </si>
  <si>
    <t>20151026_WRB</t>
  </si>
  <si>
    <t>20151027_ABAX</t>
  </si>
  <si>
    <t>20151027_AKAM</t>
  </si>
  <si>
    <t>20151027_BGFV</t>
  </si>
  <si>
    <t>20151027_CLD</t>
  </si>
  <si>
    <t>20151027_CMCSA</t>
  </si>
  <si>
    <t>20151027_CRY</t>
  </si>
  <si>
    <t>20151027_FELE</t>
  </si>
  <si>
    <t>20151027_FISV</t>
  </si>
  <si>
    <t>20151027_GILD</t>
  </si>
  <si>
    <t>20151027_HCA</t>
  </si>
  <si>
    <t>20151027_HLIT</t>
  </si>
  <si>
    <t>20151027_HSII</t>
  </si>
  <si>
    <t>20151027_IIVI</t>
  </si>
  <si>
    <t>20151027_MAS</t>
  </si>
  <si>
    <t>20151027_MDC</t>
  </si>
  <si>
    <t>20151027_MDSO</t>
  </si>
  <si>
    <t>20151027_NUVA</t>
  </si>
  <si>
    <t>20151027_PCH</t>
  </si>
  <si>
    <t>20151027_SKYW</t>
  </si>
  <si>
    <t>20151027_SPG</t>
  </si>
  <si>
    <t>20151027_TPR</t>
  </si>
  <si>
    <t>20151027_TREX</t>
  </si>
  <si>
    <t>20151027_ULTI</t>
  </si>
  <si>
    <t>20151027_VICR</t>
  </si>
  <si>
    <t>20151028_ADP</t>
  </si>
  <si>
    <t>20151028_AIT</t>
  </si>
  <si>
    <t>20151028_APC</t>
  </si>
  <si>
    <t>20151028_ASGN</t>
  </si>
  <si>
    <t>20151028_CMC</t>
  </si>
  <si>
    <t>20151028_CRUS</t>
  </si>
  <si>
    <t>20151028_DHX</t>
  </si>
  <si>
    <t>20151028_DSPG</t>
  </si>
  <si>
    <t>20151028_ECHO</t>
  </si>
  <si>
    <t>20151028_GRMN</t>
  </si>
  <si>
    <t>20151028_HSY</t>
  </si>
  <si>
    <t>20151028_NSIT</t>
  </si>
  <si>
    <t>20151028_NTRI</t>
  </si>
  <si>
    <t>20151028_SAH</t>
  </si>
  <si>
    <t>20151028_SLAB</t>
  </si>
  <si>
    <t>20151028_VAR</t>
  </si>
  <si>
    <t>20151028_VLO</t>
  </si>
  <si>
    <t>20151028_VRTX</t>
  </si>
  <si>
    <t>20151028_WDC</t>
  </si>
  <si>
    <t>20151028_XRAY</t>
  </si>
  <si>
    <t>20151029_ALXN</t>
  </si>
  <si>
    <t>20151029_AVY</t>
  </si>
  <si>
    <t>20151029_BC</t>
  </si>
  <si>
    <t>20151029_BCOR</t>
  </si>
  <si>
    <t>20151029_CENX</t>
  </si>
  <si>
    <t>20151029_CMS</t>
  </si>
  <si>
    <t>20151029_COLB</t>
  </si>
  <si>
    <t>20151029_CRI</t>
  </si>
  <si>
    <t>20151029_DIN</t>
  </si>
  <si>
    <t>20151029_DLR</t>
  </si>
  <si>
    <t>20151029_EHTH</t>
  </si>
  <si>
    <t>20151029_FLR</t>
  </si>
  <si>
    <t>20151029_GT</t>
  </si>
  <si>
    <t>20151029_GTLS</t>
  </si>
  <si>
    <t>20151029_HST</t>
  </si>
  <si>
    <t>20151029_LANC</t>
  </si>
  <si>
    <t>20151029_LKQ</t>
  </si>
  <si>
    <t>20151029_LLL</t>
  </si>
  <si>
    <t>20151029_LYV</t>
  </si>
  <si>
    <t>20151029_MGM</t>
  </si>
  <si>
    <t>20151029_MOH</t>
  </si>
  <si>
    <t>20151029_OMCL</t>
  </si>
  <si>
    <t>20151029_PBI</t>
  </si>
  <si>
    <t>20151029_PDFS</t>
  </si>
  <si>
    <t>20151029_PES</t>
  </si>
  <si>
    <t>20151029_PX</t>
  </si>
  <si>
    <t>20151029_SCSC</t>
  </si>
  <si>
    <t>20151029_SHW</t>
  </si>
  <si>
    <t>20151029_TFX</t>
  </si>
  <si>
    <t>20151029_TPX</t>
  </si>
  <si>
    <t>20151029_UVE</t>
  </si>
  <si>
    <t>20151029_WMB</t>
  </si>
  <si>
    <t>20151030_AON</t>
  </si>
  <si>
    <t>20151030_BCO</t>
  </si>
  <si>
    <t>20151030_BGG</t>
  </si>
  <si>
    <t>20151030_CL</t>
  </si>
  <si>
    <t>20151030_COL</t>
  </si>
  <si>
    <t>20151030_EXC</t>
  </si>
  <si>
    <t>20151030_GWR</t>
  </si>
  <si>
    <t>20151030_IDCC</t>
  </si>
  <si>
    <t>20151030_IRM</t>
  </si>
  <si>
    <t>20151030_LPNT</t>
  </si>
  <si>
    <t>20151030_NWL</t>
  </si>
  <si>
    <t>20151030_PFS</t>
  </si>
  <si>
    <t>20151030_SBSI</t>
  </si>
  <si>
    <t>20151030_STX</t>
  </si>
  <si>
    <t>20151030_TDS</t>
  </si>
  <si>
    <t>20151030_UFS</t>
  </si>
  <si>
    <t>20151030_WY</t>
  </si>
  <si>
    <t>20151102_CEVA</t>
  </si>
  <si>
    <t>20151102_EDR</t>
  </si>
  <si>
    <t>20151102_ETR</t>
  </si>
  <si>
    <t>20151102_EVR</t>
  </si>
  <si>
    <t>20151103_CHUY</t>
  </si>
  <si>
    <t>20151103_CRVL</t>
  </si>
  <si>
    <t>20151103_DISCA</t>
  </si>
  <si>
    <t>20151103_FIS</t>
  </si>
  <si>
    <t>20151103_FSS</t>
  </si>
  <si>
    <t>20151103_IART</t>
  </si>
  <si>
    <t>20151103_INCY</t>
  </si>
  <si>
    <t>20151103_MDCO</t>
  </si>
  <si>
    <t>20151103_NI</t>
  </si>
  <si>
    <t>20151103_NWN</t>
  </si>
  <si>
    <t>20151103_OCLR</t>
  </si>
  <si>
    <t>20151103_SRE</t>
  </si>
  <si>
    <t>20151103_VMC</t>
  </si>
  <si>
    <t>20151103_VSH</t>
  </si>
  <si>
    <t>20151104_AGYS</t>
  </si>
  <si>
    <t>20151104_AVA</t>
  </si>
  <si>
    <t>20151104_CTL</t>
  </si>
  <si>
    <t>20151104_DVN</t>
  </si>
  <si>
    <t>20151104_OSUR</t>
  </si>
  <si>
    <t>20151104_PLUS</t>
  </si>
  <si>
    <t>20151104_PZZA</t>
  </si>
  <si>
    <t>20151104_SPPI</t>
  </si>
  <si>
    <t>20151105_AAWW</t>
  </si>
  <si>
    <t>20151105_ACIW</t>
  </si>
  <si>
    <t>20151105_AES</t>
  </si>
  <si>
    <t>20151105_ALEX</t>
  </si>
  <si>
    <t>20151105_CLDT</t>
  </si>
  <si>
    <t>20151105_CNK</t>
  </si>
  <si>
    <t>20151105_CNP</t>
  </si>
  <si>
    <t>20151105_CNSL</t>
  </si>
  <si>
    <t>20151105_CORT</t>
  </si>
  <si>
    <t>20151105_DIS</t>
  </si>
  <si>
    <t>20151105_EBS</t>
  </si>
  <si>
    <t>20151105_ENDP</t>
  </si>
  <si>
    <t>20151105_HE</t>
  </si>
  <si>
    <t>20151105_HII</t>
  </si>
  <si>
    <t>20151105_HRC</t>
  </si>
  <si>
    <t>20151105_ICUI</t>
  </si>
  <si>
    <t>20151105_IPCC</t>
  </si>
  <si>
    <t>20151105_LAMR</t>
  </si>
  <si>
    <t>20151105_MASI</t>
  </si>
  <si>
    <t>20151105_MTD</t>
  </si>
  <si>
    <t>20151105_OGE</t>
  </si>
  <si>
    <t>20151105_PLT</t>
  </si>
  <si>
    <t>20151105_SJI</t>
  </si>
  <si>
    <t>20151105_SSTK</t>
  </si>
  <si>
    <t>20151105_TRIP</t>
  </si>
  <si>
    <t>20151105_TTWO</t>
  </si>
  <si>
    <t>20151105_UEIC</t>
  </si>
  <si>
    <t>20151105_ZEUS</t>
  </si>
  <si>
    <t>20151106_LXU</t>
  </si>
  <si>
    <t>20151106_MHK</t>
  </si>
  <si>
    <t>20151106_TTI</t>
  </si>
  <si>
    <t>20151109_AMG</t>
  </si>
  <si>
    <t>20151109_APEI</t>
  </si>
  <si>
    <t>20151109_CIR</t>
  </si>
  <si>
    <t>20151109_DISH</t>
  </si>
  <si>
    <t>20151109_ILG</t>
  </si>
  <si>
    <t>20151109_LABL</t>
  </si>
  <si>
    <t>20151109_LGND</t>
  </si>
  <si>
    <t>20151109_MDR</t>
  </si>
  <si>
    <t>20151109_QNST</t>
  </si>
  <si>
    <t>20151110_SRDX</t>
  </si>
  <si>
    <t>20151110_ZBRA</t>
  </si>
  <si>
    <t>20151112_JWN</t>
  </si>
  <si>
    <t>20151117_HD</t>
  </si>
  <si>
    <t>20151118_LOW</t>
  </si>
  <si>
    <t>20151119_BKE</t>
  </si>
  <si>
    <t>20151119_BRC</t>
  </si>
  <si>
    <t>20151119_ESL</t>
  </si>
  <si>
    <t>20151119_GPS</t>
  </si>
  <si>
    <t>20151119_KIRK</t>
  </si>
  <si>
    <t>20151119_WSM</t>
  </si>
  <si>
    <t>20151120_ANF</t>
  </si>
  <si>
    <t>20151120_FL</t>
  </si>
  <si>
    <t>20151120_HIBB</t>
  </si>
  <si>
    <t>20151123_GME</t>
  </si>
  <si>
    <t>20151123_TSN</t>
  </si>
  <si>
    <t>20151124_CPB</t>
  </si>
  <si>
    <t>20151124_DLTR</t>
  </si>
  <si>
    <t>20151124_DSW</t>
  </si>
  <si>
    <t>20151124_MOV</t>
  </si>
  <si>
    <t>20151124_TECD</t>
  </si>
  <si>
    <t>20151124_TIF</t>
  </si>
  <si>
    <t>20151125_DCI</t>
  </si>
  <si>
    <t>20151125_DE</t>
  </si>
  <si>
    <t>20151203_EXPR</t>
  </si>
  <si>
    <t>20151203_MDT</t>
  </si>
  <si>
    <t>20151208_ALOG</t>
  </si>
  <si>
    <t>20151208_AZO</t>
  </si>
  <si>
    <t>20151208_TOL</t>
  </si>
  <si>
    <t>20151209_FRAN</t>
  </si>
  <si>
    <t>20151209_VRA</t>
  </si>
  <si>
    <t>20151210_ADBE</t>
  </si>
  <si>
    <t>20151214_NX</t>
  </si>
  <si>
    <t>20151216_JBL</t>
  </si>
  <si>
    <t>20151216_ORCL</t>
  </si>
  <si>
    <t>20151217_ACN</t>
  </si>
  <si>
    <t>20151217_APOG</t>
  </si>
  <si>
    <t>20151217_GIS</t>
  </si>
  <si>
    <t>20160105_CMC</t>
  </si>
  <si>
    <t>20160105_SONC</t>
  </si>
  <si>
    <t>20160106_MSM</t>
  </si>
  <si>
    <t>20160106_RECN</t>
  </si>
  <si>
    <t>20160107_BBBY</t>
  </si>
  <si>
    <t>20160107_FINL</t>
  </si>
  <si>
    <t>20160107_PKE</t>
  </si>
  <si>
    <t>20160107_SNX</t>
  </si>
  <si>
    <t>20160114_INTC</t>
  </si>
  <si>
    <t>20160115_PNC</t>
  </si>
  <si>
    <t>20160115_RF</t>
  </si>
  <si>
    <t>20160115_WFC</t>
  </si>
  <si>
    <t>20160119_FHN</t>
  </si>
  <si>
    <t>20160119_MS</t>
  </si>
  <si>
    <t>20160119_WWD</t>
  </si>
  <si>
    <t>20160120_CATY</t>
  </si>
  <si>
    <t>20160120_EAT</t>
  </si>
  <si>
    <t>20160120_KMI</t>
  </si>
  <si>
    <t>20160120_TEL</t>
  </si>
  <si>
    <t>20160121_AXP</t>
  </si>
  <si>
    <t>20160121_EGHT</t>
  </si>
  <si>
    <t>20160121_ETFC</t>
  </si>
  <si>
    <t>20160121_HBAN</t>
  </si>
  <si>
    <t>20160121_IIIN</t>
  </si>
  <si>
    <t>20160121_ISRG</t>
  </si>
  <si>
    <t>20160121_SIVB</t>
  </si>
  <si>
    <t>20160121_SLM</t>
  </si>
  <si>
    <t>20160121_VZ</t>
  </si>
  <si>
    <t>20160121_WBS</t>
  </si>
  <si>
    <t>20160122_ABCB</t>
  </si>
  <si>
    <t>20160122_BID</t>
  </si>
  <si>
    <t>20160122_COL</t>
  </si>
  <si>
    <t>20160122_STI</t>
  </si>
  <si>
    <t>20160125_DHI</t>
  </si>
  <si>
    <t>20160125_KMB</t>
  </si>
  <si>
    <t>20160126_AKS</t>
  </si>
  <si>
    <t>20160126_DHR</t>
  </si>
  <si>
    <t>20160126_DOV</t>
  </si>
  <si>
    <t>20160126_GWW</t>
  </si>
  <si>
    <t>20160126_HAFC</t>
  </si>
  <si>
    <t>20160126_IIVI</t>
  </si>
  <si>
    <t>20160126_ISCA</t>
  </si>
  <si>
    <t>20160126_MMM</t>
  </si>
  <si>
    <t>20160126_MRCY</t>
  </si>
  <si>
    <t>20160126_PG</t>
  </si>
  <si>
    <t>20160126_PII</t>
  </si>
  <si>
    <t>20160126_TSS</t>
  </si>
  <si>
    <t>20160127_ALGT</t>
  </si>
  <si>
    <t>20160127_CNMD</t>
  </si>
  <si>
    <t>20160127_CRUS</t>
  </si>
  <si>
    <t>20160127_CTXS</t>
  </si>
  <si>
    <t>20160127_DFS</t>
  </si>
  <si>
    <t>20160127_EFII</t>
  </si>
  <si>
    <t>20160127_GD</t>
  </si>
  <si>
    <t>20160127_HOLX</t>
  </si>
  <si>
    <t>20160127_MCK</t>
  </si>
  <si>
    <t>20160127_MDP</t>
  </si>
  <si>
    <t>20160127_PYPL</t>
  </si>
  <si>
    <t>20160127_SEIC</t>
  </si>
  <si>
    <t>20160127_TXN</t>
  </si>
  <si>
    <t>20160127_TXT</t>
  </si>
  <si>
    <t>20160127_VLY</t>
  </si>
  <si>
    <t>20160128_ADS</t>
  </si>
  <si>
    <t>20160128_AN</t>
  </si>
  <si>
    <t>20160128_AVT</t>
  </si>
  <si>
    <t>20160128_CPF</t>
  </si>
  <si>
    <t>20160128_CPSI</t>
  </si>
  <si>
    <t>20160128_DGX</t>
  </si>
  <si>
    <t>20160128_EA</t>
  </si>
  <si>
    <t>20160128_FICO</t>
  </si>
  <si>
    <t>20160128_FTNT</t>
  </si>
  <si>
    <t>20160128_GNTX</t>
  </si>
  <si>
    <t>20160128_HCA</t>
  </si>
  <si>
    <t>20160128_HSY</t>
  </si>
  <si>
    <t>20160128_IVZ</t>
  </si>
  <si>
    <t>20160128_KEM</t>
  </si>
  <si>
    <t>20160128_LLL</t>
  </si>
  <si>
    <t>20160128_MTH</t>
  </si>
  <si>
    <t>20160128_NDAQ</t>
  </si>
  <si>
    <t>20160128_NEE</t>
  </si>
  <si>
    <t>20160128_NOC</t>
  </si>
  <si>
    <t>20160128_QSII</t>
  </si>
  <si>
    <t>20160128_SWKS</t>
  </si>
  <si>
    <t>20160128_SYNA</t>
  </si>
  <si>
    <t>20160128_TGI</t>
  </si>
  <si>
    <t>20160128_WDC</t>
  </si>
  <si>
    <t>20160129_CVX</t>
  </si>
  <si>
    <t>20160129_HON</t>
  </si>
  <si>
    <t>20160129_NWL</t>
  </si>
  <si>
    <t>20160129_SBSI</t>
  </si>
  <si>
    <t>20160129_STX</t>
  </si>
  <si>
    <t>20160201_AET</t>
  </si>
  <si>
    <t>20160201_HRC</t>
  </si>
  <si>
    <t>20160201_MAT</t>
  </si>
  <si>
    <t>20160201_ONB</t>
  </si>
  <si>
    <t>20160201_PLT</t>
  </si>
  <si>
    <t>20160201_ROP</t>
  </si>
  <si>
    <t>20160202_ACLS</t>
  </si>
  <si>
    <t>20160202_AGCO</t>
  </si>
  <si>
    <t>20160202_FISV</t>
  </si>
  <si>
    <t>20160202_PFE</t>
  </si>
  <si>
    <t>20160202_PNR</t>
  </si>
  <si>
    <t>20160202_RHI</t>
  </si>
  <si>
    <t>20160202_SXI</t>
  </si>
  <si>
    <t>20160202_WRB</t>
  </si>
  <si>
    <t>20160203_ALXN</t>
  </si>
  <si>
    <t>20160203_AVY</t>
  </si>
  <si>
    <t>20160203_ENR</t>
  </si>
  <si>
    <t>20160203_ETN</t>
  </si>
  <si>
    <t>20160203_EXPO</t>
  </si>
  <si>
    <t>20160203_FBHS</t>
  </si>
  <si>
    <t>20160203_JLL</t>
  </si>
  <si>
    <t>20160203_KLIC</t>
  </si>
  <si>
    <t>20160203_MDC</t>
  </si>
  <si>
    <t>20160203_OSUR</t>
  </si>
  <si>
    <t>20160203_POL</t>
  </si>
  <si>
    <t>20160203_POWL</t>
  </si>
  <si>
    <t>20160203_TTWO</t>
  </si>
  <si>
    <t>20160204_ABG</t>
  </si>
  <si>
    <t>20160204_ATGE</t>
  </si>
  <si>
    <t>20160204_CSL</t>
  </si>
  <si>
    <t>20160204_ELY</t>
  </si>
  <si>
    <t>20160204_HZO</t>
  </si>
  <si>
    <t>20160204_LQDT</t>
  </si>
  <si>
    <t>20160204_MD</t>
  </si>
  <si>
    <t>20160204_MHO</t>
  </si>
  <si>
    <t>20160204_MPWR</t>
  </si>
  <si>
    <t>20160204_MTD</t>
  </si>
  <si>
    <t>20160204_ODFL</t>
  </si>
  <si>
    <t>20160204_OMCL</t>
  </si>
  <si>
    <t>20160204_PJC</t>
  </si>
  <si>
    <t>20160204_PLUS</t>
  </si>
  <si>
    <t>20160204_POWI</t>
  </si>
  <si>
    <t>20160204_PTEN</t>
  </si>
  <si>
    <t>20160204_RL</t>
  </si>
  <si>
    <t>20160204_TDC</t>
  </si>
  <si>
    <t>20160204_TPX</t>
  </si>
  <si>
    <t>20160204_XYL</t>
  </si>
  <si>
    <t>20160205_CME</t>
  </si>
  <si>
    <t>20160205_TSN</t>
  </si>
  <si>
    <t>20160205_UFS</t>
  </si>
  <si>
    <t>20160205_WY</t>
  </si>
  <si>
    <t>20160208_DO</t>
  </si>
  <si>
    <t>20160208_HAS</t>
  </si>
  <si>
    <t>20160208_MOH</t>
  </si>
  <si>
    <t>20160209_AKAM</t>
  </si>
  <si>
    <t>20160209_BHE</t>
  </si>
  <si>
    <t>20160209_CNC</t>
  </si>
  <si>
    <t>20160209_CVS</t>
  </si>
  <si>
    <t>20160209_DIS</t>
  </si>
  <si>
    <t>20160209_ESE</t>
  </si>
  <si>
    <t>20160209_GLT</t>
  </si>
  <si>
    <t>20160209_LABL</t>
  </si>
  <si>
    <t>20160209_MPAA</t>
  </si>
  <si>
    <t>20160209_QNST</t>
  </si>
  <si>
    <t>20160209_SCSC</t>
  </si>
  <si>
    <t>20160209_STE</t>
  </si>
  <si>
    <t>20160209_TDG</t>
  </si>
  <si>
    <t>20160209_WCG</t>
  </si>
  <si>
    <t>20160209_WYND</t>
  </si>
  <si>
    <t>20160210_CTL</t>
  </si>
  <si>
    <t>20160210_DTE</t>
  </si>
  <si>
    <t>20160210_INTL</t>
  </si>
  <si>
    <t>20160210_LGND</t>
  </si>
  <si>
    <t>20160210_LPSN</t>
  </si>
  <si>
    <t>20160210_MDSO</t>
  </si>
  <si>
    <t>20160210_NSIT</t>
  </si>
  <si>
    <t>20160211_AAP</t>
  </si>
  <si>
    <t>20160211_ATVI</t>
  </si>
  <si>
    <t>20160211_BWA</t>
  </si>
  <si>
    <t>20160211_CRAY</t>
  </si>
  <si>
    <t>20160211_FAF</t>
  </si>
  <si>
    <t>20160211_FLO</t>
  </si>
  <si>
    <t>20160211_IVC</t>
  </si>
  <si>
    <t>20160211_LOGM</t>
  </si>
  <si>
    <t>20160211_LPX</t>
  </si>
  <si>
    <t>20160211_NNN</t>
  </si>
  <si>
    <t>20160211_NUS</t>
  </si>
  <si>
    <t>20160211_NUVA</t>
  </si>
  <si>
    <t>20160211_PDFS</t>
  </si>
  <si>
    <t>20160211_SON</t>
  </si>
  <si>
    <t>20160211_TRIP</t>
  </si>
  <si>
    <t>20160211_TYPE</t>
  </si>
  <si>
    <t>20160211_VG</t>
  </si>
  <si>
    <t>20160211_VRSN</t>
  </si>
  <si>
    <t>20160211_WWE</t>
  </si>
  <si>
    <t>20160212_AXL</t>
  </si>
  <si>
    <t>20160212_IPG</t>
  </si>
  <si>
    <t>20160212_NSP</t>
  </si>
  <si>
    <t>20160216_BYD</t>
  </si>
  <si>
    <t>20160216_CYTK</t>
  </si>
  <si>
    <t>20160217_CLD</t>
  </si>
  <si>
    <t>20160217_EIG</t>
  </si>
  <si>
    <t>20160217_GEO</t>
  </si>
  <si>
    <t>20160217_GRMN</t>
  </si>
  <si>
    <t>20160217_HST</t>
  </si>
  <si>
    <t>20160217_MANT</t>
  </si>
  <si>
    <t>20160217_SNPS</t>
  </si>
  <si>
    <t>20160218_AAN</t>
  </si>
  <si>
    <t>20160218_CBB</t>
  </si>
  <si>
    <t>20160218_DAN</t>
  </si>
  <si>
    <t>20160218_DISH</t>
  </si>
  <si>
    <t>20160218_IDCC</t>
  </si>
  <si>
    <t>20160218_LH</t>
  </si>
  <si>
    <t>20160218_NI</t>
  </si>
  <si>
    <t>20160218_PCG</t>
  </si>
  <si>
    <t>20160218_POOL</t>
  </si>
  <si>
    <t>20160218_SAM</t>
  </si>
  <si>
    <t>20160218_UFCS</t>
  </si>
  <si>
    <t>20160219_CIR</t>
  </si>
  <si>
    <t>20160219_COG</t>
  </si>
  <si>
    <t>20160219_DE</t>
  </si>
  <si>
    <t>20160219_PNW</t>
  </si>
  <si>
    <t>20160219_VFC</t>
  </si>
  <si>
    <t>20160222_AGN</t>
  </si>
  <si>
    <t>20160222_EDR</t>
  </si>
  <si>
    <t>20160222_MSI</t>
  </si>
  <si>
    <t>20160223_DAKT</t>
  </si>
  <si>
    <t>20160223_DRH</t>
  </si>
  <si>
    <t>20160223_FSLR</t>
  </si>
  <si>
    <t>20160223_LAMR</t>
  </si>
  <si>
    <t>20160223_LXP</t>
  </si>
  <si>
    <t>20160223_M</t>
  </si>
  <si>
    <t>20160223_SF</t>
  </si>
  <si>
    <t>20160223_TOL</t>
  </si>
  <si>
    <t>20160223_TREX</t>
  </si>
  <si>
    <t>20160224_CHK</t>
  </si>
  <si>
    <t>20160224_CLDT</t>
  </si>
  <si>
    <t>20160224_CNK</t>
  </si>
  <si>
    <t>20160224_CRM</t>
  </si>
  <si>
    <t>20160224_DIN</t>
  </si>
  <si>
    <t>20160224_EV</t>
  </si>
  <si>
    <t>20160224_FARO</t>
  </si>
  <si>
    <t>20160224_HFC</t>
  </si>
  <si>
    <t>20160224_SSTK</t>
  </si>
  <si>
    <t xml:space="preserve">HelperColumn </t>
  </si>
  <si>
    <t>Correlation Coefficient Matrix (2015-2017)</t>
  </si>
  <si>
    <t>na</t>
  </si>
  <si>
    <t xml:space="preserve">two large cap, one growth large cap, one traditional large cap, two small caps </t>
  </si>
  <si>
    <t xml:space="preserve">CPG, Energy, Auto, Restaurants </t>
  </si>
  <si>
    <t xml:space="preserve">Financial Services stock?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</si>
</sst>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_(&quot;$&quot;* #,##0.00_);_(&quot;$&quot;* \(#,##0.00\);_(&quot;$&quot;* &quot;-&quot;??_);_(@_)"/>
    <numFmt numFmtId="166" formatCode="mm/dd/yyyy"/>
    <numFmt numFmtId="167" formatCode="m/d/yyyy h:mm:ss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000000"/>
      <name val="Inconsolata"/>
    </font>
    <font>
      <u/>
      <sz val="11.0"/>
      <color rgb="FF008000"/>
      <name val="Inconsolata"/>
    </font>
    <font>
      <u/>
      <sz val="11.0"/>
      <color rgb="FF008000"/>
      <name val="Inconsolata"/>
    </font>
    <font>
      <u/>
      <color rgb="FF0000FF"/>
    </font>
    <font>
      <b/>
      <color theme="1"/>
      <name val="Arial"/>
      <scheme val="minor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sz val="11.0"/>
      <color rgb="FF444444"/>
      <name val="Roboto"/>
    </font>
    <font>
      <sz val="12.0"/>
      <color rgb="FFBDC1C6"/>
      <name val="&quot;Google Sans&quot;"/>
    </font>
    <font>
      <sz val="12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02124"/>
        <bgColor rgb="FF202124"/>
      </patternFill>
    </fill>
    <fill>
      <patternFill patternType="solid">
        <fgColor rgb="FFDAFADC"/>
        <bgColor rgb="FFDAFAD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2" fontId="3" numFmtId="0" xfId="0" applyFill="1" applyFont="1"/>
    <xf borderId="0" fillId="0" fontId="1" numFmtId="165" xfId="0" applyFont="1" applyNumberForma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3" xfId="0" applyAlignment="1" applyFont="1" applyNumberFormat="1">
      <alignment readingOrder="0" shrinkToFit="0" vertical="bottom" wrapText="0"/>
    </xf>
    <xf borderId="0" fillId="0" fontId="1" numFmtId="10" xfId="0" applyAlignment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0" fontId="9" numFmtId="166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horizontal="center" readingOrder="0" vertical="top"/>
    </xf>
    <xf borderId="0" fillId="0" fontId="11" numFmtId="10" xfId="0" applyAlignment="1" applyFont="1" applyNumberFormat="1">
      <alignment horizontal="center" readingOrder="0" vertical="top"/>
    </xf>
    <xf borderId="0" fillId="3" fontId="12" numFmtId="0" xfId="0" applyAlignment="1" applyFill="1" applyFont="1">
      <alignment horizontal="right" readingOrder="0"/>
    </xf>
    <xf borderId="0" fillId="0" fontId="1" numFmtId="10" xfId="0" applyFont="1" applyNumberFormat="1"/>
    <xf borderId="0" fillId="0" fontId="1" numFmtId="167" xfId="0" applyFont="1" applyNumberFormat="1"/>
    <xf borderId="0" fillId="0" fontId="1" numFmtId="0" xfId="0" applyAlignment="1" applyFont="1">
      <alignment horizontal="center" readingOrder="0"/>
    </xf>
    <xf borderId="0" fillId="0" fontId="1" numFmtId="14" xfId="0" applyFont="1" applyNumberFormat="1"/>
    <xf borderId="0" fillId="4" fontId="1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SPY Price over the period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'S&amp;P ETF Related Price History'!$C$2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'S&amp;P ETF Related Price History'!$B$3:$B$252</c:f>
            </c:strRef>
          </c:cat>
          <c:val>
            <c:numRef>
              <c:f>'S&amp;P ETF Related Price History'!$C$3:$C$252</c:f>
              <c:numCache/>
            </c:numRef>
          </c:val>
          <c:smooth val="0"/>
        </c:ser>
        <c:axId val="1866273651"/>
        <c:axId val="868676841"/>
      </c:lineChart>
      <c:catAx>
        <c:axId val="186627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676841"/>
      </c:catAx>
      <c:valAx>
        <c:axId val="868676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Close</a:t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6273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financialmodelingprep.com/api/v3/earning_call_transcript/AAPL?quarter=3&amp;year=2020&amp;apikey=ec9d29f143d5a1cf9ee6c5a2232736f9" TargetMode="External"/><Relationship Id="rId11" Type="http://schemas.openxmlformats.org/officeDocument/2006/relationships/hyperlink" Target="https://www.sec.gov/Archives/edgar/data/1318605/000156459021004599/tsla-10k_20201231.htm" TargetMode="External"/><Relationship Id="rId22" Type="http://schemas.openxmlformats.org/officeDocument/2006/relationships/vmlDrawing" Target="../drawings/vmlDrawing1.vml"/><Relationship Id="rId10" Type="http://schemas.openxmlformats.org/officeDocument/2006/relationships/hyperlink" Target="https://www.sec.gov/Archives/edgar/data/1318605/000156459021004599/0001564590-21-004599-index.htm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sec.gov/Archives/edgar/data/1318605/000156459020004475/tsla-10k_20191231.htm" TargetMode="External"/><Relationship Id="rId12" Type="http://schemas.openxmlformats.org/officeDocument/2006/relationships/hyperlink" Target="https://www.sec.gov/Archives/edgar/data/1318605/000156459020004475/0001564590-20-004475-index.ht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ec.gov/Archives/edgar/data/320193/000032019321000105/0000320193-21-000105-index.htm" TargetMode="External"/><Relationship Id="rId3" Type="http://schemas.openxmlformats.org/officeDocument/2006/relationships/hyperlink" Target="https://www.sec.gov/Archives/edgar/data/320193/000032019321000105/aapl-20210925.htm" TargetMode="External"/><Relationship Id="rId4" Type="http://schemas.openxmlformats.org/officeDocument/2006/relationships/hyperlink" Target="https://www.sec.gov/Archives/edgar/data/320193/000032019320000096/0000320193-20-000096-index.htm" TargetMode="External"/><Relationship Id="rId9" Type="http://schemas.openxmlformats.org/officeDocument/2006/relationships/hyperlink" Target="https://www.sec.gov/Archives/edgar/data/1318605/000095017022000796/tsla-20211231.htm" TargetMode="External"/><Relationship Id="rId15" Type="http://schemas.openxmlformats.org/officeDocument/2006/relationships/hyperlink" Target="https://www.sec.gov/Archives/edgar/data/1158895/000143774922004662/lmat20211231_10k.htm" TargetMode="External"/><Relationship Id="rId14" Type="http://schemas.openxmlformats.org/officeDocument/2006/relationships/hyperlink" Target="https://www.sec.gov/Archives/edgar/data/1158895/000143774922004662/0001437749-22-004662-index.htm" TargetMode="External"/><Relationship Id="rId17" Type="http://schemas.openxmlformats.org/officeDocument/2006/relationships/hyperlink" Target="https://www.sec.gov/Archives/edgar/data/1158895/000143774921005956/lmat20201231_10k.htm" TargetMode="External"/><Relationship Id="rId16" Type="http://schemas.openxmlformats.org/officeDocument/2006/relationships/hyperlink" Target="https://www.sec.gov/Archives/edgar/data/1158895/000143774921005956/0001437749-21-005956-index.htm" TargetMode="External"/><Relationship Id="rId5" Type="http://schemas.openxmlformats.org/officeDocument/2006/relationships/hyperlink" Target="https://www.sec.gov/Archives/edgar/data/320193/000032019320000096/aapl-20200926.htm" TargetMode="External"/><Relationship Id="rId19" Type="http://schemas.openxmlformats.org/officeDocument/2006/relationships/hyperlink" Target="https://www.sec.gov/Archives/edgar/data/1158895/000143774920004836/lmat20191231_10k.htm" TargetMode="External"/><Relationship Id="rId6" Type="http://schemas.openxmlformats.org/officeDocument/2006/relationships/hyperlink" Target="https://www.sec.gov/Archives/edgar/data/320193/000032019319000119/0000320193-19-000119-index.html" TargetMode="External"/><Relationship Id="rId18" Type="http://schemas.openxmlformats.org/officeDocument/2006/relationships/hyperlink" Target="https://www.sec.gov/Archives/edgar/data/1158895/000143774920004836/0001437749-20-004836-index.htm" TargetMode="External"/><Relationship Id="rId7" Type="http://schemas.openxmlformats.org/officeDocument/2006/relationships/hyperlink" Target="https://www.sec.gov/Archives/edgar/data/320193/000032019319000119/a10-k20199282019.htm" TargetMode="External"/><Relationship Id="rId8" Type="http://schemas.openxmlformats.org/officeDocument/2006/relationships/hyperlink" Target="https://www.sec.gov/Archives/edgar/data/1318605/000095017022000796/0000950170-22-000796-index.ht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13"/>
  </cols>
  <sheetData>
    <row r="1">
      <c r="C1" s="1" t="s">
        <v>0</v>
      </c>
    </row>
    <row r="2">
      <c r="A2" s="1" t="s">
        <v>1</v>
      </c>
      <c r="B2" s="2" t="str">
        <f>IFERROR(__xludf.DUMMYFUNCTION("GOOGLEFINANCE(A2,""name"")"),"LeMaitre Vascular Inc")</f>
        <v>LeMaitre Vascular Inc</v>
      </c>
    </row>
    <row r="3">
      <c r="A3" s="1" t="s">
        <v>2</v>
      </c>
      <c r="B3" s="2" t="str">
        <f>IFERROR(__xludf.DUMMYFUNCTION("GOOGLEFINANCE(A3,""name"")"),"ACI Worldwide Inc")</f>
        <v>ACI Worldwide Inc</v>
      </c>
    </row>
    <row r="4">
      <c r="A4" s="1" t="s">
        <v>3</v>
      </c>
      <c r="B4" s="2" t="str">
        <f>IFERROR(__xludf.DUMMYFUNCTION("GOOGLEFINANCE(A4,""name"")"),"Autodesk, Inc.")</f>
        <v>Autodesk, Inc.</v>
      </c>
    </row>
    <row r="5">
      <c r="A5" s="1" t="s">
        <v>4</v>
      </c>
      <c r="B5" s="2" t="str">
        <f>IFERROR(__xludf.DUMMYFUNCTION("GOOGLEFINANCE(A5,""name"")"),"American Woodmark Corporation")</f>
        <v>American Woodmark Corporation</v>
      </c>
    </row>
    <row r="6">
      <c r="A6" s="1" t="s">
        <v>5</v>
      </c>
      <c r="B6" s="2" t="str">
        <f>IFERROR(__xludf.DUMMYFUNCTION("GOOGLEFINANCE(A6,""name"")"),"ANSYS, Inc.")</f>
        <v>ANSYS, Inc.</v>
      </c>
    </row>
    <row r="7">
      <c r="A7" s="1" t="s">
        <v>6</v>
      </c>
      <c r="B7" s="2" t="str">
        <f>IFERROR(__xludf.DUMMYFUNCTION("GOOGLEFINANCE(A7,""name"")"),"Carter's, Inc.")</f>
        <v>Carter's, Inc.</v>
      </c>
    </row>
    <row r="8">
      <c r="A8" s="1" t="s">
        <v>7</v>
      </c>
      <c r="B8" s="2" t="str">
        <f>IFERROR(__xludf.DUMMYFUNCTION("GOOGLEFINANCE(A8,""name"")"),"Encore Capital Group, Inc.")</f>
        <v>Encore Capital Group, Inc.</v>
      </c>
    </row>
    <row r="9">
      <c r="A9" s="1" t="s">
        <v>8</v>
      </c>
      <c r="B9" s="2" t="str">
        <f>IFERROR(__xludf.DUMMYFUNCTION("GOOGLEFINANCE(A9,""name"")"),"Gap Inc")</f>
        <v>Gap Inc</v>
      </c>
    </row>
    <row r="10">
      <c r="A10" s="1" t="s">
        <v>9</v>
      </c>
      <c r="B10" s="2" t="str">
        <f>IFERROR(__xludf.DUMMYFUNCTION("GOOGLEFINANCE(A10,""name"")"),"Iridium Communications Inc")</f>
        <v>Iridium Communications Inc</v>
      </c>
    </row>
    <row r="11">
      <c r="A11" s="1" t="s">
        <v>10</v>
      </c>
      <c r="B11" s="2" t="str">
        <f>IFERROR(__xludf.DUMMYFUNCTION("GOOGLEFINANCE(A11,""name"")"),"#N/A")</f>
        <v>#N/A</v>
      </c>
    </row>
    <row r="12">
      <c r="A12" s="1" t="s">
        <v>11</v>
      </c>
      <c r="B12" s="2" t="str">
        <f>IFERROR(__xludf.DUMMYFUNCTION("GOOGLEFINANCE(A12,""name"")"),"Live Nation Entertainment, Inc.")</f>
        <v>Live Nation Entertainment, Inc.</v>
      </c>
    </row>
    <row r="13">
      <c r="A13" s="1" t="s">
        <v>12</v>
      </c>
      <c r="B13" s="2" t="str">
        <f>IFERROR(__xludf.DUMMYFUNCTION("GOOGLEFINANCE(A13,""name"")"),"Orion Group Holdings Inc")</f>
        <v>Orion Group Holdings Inc</v>
      </c>
    </row>
    <row r="14">
      <c r="A14" s="1" t="s">
        <v>13</v>
      </c>
      <c r="B14" s="2" t="str">
        <f>IFERROR(__xludf.DUMMYFUNCTION("GOOGLEFINANCE(A14,""name"")"),"Northwest Natural Holding Co")</f>
        <v>Northwest Natural Holding Co</v>
      </c>
    </row>
    <row r="15">
      <c r="A15" s="1" t="s">
        <v>14</v>
      </c>
      <c r="B15" s="2" t="str">
        <f>IFERROR(__xludf.DUMMYFUNCTION("GOOGLEFINANCE(A15,""name"")"),"#N/A")</f>
        <v>#N/A</v>
      </c>
    </row>
    <row r="16">
      <c r="A16" s="1" t="s">
        <v>15</v>
      </c>
      <c r="B16" s="2" t="str">
        <f>IFERROR(__xludf.DUMMYFUNCTION("GOOGLEFINANCE(A16,""name"")"),"South Jersey Industries Inc")</f>
        <v>South Jersey Industries Inc</v>
      </c>
    </row>
    <row r="17">
      <c r="A17" s="1" t="s">
        <v>16</v>
      </c>
      <c r="B17" s="2" t="str">
        <f>IFERROR(__xludf.DUMMYFUNCTION("GOOGLEFINANCE(A17,""name"")"),"Bill Identity Ltd")</f>
        <v>Bill Identity Ltd</v>
      </c>
    </row>
    <row r="18">
      <c r="A18" s="1" t="s">
        <v>17</v>
      </c>
      <c r="B18" s="2" t="str">
        <f>IFERROR(__xludf.DUMMYFUNCTION("GOOGLEFINANCE(A18,""name"")"),"Medadvisor Ltd")</f>
        <v>Medadvisor Ltd</v>
      </c>
    </row>
    <row r="19">
      <c r="A19" s="1" t="s">
        <v>18</v>
      </c>
      <c r="B19" s="2" t="str">
        <f>IFERROR(__xludf.DUMMYFUNCTION("GOOGLEFINANCE(A19,""name"")"),"Tredegar Corporation")</f>
        <v>Tredegar Corporation</v>
      </c>
    </row>
    <row r="20">
      <c r="A20" s="1" t="s">
        <v>19</v>
      </c>
      <c r="B20" s="2" t="str">
        <f>IFERROR(__xludf.DUMMYFUNCTION("GOOGLEFINANCE(A20,""name"")"),"AutoZone, Inc.")</f>
        <v>AutoZone, Inc.</v>
      </c>
    </row>
    <row r="21">
      <c r="A21" s="1" t="s">
        <v>20</v>
      </c>
      <c r="B21" s="2" t="str">
        <f>IFERROR(__xludf.DUMMYFUNCTION("GOOGLEFINANCE(A21,""name"")"),"Quanex Building Products Corporation")</f>
        <v>Quanex Building Products Corporation</v>
      </c>
    </row>
    <row r="22">
      <c r="A22" s="1" t="s">
        <v>21</v>
      </c>
      <c r="B22" s="2" t="str">
        <f>IFERROR(__xludf.DUMMYFUNCTION("GOOGLEFINANCE(A22,""name"")"),"Amedisys Inc")</f>
        <v>Amedisys Inc</v>
      </c>
    </row>
    <row r="23">
      <c r="A23" s="1" t="s">
        <v>22</v>
      </c>
      <c r="B23" s="2" t="str">
        <f>IFERROR(__xludf.DUMMYFUNCTION("GOOGLEFINANCE(A23,""name"")"),"Abercrombie &amp; Fitch Co.")</f>
        <v>Abercrombie &amp; Fitch Co.</v>
      </c>
    </row>
    <row r="24">
      <c r="A24" s="1" t="s">
        <v>23</v>
      </c>
      <c r="B24" s="2" t="str">
        <f>IFERROR(__xludf.DUMMYFUNCTION("GOOGLEFINANCE(A24,""name"")"),"EssilorLuxottica SA")</f>
        <v>EssilorLuxottica SA</v>
      </c>
    </row>
    <row r="25">
      <c r="A25" s="1" t="s">
        <v>24</v>
      </c>
      <c r="B25" s="2" t="str">
        <f>IFERROR(__xludf.DUMMYFUNCTION("GOOGLEFINANCE(A25,""name"")"),"Foot Locker, Inc.")</f>
        <v>Foot Locker, Inc.</v>
      </c>
    </row>
    <row r="26">
      <c r="A26" s="1" t="s">
        <v>25</v>
      </c>
      <c r="B26" s="2" t="str">
        <f>IFERROR(__xludf.DUMMYFUNCTION("GOOGLEFINANCE(A26,""name"")"),"Kopin Corporation")</f>
        <v>Kopin Corporation</v>
      </c>
    </row>
    <row r="27">
      <c r="A27" s="1" t="s">
        <v>26</v>
      </c>
      <c r="B27" s="2" t="str">
        <f>IFERROR(__xludf.DUMMYFUNCTION("GOOGLEFINANCE(A27,""name"")"),"Raven Property Group Ltd")</f>
        <v>Raven Property Group Ltd</v>
      </c>
    </row>
    <row r="28">
      <c r="A28" s="1" t="s">
        <v>27</v>
      </c>
      <c r="B28" s="2" t="str">
        <f>IFERROR(__xludf.DUMMYFUNCTION("GOOGLEFINANCE(A28,""name"")"),"Children's Place Inc")</f>
        <v>Children's Place Inc</v>
      </c>
    </row>
    <row r="29">
      <c r="A29" s="1" t="s">
        <v>28</v>
      </c>
      <c r="B29" s="2" t="str">
        <f>IFERROR(__xludf.DUMMYFUNCTION("GOOGLEFINANCE(A29,""name"")"),"Ulta Beauty Inc")</f>
        <v>Ulta Beauty Inc</v>
      </c>
    </row>
    <row r="30">
      <c r="A30" s="1" t="s">
        <v>29</v>
      </c>
      <c r="B30" s="2" t="str">
        <f>IFERROR(__xludf.DUMMYFUNCTION("GOOGLEFINANCE(A30,""name"")"),"Buckle Inc")</f>
        <v>Buckle Inc</v>
      </c>
    </row>
    <row r="31">
      <c r="A31" s="1" t="s">
        <v>30</v>
      </c>
      <c r="B31" s="2" t="str">
        <f>IFERROR(__xludf.DUMMYFUNCTION("GOOGLEFINANCE(A31,""name"")"),"Repligen Corporation")</f>
        <v>Repligen Corporation</v>
      </c>
    </row>
    <row r="32">
      <c r="A32" s="1" t="s">
        <v>31</v>
      </c>
      <c r="B32" s="2" t="str">
        <f>IFERROR(__xludf.DUMMYFUNCTION("GOOGLEFINANCE(A32,""name"")"),"DSW Capital PLC")</f>
        <v>DSW Capital PLC</v>
      </c>
    </row>
    <row r="33">
      <c r="A33" s="1" t="s">
        <v>32</v>
      </c>
      <c r="B33" s="2" t="str">
        <f>IFERROR(__xludf.DUMMYFUNCTION("GOOGLEFINANCE(A33,""name"")"),"FactSet Research Systems Inc.")</f>
        <v>FactSet Research Systems Inc.</v>
      </c>
    </row>
    <row r="34">
      <c r="A34" s="1" t="s">
        <v>33</v>
      </c>
      <c r="B34" s="2" t="str">
        <f>IFERROR(__xludf.DUMMYFUNCTION("GOOGLEFINANCE(A34,""name"")"),"G-III Apparel Group, Ltd.")</f>
        <v>G-III Apparel Group, Ltd.</v>
      </c>
    </row>
    <row r="35">
      <c r="A35" s="1" t="s">
        <v>34</v>
      </c>
      <c r="B35" s="2" t="str">
        <f>IFERROR(__xludf.DUMMYFUNCTION("GOOGLEFINANCE(A35,""name"")"),"Paychex, Inc.")</f>
        <v>Paychex, Inc.</v>
      </c>
    </row>
    <row r="36">
      <c r="A36" s="1" t="s">
        <v>35</v>
      </c>
      <c r="B36" s="2" t="str">
        <f>IFERROR(__xludf.DUMMYFUNCTION("GOOGLEFINANCE(A36,""name"")"),"REX American Resources Corp")</f>
        <v>REX American Resources Corp</v>
      </c>
    </row>
    <row r="37">
      <c r="A37" s="1" t="s">
        <v>36</v>
      </c>
      <c r="B37" s="2" t="str">
        <f>IFERROR(__xludf.DUMMYFUNCTION("GOOGLEFINANCE(A37,""name"")"),"Scholastic Corp")</f>
        <v>Scholastic Corp</v>
      </c>
    </row>
    <row r="38">
      <c r="A38" s="1" t="s">
        <v>37</v>
      </c>
      <c r="B38" s="2" t="str">
        <f>IFERROR(__xludf.DUMMYFUNCTION("GOOGLEFINANCE(A38,""name"")"),"Carnival Corp")</f>
        <v>Carnival Corp</v>
      </c>
    </row>
    <row r="39">
      <c r="A39" s="1" t="s">
        <v>38</v>
      </c>
      <c r="B39" s="2" t="str">
        <f>IFERROR(__xludf.DUMMYFUNCTION("GOOGLEFINANCE(A39,""name"")"),"Movado Group, Inc")</f>
        <v>Movado Group, Inc</v>
      </c>
    </row>
    <row r="40">
      <c r="A40" s="1" t="s">
        <v>39</v>
      </c>
      <c r="B40" s="2" t="str">
        <f>IFERROR(__xludf.DUMMYFUNCTION("GOOGLEFINANCE(A40,""name"")"),"Micron Technology, Inc.")</f>
        <v>Micron Technology, Inc.</v>
      </c>
    </row>
    <row r="41">
      <c r="A41" s="1" t="s">
        <v>40</v>
      </c>
      <c r="B41" s="2" t="str">
        <f>IFERROR(__xludf.DUMMYFUNCTION("GOOGLEFINANCE(A41,""name"")"),"#N/A")</f>
        <v>#N/A</v>
      </c>
    </row>
    <row r="42">
      <c r="A42" s="1" t="s">
        <v>41</v>
      </c>
      <c r="B42" s="2" t="str">
        <f>IFERROR(__xludf.DUMMYFUNCTION("GOOGLEFINANCE(A42,""name"")"),"Wells Fargo &amp; Co")</f>
        <v>Wells Fargo &amp; Co</v>
      </c>
    </row>
    <row r="43">
      <c r="A43" s="1" t="s">
        <v>42</v>
      </c>
      <c r="B43" s="2" t="str">
        <f>IFERROR(__xludf.DUMMYFUNCTION("GOOGLEFINANCE(A43,""name"")"),"Watsco Inc")</f>
        <v>Watsco Inc</v>
      </c>
    </row>
    <row r="44">
      <c r="A44" s="1" t="s">
        <v>43</v>
      </c>
      <c r="B44" s="2" t="str">
        <f>IFERROR(__xludf.DUMMYFUNCTION("GOOGLEFINANCE(A44,""name"")"),"Community Bank System, Inc.")</f>
        <v>Community Bank System, Inc.</v>
      </c>
    </row>
    <row r="45">
      <c r="A45" s="1" t="s">
        <v>44</v>
      </c>
      <c r="B45" s="2" t="str">
        <f>IFERROR(__xludf.DUMMYFUNCTION("GOOGLEFINANCE(A45,""name"")"),"Lennox International Inc.")</f>
        <v>Lennox International Inc.</v>
      </c>
    </row>
    <row r="46">
      <c r="A46" s="1" t="s">
        <v>45</v>
      </c>
      <c r="B46" s="2" t="str">
        <f>IFERROR(__xludf.DUMMYFUNCTION("GOOGLEFINANCE(A46,""name"")"),"Lam Research Corporation")</f>
        <v>Lam Research Corporation</v>
      </c>
    </row>
    <row r="47">
      <c r="A47" s="1" t="s">
        <v>46</v>
      </c>
      <c r="B47" s="2" t="str">
        <f>IFERROR(__xludf.DUMMYFUNCTION("GOOGLEFINANCE(A47,""name"")"),"Rambus Inc.")</f>
        <v>Rambus Inc.</v>
      </c>
    </row>
    <row r="48">
      <c r="A48" s="1" t="s">
        <v>47</v>
      </c>
      <c r="B48" s="2" t="str">
        <f>IFERROR(__xludf.DUMMYFUNCTION("GOOGLEFINANCE(A48,""name"")"),"Sanmina Corp")</f>
        <v>Sanmina Corp</v>
      </c>
    </row>
    <row r="49">
      <c r="A49" s="1" t="s">
        <v>48</v>
      </c>
      <c r="B49" s="2" t="str">
        <f>IFERROR(__xludf.DUMMYFUNCTION("GOOGLEFINANCE(A49,""name"")"),"Asbury Automotive Group, Inc.")</f>
        <v>Asbury Automotive Group, Inc.</v>
      </c>
    </row>
    <row r="50">
      <c r="A50" s="1" t="s">
        <v>49</v>
      </c>
      <c r="B50" s="2" t="str">
        <f>IFERROR(__xludf.DUMMYFUNCTION("GOOGLEFINANCE(A50,""name"")"),"Amgen, Inc.")</f>
        <v>Amgen, Inc.</v>
      </c>
    </row>
    <row r="51">
      <c r="A51" s="1" t="s">
        <v>50</v>
      </c>
      <c r="B51" s="2" t="str">
        <f>IFERROR(__xludf.DUMMYFUNCTION("GOOGLEFINANCE(A51,""name"")"),"Badger Meter, Inc.")</f>
        <v>Badger Meter, Inc.</v>
      </c>
    </row>
    <row r="52">
      <c r="A52" s="1" t="s">
        <v>51</v>
      </c>
      <c r="B52" s="2" t="str">
        <f>IFERROR(__xludf.DUMMYFUNCTION("GOOGLEFINANCE(A52,""name"")"),"Chipotle Mexican Grill, Inc.")</f>
        <v>Chipotle Mexican Grill, Inc.</v>
      </c>
    </row>
    <row r="53">
      <c r="A53" s="1" t="s">
        <v>52</v>
      </c>
      <c r="B53" s="2" t="str">
        <f>IFERROR(__xludf.DUMMYFUNCTION("GOOGLEFINANCE(A53,""name"")"),"Interactive Brokers Group, Inc.")</f>
        <v>Interactive Brokers Group, Inc.</v>
      </c>
    </row>
    <row r="54">
      <c r="A54" s="1" t="s">
        <v>53</v>
      </c>
      <c r="B54" s="2" t="str">
        <f>IFERROR(__xludf.DUMMYFUNCTION("GOOGLEFINANCE(A54,""name"")"),"Kimberly Clark Corp")</f>
        <v>Kimberly Clark Corp</v>
      </c>
    </row>
    <row r="55">
      <c r="A55" s="1" t="s">
        <v>54</v>
      </c>
      <c r="B55" s="2" t="str">
        <f>IFERROR(__xludf.DUMMYFUNCTION("GOOGLEFINANCE(A55,""name"")"),"Northern Trust Corporation")</f>
        <v>Northern Trust Corporation</v>
      </c>
    </row>
    <row r="56">
      <c r="A56" s="1" t="s">
        <v>55</v>
      </c>
      <c r="B56" s="2" t="str">
        <f>IFERROR(__xludf.DUMMYFUNCTION("GOOGLEFINANCE(A56,""name"")"),"Omnicom Group Inc.")</f>
        <v>Omnicom Group Inc.</v>
      </c>
    </row>
    <row r="57">
      <c r="A57" s="1" t="s">
        <v>56</v>
      </c>
      <c r="B57" s="2" t="str">
        <f>IFERROR(__xludf.DUMMYFUNCTION("GOOGLEFINANCE(A57,""name"")"),"Regions Financial Corp")</f>
        <v>Regions Financial Corp</v>
      </c>
    </row>
    <row r="58">
      <c r="A58" s="1" t="s">
        <v>57</v>
      </c>
      <c r="B58" s="2" t="str">
        <f>IFERROR(__xludf.DUMMYFUNCTION("GOOGLEFINANCE(A58,""name"")"),"Signature Bank")</f>
        <v>Signature Bank</v>
      </c>
    </row>
    <row r="59">
      <c r="A59" s="1" t="s">
        <v>58</v>
      </c>
      <c r="B59" s="2" t="str">
        <f>IFERROR(__xludf.DUMMYFUNCTION("GOOGLEFINANCE(A59,""name"")"),"S &amp; T Bancorp Inc")</f>
        <v>S &amp; T Bancorp Inc</v>
      </c>
    </row>
    <row r="60">
      <c r="A60" s="1" t="s">
        <v>59</v>
      </c>
      <c r="B60" s="2" t="str">
        <f>IFERROR(__xludf.DUMMYFUNCTION("GOOGLEFINANCE(A60,""name"")"),"Stryker Corporation")</f>
        <v>Stryker Corporation</v>
      </c>
    </row>
    <row r="61">
      <c r="A61" s="1" t="s">
        <v>60</v>
      </c>
      <c r="B61" s="2" t="str">
        <f>IFERROR(__xludf.DUMMYFUNCTION("GOOGLEFINANCE(A61,""name"")"),"AutoNation, Inc.")</f>
        <v>AutoNation, Inc.</v>
      </c>
    </row>
    <row r="62">
      <c r="A62" s="1" t="s">
        <v>61</v>
      </c>
      <c r="B62" s="2" t="str">
        <f>IFERROR(__xludf.DUMMYFUNCTION("GOOGLEFINANCE(A62,""name"")"),"AZZ Inc")</f>
        <v>AZZ Inc</v>
      </c>
    </row>
    <row r="63">
      <c r="A63" s="1" t="s">
        <v>62</v>
      </c>
      <c r="B63" s="2" t="str">
        <f>IFERROR(__xludf.DUMMYFUNCTION("GOOGLEFINANCE(A63,""name"")"),"Boeing Co")</f>
        <v>Boeing Co</v>
      </c>
    </row>
    <row r="64">
      <c r="A64" s="1" t="s">
        <v>63</v>
      </c>
      <c r="B64" s="2" t="str">
        <f>IFERROR(__xludf.DUMMYFUNCTION("GOOGLEFINANCE(A64,""name"")"),"Cathay General Bancorp")</f>
        <v>Cathay General Bancorp</v>
      </c>
    </row>
    <row r="65">
      <c r="A65" s="1" t="s">
        <v>64</v>
      </c>
      <c r="B65" s="2" t="str">
        <f>IFERROR(__xludf.DUMMYFUNCTION("GOOGLEFINANCE(A65,""name"")"),"Clearwater Paper Corp")</f>
        <v>Clearwater Paper Corp</v>
      </c>
    </row>
    <row r="66">
      <c r="A66" s="1" t="s">
        <v>65</v>
      </c>
      <c r="B66" s="2" t="str">
        <f>IFERROR(__xludf.DUMMYFUNCTION("GOOGLEFINANCE(A66,""name"")"),"Exponent, Inc.")</f>
        <v>Exponent, Inc.</v>
      </c>
    </row>
    <row r="67">
      <c r="A67" s="1" t="s">
        <v>66</v>
      </c>
      <c r="B67" s="2" t="str">
        <f>IFERROR(__xludf.DUMMYFUNCTION("GOOGLEFINANCE(A67,""name"")"),"Lithia Motors Inc")</f>
        <v>Lithia Motors Inc</v>
      </c>
    </row>
    <row r="68">
      <c r="A68" s="1" t="s">
        <v>67</v>
      </c>
      <c r="B68" s="2" t="str">
        <f>IFERROR(__xludf.DUMMYFUNCTION("GOOGLEFINANCE(A68,""name"")"),"Monolithic Power Systems, Inc.")</f>
        <v>Monolithic Power Systems, Inc.</v>
      </c>
    </row>
    <row r="69">
      <c r="A69" s="1" t="s">
        <v>68</v>
      </c>
      <c r="B69" s="2" t="str">
        <f>IFERROR(__xludf.DUMMYFUNCTION("GOOGLEFINANCE(A69,""name"")"),"Potlatchdeltic Corp")</f>
        <v>Potlatchdeltic Corp</v>
      </c>
    </row>
    <row r="70">
      <c r="A70" s="1" t="s">
        <v>69</v>
      </c>
      <c r="B70" s="2" t="str">
        <f>IFERROR(__xludf.DUMMYFUNCTION("GOOGLEFINANCE(A70,""name"")"),"Ryder System, Inc.")</f>
        <v>Ryder System, Inc.</v>
      </c>
    </row>
    <row r="71">
      <c r="A71" s="1" t="s">
        <v>70</v>
      </c>
      <c r="B71" s="2" t="str">
        <f>IFERROR(__xludf.DUMMYFUNCTION("GOOGLEFINANCE(A71,""name"")"),"SEI Investments Company")</f>
        <v>SEI Investments Company</v>
      </c>
    </row>
    <row r="72">
      <c r="A72" s="1" t="s">
        <v>71</v>
      </c>
      <c r="B72" s="2" t="str">
        <f>IFERROR(__xludf.DUMMYFUNCTION("GOOGLEFINANCE(A72,""name"")"),"Sleep Number Corp")</f>
        <v>Sleep Number Corp</v>
      </c>
    </row>
    <row r="73">
      <c r="A73" s="1" t="s">
        <v>72</v>
      </c>
      <c r="B73" s="2" t="str">
        <f>IFERROR(__xludf.DUMMYFUNCTION("GOOGLEFINANCE(A73,""name"")"),"Thermo Fisher Scientific Inc.")</f>
        <v>Thermo Fisher Scientific Inc.</v>
      </c>
    </row>
    <row r="74">
      <c r="A74" s="1" t="s">
        <v>73</v>
      </c>
      <c r="B74" s="2" t="str">
        <f>IFERROR(__xludf.DUMMYFUNCTION("GOOGLEFINANCE(A74,""name"")"),"Tupperware Brands Corporation")</f>
        <v>Tupperware Brands Corporation</v>
      </c>
    </row>
    <row r="75">
      <c r="A75" s="1" t="s">
        <v>74</v>
      </c>
      <c r="B75" s="2" t="str">
        <f>IFERROR(__xludf.DUMMYFUNCTION("GOOGLEFINANCE(A75,""name"")"),"Xilinx Ord Shs")</f>
        <v>Xilinx Ord Shs</v>
      </c>
    </row>
    <row r="76">
      <c r="A76" s="1" t="s">
        <v>75</v>
      </c>
      <c r="B76" s="2" t="str">
        <f>IFERROR(__xludf.DUMMYFUNCTION("GOOGLEFINANCE(A76,""name"")"),"Adtalem Global Education Inc")</f>
        <v>Adtalem Global Education Inc</v>
      </c>
    </row>
    <row r="77">
      <c r="A77" s="1" t="s">
        <v>76</v>
      </c>
      <c r="B77" s="2" t="str">
        <f>IFERROR(__xludf.DUMMYFUNCTION("GOOGLEFINANCE(A77,""name"")"),"Avnet, Inc.")</f>
        <v>Avnet, Inc.</v>
      </c>
    </row>
    <row r="78">
      <c r="A78" s="1" t="s">
        <v>77</v>
      </c>
      <c r="B78" s="2" t="str">
        <f>IFERROR(__xludf.DUMMYFUNCTION("GOOGLEFINANCE(A78,""name"")"),"Bluebet Holdings Ltd")</f>
        <v>Bluebet Holdings Ltd</v>
      </c>
    </row>
    <row r="79">
      <c r="A79" s="1" t="s">
        <v>78</v>
      </c>
      <c r="B79" s="2" t="str">
        <f>IFERROR(__xludf.DUMMYFUNCTION("GOOGLEFINANCE(A79,""name"")"),"CMS Energy Corporation")</f>
        <v>CMS Energy Corporation</v>
      </c>
    </row>
    <row r="80">
      <c r="A80" s="1" t="s">
        <v>79</v>
      </c>
      <c r="B80" s="2" t="str">
        <f>IFERROR(__xludf.DUMMYFUNCTION("GOOGLEFINANCE(A80,""name"")"),"Coles Group Ltd")</f>
        <v>Coles Group Ltd</v>
      </c>
    </row>
    <row r="81">
      <c r="A81" s="1" t="s">
        <v>80</v>
      </c>
      <c r="B81" s="2" t="str">
        <f>IFERROR(__xludf.DUMMYFUNCTION("GOOGLEFINANCE(A81,""name"")"),"Dana Inc")</f>
        <v>Dana Inc</v>
      </c>
    </row>
    <row r="82">
      <c r="A82" s="1" t="s">
        <v>81</v>
      </c>
      <c r="B82" s="2" t="str">
        <f>IFERROR(__xludf.DUMMYFUNCTION("GOOGLEFINANCE(A82,""name"")"),"#N/A")</f>
        <v>#N/A</v>
      </c>
    </row>
    <row r="83">
      <c r="A83" s="1" t="s">
        <v>82</v>
      </c>
      <c r="B83" s="2" t="str">
        <f>IFERROR(__xludf.DUMMYFUNCTION("GOOGLEFINANCE(A83,""name"")"),"First American Financial Corp")</f>
        <v>First American Financial Corp</v>
      </c>
    </row>
    <row r="84">
      <c r="A84" s="1" t="s">
        <v>83</v>
      </c>
      <c r="B84" s="2" t="str">
        <f>IFERROR(__xludf.DUMMYFUNCTION("GOOGLEFINANCE(A84,""name"")"),"Greenhill &amp; Co., Inc.")</f>
        <v>Greenhill &amp; Co., Inc.</v>
      </c>
    </row>
    <row r="85">
      <c r="A85" s="1" t="s">
        <v>84</v>
      </c>
      <c r="B85" s="2" t="str">
        <f>IFERROR(__xludf.DUMMYFUNCTION("GOOGLEFINANCE(A85,""name"")"),"Hanmi Financial Corp")</f>
        <v>Hanmi Financial Corp</v>
      </c>
    </row>
    <row r="86">
      <c r="A86" s="1" t="s">
        <v>85</v>
      </c>
      <c r="B86" s="2" t="str">
        <f>IFERROR(__xludf.DUMMYFUNCTION("GOOGLEFINANCE(A86,""name"")"),"Hershey Co")</f>
        <v>Hershey Co</v>
      </c>
    </row>
    <row r="87">
      <c r="A87" s="1" t="s">
        <v>86</v>
      </c>
      <c r="B87" s="2" t="str">
        <f>IFERROR(__xludf.DUMMYFUNCTION("GOOGLEFINANCE(A87,""name"")"),"MarineMax Inc")</f>
        <v>MarineMax Inc</v>
      </c>
    </row>
    <row r="88">
      <c r="A88" s="1" t="s">
        <v>87</v>
      </c>
      <c r="B88" s="2" t="str">
        <f>IFERROR(__xludf.DUMMYFUNCTION("GOOGLEFINANCE(A88,""name"")"),"Juniper Networks, Inc.")</f>
        <v>Juniper Networks, Inc.</v>
      </c>
    </row>
    <row r="89">
      <c r="A89" s="1" t="s">
        <v>88</v>
      </c>
      <c r="B89" s="2" t="str">
        <f>IFERROR(__xludf.DUMMYFUNCTION("GOOGLEFINANCE(A89,""name"")"),"Landstar System, Inc.")</f>
        <v>Landstar System, Inc.</v>
      </c>
    </row>
    <row r="90">
      <c r="A90" s="1" t="s">
        <v>89</v>
      </c>
      <c r="B90" s="2" t="str">
        <f>IFERROR(__xludf.DUMMYFUNCTION("GOOGLEFINANCE(A90,""name"")"),"Medexus Pharmaceuticals Inc")</f>
        <v>Medexus Pharmaceuticals Inc</v>
      </c>
    </row>
    <row r="91">
      <c r="A91" s="1" t="s">
        <v>90</v>
      </c>
      <c r="B91" s="2" t="str">
        <f>IFERROR(__xludf.DUMMYFUNCTION("GOOGLEFINANCE(A91,""name"")"),"Microsoft Corporation")</f>
        <v>Microsoft Corporation</v>
      </c>
    </row>
    <row r="92">
      <c r="A92" s="1" t="s">
        <v>91</v>
      </c>
      <c r="B92" s="2" t="str">
        <f>IFERROR(__xludf.DUMMYFUNCTION("GOOGLEFINANCE(A92,""name"")"),"Meritage Homes Corp")</f>
        <v>Meritage Homes Corp</v>
      </c>
    </row>
    <row r="93">
      <c r="A93" s="1" t="s">
        <v>92</v>
      </c>
      <c r="B93" s="2" t="str">
        <f>IFERROR(__xludf.DUMMYFUNCTION("GOOGLEFINANCE(A93,""name"")"),"NetGear, Inc.")</f>
        <v>NetGear, Inc.</v>
      </c>
    </row>
    <row r="94">
      <c r="A94" s="1" t="s">
        <v>93</v>
      </c>
      <c r="B94" s="2" t="str">
        <f>IFERROR(__xludf.DUMMYFUNCTION("GOOGLEFINANCE(A94,""name"")"),"Nucor Corporation")</f>
        <v>Nucor Corporation</v>
      </c>
    </row>
    <row r="95">
      <c r="A95" s="1" t="s">
        <v>94</v>
      </c>
      <c r="B95" s="2" t="str">
        <f>IFERROR(__xludf.DUMMYFUNCTION("GOOGLEFINANCE(A95,""name"")"),"Polaris Inc")</f>
        <v>Polaris Inc</v>
      </c>
    </row>
    <row r="96">
      <c r="A96" s="1" t="s">
        <v>95</v>
      </c>
      <c r="B96" s="2" t="str">
        <f>IFERROR(__xludf.DUMMYFUNCTION("GOOGLEFINANCE(A96,""name"")"),"Pool Corporation")</f>
        <v>Pool Corporation</v>
      </c>
    </row>
    <row r="97">
      <c r="A97" s="1" t="s">
        <v>96</v>
      </c>
      <c r="B97" s="2" t="str">
        <f>IFERROR(__xludf.DUMMYFUNCTION("GOOGLEFINANCE(A97,""name"")"),"Patterson-UTI Energy, Inc.")</f>
        <v>Patterson-UTI Energy, Inc.</v>
      </c>
    </row>
    <row r="98">
      <c r="A98" s="1" t="s">
        <v>97</v>
      </c>
      <c r="B98" s="2" t="str">
        <f>IFERROR(__xludf.DUMMYFUNCTION("GOOGLEFINANCE(A98,""name"")"),"ResMed Inc.")</f>
        <v>ResMed Inc.</v>
      </c>
    </row>
    <row r="99">
      <c r="A99" s="1" t="s">
        <v>98</v>
      </c>
      <c r="B99" s="2" t="str">
        <f>IFERROR(__xludf.DUMMYFUNCTION("GOOGLEFINANCE(A99,""name"")"),"Simmons First National Corporation")</f>
        <v>Simmons First National Corporation</v>
      </c>
    </row>
    <row r="100">
      <c r="A100" s="1" t="s">
        <v>99</v>
      </c>
      <c r="B100" s="2" t="str">
        <f>IFERROR(__xludf.DUMMYFUNCTION("GOOGLEFINANCE(A100,""name"")"),"#N/A")</f>
        <v>#N/A</v>
      </c>
    </row>
    <row r="101">
      <c r="A101" s="1" t="s">
        <v>100</v>
      </c>
      <c r="B101" s="2" t="str">
        <f>IFERROR(__xludf.DUMMYFUNCTION("GOOGLEFINANCE(A101,""name"")"),"Stericycle Inc")</f>
        <v>Stericycle Inc</v>
      </c>
    </row>
    <row r="102">
      <c r="A102" s="1" t="s">
        <v>101</v>
      </c>
      <c r="B102" s="2" t="str">
        <f>IFERROR(__xludf.DUMMYFUNCTION("GOOGLEFINANCE(A102,""name"")"),"Trueblue Inc")</f>
        <v>Trueblue Inc</v>
      </c>
    </row>
    <row r="103">
      <c r="A103" s="1" t="s">
        <v>102</v>
      </c>
      <c r="B103" s="2" t="str">
        <f>IFERROR(__xludf.DUMMYFUNCTION("GOOGLEFINANCE(A103,""name"")"),"United Airlines Holdings Inc")</f>
        <v>United Airlines Holdings Inc</v>
      </c>
    </row>
    <row r="104">
      <c r="A104" s="1" t="s">
        <v>103</v>
      </c>
      <c r="B104" s="2" t="str">
        <f>IFERROR(__xludf.DUMMYFUNCTION("GOOGLEFINANCE(A104,""name"")"),"Unifi, Inc.")</f>
        <v>Unifi, Inc.</v>
      </c>
    </row>
    <row r="105">
      <c r="A105" s="1" t="s">
        <v>104</v>
      </c>
      <c r="B105" s="2" t="str">
        <f>IFERROR(__xludf.DUMMYFUNCTION("GOOGLEFINANCE(A105,""name"")"),"Provident Financial Services, Inc.")</f>
        <v>Provident Financial Services, Inc.</v>
      </c>
    </row>
    <row r="106">
      <c r="A106" s="1" t="s">
        <v>105</v>
      </c>
      <c r="B106" s="2" t="str">
        <f>IFERROR(__xludf.DUMMYFUNCTION("GOOGLEFINANCE(A106,""name"")"),"Simon Property Group Inc")</f>
        <v>Simon Property Group Inc</v>
      </c>
    </row>
    <row r="107">
      <c r="A107" s="1" t="s">
        <v>106</v>
      </c>
      <c r="B107" s="2" t="str">
        <f>IFERROR(__xludf.DUMMYFUNCTION("GOOGLEFINANCE(A107,""name"")"),"Xerox Holdings Corp")</f>
        <v>Xerox Holdings Corp</v>
      </c>
    </row>
    <row r="108">
      <c r="A108" s="1" t="s">
        <v>107</v>
      </c>
      <c r="B108" s="2" t="str">
        <f>IFERROR(__xludf.DUMMYFUNCTION("GOOGLEFINANCE(A108,""name"")"),"OSI Systems, Inc.")</f>
        <v>OSI Systems, Inc.</v>
      </c>
    </row>
    <row r="109">
      <c r="A109" s="1" t="s">
        <v>108</v>
      </c>
      <c r="B109" s="2" t="str">
        <f>IFERROR(__xludf.DUMMYFUNCTION("GOOGLEFINANCE(A109,""name"")"),"Roper Technologies Inc")</f>
        <v>Roper Technologies Inc</v>
      </c>
    </row>
    <row r="110">
      <c r="A110" s="1" t="s">
        <v>109</v>
      </c>
      <c r="B110" s="2" t="str">
        <f>IFERROR(__xludf.DUMMYFUNCTION("GOOGLEFINANCE(A110,""name"")"),"W R Berkley Corp")</f>
        <v>W R Berkley Corp</v>
      </c>
    </row>
    <row r="111">
      <c r="A111" s="1" t="s">
        <v>110</v>
      </c>
      <c r="B111" s="2" t="str">
        <f>IFERROR(__xludf.DUMMYFUNCTION("GOOGLEFINANCE(A111,""name"")"),"Afentra PLC")</f>
        <v>Afentra PLC</v>
      </c>
    </row>
    <row r="112">
      <c r="A112" s="1" t="s">
        <v>111</v>
      </c>
      <c r="B112" s="2" t="str">
        <f>IFERROR(__xludf.DUMMYFUNCTION("GOOGLEFINANCE(A112,""name"")"),"Akamai Technologies, Inc.")</f>
        <v>Akamai Technologies, Inc.</v>
      </c>
    </row>
    <row r="113">
      <c r="A113" s="1" t="s">
        <v>112</v>
      </c>
      <c r="B113" s="2" t="str">
        <f>IFERROR(__xludf.DUMMYFUNCTION("GOOGLEFINANCE(A113,""name"")"),"Big 5 Sporting Goods Corporation")</f>
        <v>Big 5 Sporting Goods Corporation</v>
      </c>
    </row>
    <row r="114">
      <c r="A114" s="1" t="s">
        <v>113</v>
      </c>
      <c r="B114" s="2" t="str">
        <f>IFERROR(__xludf.DUMMYFUNCTION("GOOGLEFINANCE(A114,""name"")"),"CIRCOR International, Inc.")</f>
        <v>CIRCOR International, Inc.</v>
      </c>
    </row>
    <row r="115">
      <c r="A115" s="1" t="s">
        <v>114</v>
      </c>
      <c r="B115" s="2" t="str">
        <f>IFERROR(__xludf.DUMMYFUNCTION("GOOGLEFINANCE(A115,""name"")"),"Centene Corp")</f>
        <v>Centene Corp</v>
      </c>
    </row>
    <row r="116">
      <c r="A116" s="1" t="s">
        <v>115</v>
      </c>
      <c r="B116" s="2" t="str">
        <f>IFERROR(__xludf.DUMMYFUNCTION("GOOGLEFINANCE(A116,""name"")"),"Cirrus Logic, Inc.")</f>
        <v>Cirrus Logic, Inc.</v>
      </c>
    </row>
    <row r="117">
      <c r="A117" s="1" t="s">
        <v>116</v>
      </c>
      <c r="B117" s="2" t="str">
        <f>IFERROR(__xludf.DUMMYFUNCTION("GOOGLEFINANCE(A117,""name"")"),"EPR Properties")</f>
        <v>EPR Properties</v>
      </c>
    </row>
    <row r="118">
      <c r="A118" s="1" t="s">
        <v>117</v>
      </c>
      <c r="B118" s="2" t="str">
        <f>IFERROR(__xludf.DUMMYFUNCTION("GOOGLEFINANCE(A118,""name"")"),"Helen of Troy Limited")</f>
        <v>Helen of Troy Limited</v>
      </c>
    </row>
    <row r="119">
      <c r="A119" s="1" t="s">
        <v>118</v>
      </c>
      <c r="B119" s="2" t="str">
        <f>IFERROR(__xludf.DUMMYFUNCTION("GOOGLEFINANCE(A119,""name"")"),"Harmonic Inc")</f>
        <v>Harmonic Inc</v>
      </c>
    </row>
    <row r="120">
      <c r="A120" s="1" t="s">
        <v>119</v>
      </c>
      <c r="B120" s="2" t="str">
        <f>IFERROR(__xludf.DUMMYFUNCTION("GOOGLEFINANCE(A120,""name"")"),"IDEXX Laboratories, Inc.")</f>
        <v>IDEXX Laboratories, Inc.</v>
      </c>
    </row>
    <row r="121">
      <c r="A121" s="1" t="s">
        <v>120</v>
      </c>
      <c r="B121" s="2" t="str">
        <f>IFERROR(__xludf.DUMMYFUNCTION("GOOGLEFINANCE(A121,""name"")"),"II-VI, Inc.")</f>
        <v>II-VI, Inc.</v>
      </c>
    </row>
    <row r="122">
      <c r="A122" s="1" t="s">
        <v>121</v>
      </c>
      <c r="B122" s="2" t="str">
        <f>IFERROR(__xludf.DUMMYFUNCTION("GOOGLEFINANCE(A122,""name"")"),"#N/A")</f>
        <v>#N/A</v>
      </c>
    </row>
    <row r="123">
      <c r="A123" s="1" t="s">
        <v>122</v>
      </c>
      <c r="B123" s="2" t="str">
        <f>IFERROR(__xludf.DUMMYFUNCTION("GOOGLEFINANCE(A123,""name"")"),"Masco Corp")</f>
        <v>Masco Corp</v>
      </c>
    </row>
    <row r="124">
      <c r="A124" s="1" t="s">
        <v>123</v>
      </c>
      <c r="B124" s="2" t="str">
        <f>IFERROR(__xludf.DUMMYFUNCTION("GOOGLEFINANCE(A124,""name"")"),"Mercury Systems Inc")</f>
        <v>Mercury Systems Inc</v>
      </c>
    </row>
    <row r="125">
      <c r="A125" s="1" t="s">
        <v>124</v>
      </c>
      <c r="B125" s="2" t="str">
        <f>IFERROR(__xludf.DUMMYFUNCTION("GOOGLEFINANCE(A125,""name"")"),"MicroStrategy Incorporated")</f>
        <v>MicroStrategy Incorporated</v>
      </c>
    </row>
    <row r="126">
      <c r="A126" s="1" t="s">
        <v>125</v>
      </c>
      <c r="B126" s="2" t="str">
        <f>IFERROR(__xludf.DUMMYFUNCTION("GOOGLEFINANCE(A126,""name"")"),"National Instruments Corp")</f>
        <v>National Instruments Corp</v>
      </c>
    </row>
    <row r="127">
      <c r="A127" s="1" t="s">
        <v>126</v>
      </c>
      <c r="B127" s="2" t="str">
        <f>IFERROR(__xludf.DUMMYFUNCTION("GOOGLEFINANCE(A127,""name"")"),"Nov Inc")</f>
        <v>Nov Inc</v>
      </c>
    </row>
    <row r="128">
      <c r="A128" s="1" t="s">
        <v>127</v>
      </c>
      <c r="B128" s="2" t="str">
        <f>IFERROR(__xludf.DUMMYFUNCTION("GOOGLEFINANCE(A128,""name"")"),"Owens &amp; Minor, Inc.")</f>
        <v>Owens &amp; Minor, Inc.</v>
      </c>
    </row>
    <row r="129">
      <c r="A129" s="1" t="s">
        <v>128</v>
      </c>
      <c r="B129" s="2" t="str">
        <f>IFERROR(__xludf.DUMMYFUNCTION("GOOGLEFINANCE(A129,""name"")"),"Western Digital Corp")</f>
        <v>Western Digital Corp</v>
      </c>
    </row>
    <row r="130">
      <c r="A130" s="1" t="s">
        <v>129</v>
      </c>
      <c r="B130" s="2" t="str">
        <f>IFERROR(__xludf.DUMMYFUNCTION("GOOGLEFINANCE(A130,""name"")"),"Wolverine World Wide, Inc.")</f>
        <v>Wolverine World Wide, Inc.</v>
      </c>
    </row>
    <row r="131">
      <c r="A131" s="1" t="s">
        <v>130</v>
      </c>
      <c r="B131" s="2" t="str">
        <f>IFERROR(__xludf.DUMMYFUNCTION("GOOGLEFINANCE(A131,""name"")"),"#N/A")</f>
        <v>#N/A</v>
      </c>
    </row>
    <row r="132">
      <c r="A132" s="1" t="s">
        <v>21</v>
      </c>
      <c r="B132" s="2" t="str">
        <f>IFERROR(__xludf.DUMMYFUNCTION("GOOGLEFINANCE(A132,""name"")"),"Amedisys Inc")</f>
        <v>Amedisys Inc</v>
      </c>
    </row>
    <row r="133">
      <c r="A133" s="1" t="s">
        <v>131</v>
      </c>
      <c r="B133" s="2" t="str">
        <f>IFERROR(__xludf.DUMMYFUNCTION("GOOGLEFINANCE(A133,""name"")"),"ASGN Inc")</f>
        <v>ASGN Inc</v>
      </c>
    </row>
    <row r="134">
      <c r="A134" s="1" t="s">
        <v>132</v>
      </c>
      <c r="B134" s="2" t="str">
        <f>IFERROR(__xludf.DUMMYFUNCTION("GOOGLEFINANCE(A134,""name"")"),"Franklin Resources, Inc.")</f>
        <v>Franklin Resources, Inc.</v>
      </c>
    </row>
    <row r="135">
      <c r="A135" s="1" t="s">
        <v>133</v>
      </c>
      <c r="B135" s="2" t="str">
        <f>IFERROR(__xludf.DUMMYFUNCTION("GOOGLEFINANCE(A135,""name"")"),"Cullen/Frost Bankers, Inc.")</f>
        <v>Cullen/Frost Bankers, Inc.</v>
      </c>
    </row>
    <row r="136">
      <c r="A136" s="1" t="s">
        <v>133</v>
      </c>
      <c r="B136" s="2" t="str">
        <f>IFERROR(__xludf.DUMMYFUNCTION("GOOGLEFINANCE(A136,""name"")"),"Cullen/Frost Bankers, Inc.")</f>
        <v>Cullen/Frost Bankers, Inc.</v>
      </c>
    </row>
    <row r="137">
      <c r="A137" s="1" t="s">
        <v>134</v>
      </c>
      <c r="B137" s="2" t="str">
        <f>IFERROR(__xludf.DUMMYFUNCTION("GOOGLEFINANCE(A137,""name"")"),"Equinix Inc")</f>
        <v>Equinix Inc</v>
      </c>
    </row>
    <row r="138">
      <c r="A138" s="1" t="s">
        <v>135</v>
      </c>
      <c r="B138" s="2" t="str">
        <f>IFERROR(__xludf.DUMMYFUNCTION("GOOGLEFINANCE(A138,""name"")"),"Green Plains Inc")</f>
        <v>Green Plains Inc</v>
      </c>
    </row>
    <row r="139">
      <c r="A139" s="1" t="s">
        <v>136</v>
      </c>
      <c r="B139" s="2" t="str">
        <f>IFERROR(__xludf.DUMMYFUNCTION("GOOGLEFINANCE(A139,""name"")"),"#N/A")</f>
        <v>#N/A</v>
      </c>
    </row>
    <row r="140">
      <c r="A140" s="1" t="s">
        <v>137</v>
      </c>
      <c r="B140" s="2" t="str">
        <f>IFERROR(__xludf.DUMMYFUNCTION("GOOGLEFINANCE(A140,""name"")"),"Ll Flooring Holdings Inc")</f>
        <v>Ll Flooring Holdings Inc</v>
      </c>
    </row>
    <row r="141">
      <c r="A141" s="1" t="s">
        <v>138</v>
      </c>
      <c r="B141" s="2" t="str">
        <f>IFERROR(__xludf.DUMMYFUNCTION("GOOGLEFINANCE(A141,""name"")"),"Northrop Grumman Corporation")</f>
        <v>Northrop Grumman Corporation</v>
      </c>
    </row>
    <row r="142">
      <c r="A142" s="1" t="s">
        <v>139</v>
      </c>
      <c r="B142" s="2" t="str">
        <f>IFERROR(__xludf.DUMMYFUNCTION("GOOGLEFINANCE(A142,""name"")"),"Park Aerospace Corp")</f>
        <v>Park Aerospace Corp</v>
      </c>
    </row>
    <row r="143">
      <c r="A143" s="1" t="s">
        <v>140</v>
      </c>
      <c r="B143" s="2" t="str">
        <f>IFERROR(__xludf.DUMMYFUNCTION("GOOGLEFINANCE(A143,""name"")"),"P10 Inc")</f>
        <v>P10 Inc</v>
      </c>
    </row>
    <row r="144">
      <c r="A144" s="1" t="s">
        <v>141</v>
      </c>
      <c r="B144" s="2" t="str">
        <f>IFERROR(__xludf.DUMMYFUNCTION("GOOGLEFINANCE(A144,""name"")"),"AmerisourceBergen Corp.")</f>
        <v>AmerisourceBergen Corp.</v>
      </c>
    </row>
    <row r="145">
      <c r="A145" s="1" t="s">
        <v>142</v>
      </c>
      <c r="B145" s="2" t="str">
        <f>IFERROR(__xludf.DUMMYFUNCTION("GOOGLEFINANCE(A145,""name"")"),"Air Products &amp; Chemicals, Inc.")</f>
        <v>Air Products &amp; Chemicals, Inc.</v>
      </c>
    </row>
    <row r="146">
      <c r="A146" s="1" t="s">
        <v>143</v>
      </c>
      <c r="B146" s="2" t="str">
        <f>IFERROR(__xludf.DUMMYFUNCTION("GOOGLEFINANCE(A146,""name"")"),"Arrow Electronics, Inc.")</f>
        <v>Arrow Electronics, Inc.</v>
      </c>
    </row>
    <row r="147">
      <c r="A147" s="1" t="s">
        <v>144</v>
      </c>
      <c r="B147" s="2" t="str">
        <f>IFERROR(__xludf.DUMMYFUNCTION("GOOGLEFINANCE(A147,""name"")"),"#N/A")</f>
        <v>#N/A</v>
      </c>
    </row>
    <row r="148">
      <c r="A148" s="1" t="s">
        <v>145</v>
      </c>
      <c r="B148" s="2" t="str">
        <f>IFERROR(__xludf.DUMMYFUNCTION("GOOGLEFINANCE(A148,""name"")"),"ConocoPhillips")</f>
        <v>ConocoPhillips</v>
      </c>
    </row>
    <row r="149">
      <c r="A149" s="1" t="s">
        <v>146</v>
      </c>
      <c r="B149" s="2" t="str">
        <f>IFERROR(__xludf.DUMMYFUNCTION("GOOGLEFINANCE(A149,""name"")"),"Critical Resources Ltd")</f>
        <v>Critical Resources Ltd</v>
      </c>
    </row>
    <row r="150">
      <c r="A150" s="1" t="s">
        <v>147</v>
      </c>
      <c r="B150" s="2" t="str">
        <f>IFERROR(__xludf.DUMMYFUNCTION("GOOGLEFINANCE(A150,""name"")"),"Cytokinetics, Inc.")</f>
        <v>Cytokinetics, Inc.</v>
      </c>
    </row>
    <row r="151">
      <c r="A151" s="1" t="s">
        <v>148</v>
      </c>
      <c r="B151" s="2" t="str">
        <f>IFERROR(__xludf.DUMMYFUNCTION("GOOGLEFINANCE(A151,""name"")"),"Federal Signal Corporation")</f>
        <v>Federal Signal Corporation</v>
      </c>
    </row>
    <row r="152">
      <c r="A152" s="1" t="s">
        <v>149</v>
      </c>
      <c r="B152" s="2" t="str">
        <f>IFERROR(__xludf.DUMMYFUNCTION("GOOGLEFINANCE(A152,""name"")"),"Geo Group Inc")</f>
        <v>Geo Group Inc</v>
      </c>
    </row>
    <row r="153">
      <c r="A153" s="1" t="s">
        <v>150</v>
      </c>
      <c r="B153" s="2" t="str">
        <f>IFERROR(__xludf.DUMMYFUNCTION("GOOGLEFINANCE(A153,""name"")"),"Host Hotels and Resorts Inc")</f>
        <v>Host Hotels and Resorts Inc</v>
      </c>
    </row>
    <row r="154">
      <c r="A154" s="1" t="s">
        <v>151</v>
      </c>
      <c r="B154" s="2" t="str">
        <f>IFERROR(__xludf.DUMMYFUNCTION("GOOGLEFINANCE(A154,""name"")"),"Incyte Corporation")</f>
        <v>Incyte Corporation</v>
      </c>
    </row>
    <row r="155">
      <c r="A155" s="1" t="s">
        <v>152</v>
      </c>
      <c r="B155" s="2" t="str">
        <f>IFERROR(__xludf.DUMMYFUNCTION("GOOGLEFINANCE(A155,""name"")"),"JX Luxventure Ltd")</f>
        <v>JX Luxventure Ltd</v>
      </c>
    </row>
    <row r="156">
      <c r="A156" s="1" t="s">
        <v>11</v>
      </c>
      <c r="B156" s="2" t="str">
        <f>IFERROR(__xludf.DUMMYFUNCTION("GOOGLEFINANCE(A156,""name"")"),"Live Nation Entertainment, Inc.")</f>
        <v>Live Nation Entertainment, Inc.</v>
      </c>
    </row>
    <row r="157">
      <c r="A157" s="1" t="s">
        <v>153</v>
      </c>
      <c r="B157" s="2" t="str">
        <f>IFERROR(__xludf.DUMMYFUNCTION("GOOGLEFINANCE(A157,""name"")"),"NiSource Inc.")</f>
        <v>NiSource Inc.</v>
      </c>
    </row>
    <row r="158">
      <c r="A158" s="1" t="s">
        <v>154</v>
      </c>
      <c r="B158" s="2" t="str">
        <f>IFERROR(__xludf.DUMMYFUNCTION("GOOGLEFINANCE(A158,""name"")"),"#N/A")</f>
        <v>#N/A</v>
      </c>
    </row>
    <row r="159">
      <c r="A159" s="1" t="s">
        <v>155</v>
      </c>
      <c r="B159" s="2" t="str">
        <f>IFERROR(__xludf.DUMMYFUNCTION("GOOGLEFINANCE(A159,""name"")"),"Old Dominion Freight Line Inc")</f>
        <v>Old Dominion Freight Line Inc</v>
      </c>
    </row>
    <row r="160">
      <c r="A160" s="1" t="s">
        <v>156</v>
      </c>
      <c r="B160" s="2" t="str">
        <f>IFERROR(__xludf.DUMMYFUNCTION("GOOGLEFINANCE(A160,""name"")"),"Oil States International, Inc.")</f>
        <v>Oil States International, Inc.</v>
      </c>
    </row>
    <row r="161">
      <c r="A161" s="1" t="s">
        <v>157</v>
      </c>
      <c r="B161" s="2" t="str">
        <f>IFERROR(__xludf.DUMMYFUNCTION("GOOGLEFINANCE(A161,""name"")"),"Pitney Bowes Inc.")</f>
        <v>Pitney Bowes Inc.</v>
      </c>
    </row>
    <row r="162">
      <c r="A162" s="1" t="s">
        <v>158</v>
      </c>
      <c r="B162" s="2" t="str">
        <f>IFERROR(__xludf.DUMMYFUNCTION("GOOGLEFINANCE(A162,""name"")"),"PerkinElmer, Inc.")</f>
        <v>PerkinElmer, Inc.</v>
      </c>
    </row>
    <row r="163">
      <c r="A163" s="1" t="s">
        <v>159</v>
      </c>
      <c r="B163" s="2" t="str">
        <f>IFERROR(__xludf.DUMMYFUNCTION("GOOGLEFINANCE(A163,""name"")"),"Regis Corporation")</f>
        <v>Regis Corporation</v>
      </c>
    </row>
    <row r="164">
      <c r="A164" s="1" t="s">
        <v>160</v>
      </c>
      <c r="B164" s="2" t="str">
        <f>IFERROR(__xludf.DUMMYFUNCTION("GOOGLEFINANCE(A164,""name"")"),"SkyWest, Inc.")</f>
        <v>SkyWest, Inc.</v>
      </c>
    </row>
    <row r="165">
      <c r="A165" s="1" t="s">
        <v>161</v>
      </c>
      <c r="B165" s="2" t="str">
        <f>IFERROR(__xludf.DUMMYFUNCTION("GOOGLEFINANCE(A165,""name"")"),"Skyworks Solutions Inc")</f>
        <v>Skyworks Solutions Inc</v>
      </c>
    </row>
    <row r="166">
      <c r="A166" s="1" t="s">
        <v>161</v>
      </c>
      <c r="B166" s="2" t="str">
        <f>IFERROR(__xludf.DUMMYFUNCTION("GOOGLEFINANCE(A166,""name"")"),"Skyworks Solutions Inc")</f>
        <v>Skyworks Solutions Inc</v>
      </c>
    </row>
    <row r="167">
      <c r="A167" s="1" t="s">
        <v>162</v>
      </c>
      <c r="B167" s="2" t="str">
        <f>IFERROR(__xludf.DUMMYFUNCTION("GOOGLEFINANCE(A167,""name"")"),"Teleflex Incorporated")</f>
        <v>Teleflex Incorporated</v>
      </c>
    </row>
    <row r="168">
      <c r="A168" s="1" t="s">
        <v>163</v>
      </c>
      <c r="B168" s="2" t="str">
        <f>IFERROR(__xludf.DUMMYFUNCTION("GOOGLEFINANCE(A168,""name"")"),"World Acceptance Corp.")</f>
        <v>World Acceptance Corp.</v>
      </c>
    </row>
    <row r="169">
      <c r="A169" s="1" t="s">
        <v>164</v>
      </c>
      <c r="B169" s="2" t="str">
        <f>IFERROR(__xludf.DUMMYFUNCTION("GOOGLEFINANCE(A169,""name"")"),"Western Union Co")</f>
        <v>Western Union Co</v>
      </c>
    </row>
    <row r="170">
      <c r="A170" s="1" t="s">
        <v>165</v>
      </c>
      <c r="B170" s="2" t="str">
        <f>IFERROR(__xludf.DUMMYFUNCTION("GOOGLEFINANCE(A170,""name"")"),"Exxon Mobil Corp")</f>
        <v>Exxon Mobil Corp</v>
      </c>
    </row>
    <row r="171">
      <c r="A171" s="1" t="s">
        <v>166</v>
      </c>
      <c r="B171" s="2" t="str">
        <f>IFERROR(__xludf.DUMMYFUNCTION("GOOGLEFINANCE(A171,""name"")"),"Xylem Inc")</f>
        <v>Xylem Inc</v>
      </c>
    </row>
    <row r="172">
      <c r="A172" s="1" t="s">
        <v>167</v>
      </c>
      <c r="B172" s="2" t="str">
        <f>IFERROR(__xludf.DUMMYFUNCTION("GOOGLEFINANCE(A172,""name"")"),"American Axle &amp; Manufact. Holdings, Inc.")</f>
        <v>American Axle &amp; Manufact. Holdings, Inc.</v>
      </c>
    </row>
    <row r="173">
      <c r="A173" s="1" t="s">
        <v>168</v>
      </c>
      <c r="B173" s="2" t="str">
        <f>IFERROR(__xludf.DUMMYFUNCTION("GOOGLEFINANCE(A173,""name"")"),"Cboe Global Markets Inc")</f>
        <v>Cboe Global Markets Inc</v>
      </c>
    </row>
    <row r="174">
      <c r="A174" s="1" t="s">
        <v>169</v>
      </c>
      <c r="B174" s="2" t="str">
        <f>IFERROR(__xludf.DUMMYFUNCTION("GOOGLEFINANCE(A174,""name"")"),"#N/A")</f>
        <v>#N/A</v>
      </c>
    </row>
    <row r="175">
      <c r="A175" s="1" t="s">
        <v>170</v>
      </c>
      <c r="B175" s="2" t="str">
        <f>IFERROR(__xludf.DUMMYFUNCTION("GOOGLEFINANCE(A175,""name"")"),"FirstEnergy Corp.")</f>
        <v>FirstEnergy Corp.</v>
      </c>
    </row>
    <row r="176">
      <c r="A176" s="1" t="s">
        <v>171</v>
      </c>
      <c r="B176" s="2" t="str">
        <f>IFERROR(__xludf.DUMMYFUNCTION("GOOGLEFINANCE(A176,""name"")"),"Global Water Resources Inc")</f>
        <v>Global Water Resources Inc</v>
      </c>
    </row>
    <row r="177">
      <c r="A177" s="1" t="s">
        <v>1</v>
      </c>
      <c r="B177" s="2" t="str">
        <f>IFERROR(__xludf.DUMMYFUNCTION("GOOGLEFINANCE(A177,""name"")"),"LeMaitre Vascular Inc")</f>
        <v>LeMaitre Vascular Inc</v>
      </c>
    </row>
    <row r="178">
      <c r="A178" s="1" t="s">
        <v>172</v>
      </c>
      <c r="B178" s="2" t="str">
        <f>IFERROR(__xludf.DUMMYFUNCTION("GOOGLEFINANCE(A178,""name"")"),"#N/A")</f>
        <v>#N/A</v>
      </c>
    </row>
    <row r="179">
      <c r="A179" s="1" t="s">
        <v>173</v>
      </c>
      <c r="B179" s="2" t="str">
        <f>IFERROR(__xludf.DUMMYFUNCTION("GOOGLEFINANCE(A179,""name"")"),"Moody's Corporation")</f>
        <v>Moody's Corporation</v>
      </c>
    </row>
    <row r="180">
      <c r="A180" s="1" t="s">
        <v>174</v>
      </c>
      <c r="B180" s="2" t="str">
        <f>IFERROR(__xludf.DUMMYFUNCTION("GOOGLEFINANCE(A180,""name"")"),"Insperity Inc")</f>
        <v>Insperity Inc</v>
      </c>
    </row>
    <row r="181">
      <c r="A181" s="1" t="s">
        <v>175</v>
      </c>
      <c r="B181" s="2" t="str">
        <f>IFERROR(__xludf.DUMMYFUNCTION("GOOGLEFINANCE(A181,""name"")"),"Public Service Enterprise Group Inc.")</f>
        <v>Public Service Enterprise Group Inc.</v>
      </c>
    </row>
    <row r="182">
      <c r="A182" s="1" t="s">
        <v>176</v>
      </c>
      <c r="B182" s="2" t="str">
        <f>IFERROR(__xludf.DUMMYFUNCTION("GOOGLEFINANCE(A182,""name"")"),"Telephone &amp; Data Systems, Inc.")</f>
        <v>Telephone &amp; Data Systems, Inc.</v>
      </c>
    </row>
    <row r="183">
      <c r="A183" s="1" t="s">
        <v>177</v>
      </c>
      <c r="B183" s="2" t="str">
        <f>IFERROR(__xludf.DUMMYFUNCTION("GOOGLEFINANCE(A183,""name"")"),"VF Corp")</f>
        <v>VF Corp</v>
      </c>
    </row>
    <row r="184">
      <c r="A184" s="1" t="s">
        <v>178</v>
      </c>
      <c r="B184" s="2" t="str">
        <f>IFERROR(__xludf.DUMMYFUNCTION("GOOGLEFINANCE(A184,""name"")"),"CEVA, Inc.")</f>
        <v>CEVA, Inc.</v>
      </c>
    </row>
    <row r="185">
      <c r="A185" s="1" t="s">
        <v>179</v>
      </c>
      <c r="B185" s="2" t="str">
        <f>IFERROR(__xludf.DUMMYFUNCTION("GOOGLEFINANCE(A185,""name"")"),"Chuy's Holdings Inc")</f>
        <v>Chuy's Holdings Inc</v>
      </c>
    </row>
    <row r="186">
      <c r="A186" s="1" t="s">
        <v>180</v>
      </c>
      <c r="B186" s="2" t="str">
        <f>IFERROR(__xludf.DUMMYFUNCTION("GOOGLEFINANCE(A186,""name"")"),"Comcast Corporation")</f>
        <v>Comcast Corporation</v>
      </c>
    </row>
    <row r="187">
      <c r="A187" s="1" t="s">
        <v>181</v>
      </c>
      <c r="B187" s="2" t="str">
        <f>IFERROR(__xludf.DUMMYFUNCTION("GOOGLEFINANCE(A187,""name"")"),"Diamond Offshore Drilling Ord Shs")</f>
        <v>Diamond Offshore Drilling Ord Shs</v>
      </c>
    </row>
    <row r="188">
      <c r="A188" s="1" t="s">
        <v>182</v>
      </c>
      <c r="B188" s="2" t="str">
        <f>IFERROR(__xludf.DUMMYFUNCTION("GOOGLEFINANCE(A188,""name"")"),"Fabrinet")</f>
        <v>Fabrinet</v>
      </c>
    </row>
    <row r="189">
      <c r="A189" s="1" t="s">
        <v>183</v>
      </c>
      <c r="B189" s="2" t="str">
        <f>IFERROR(__xludf.DUMMYFUNCTION("GOOGLEFINANCE(A189,""name"")"),"Loews Corporation")</f>
        <v>Loews Corporation</v>
      </c>
    </row>
    <row r="190">
      <c r="A190" s="1" t="s">
        <v>184</v>
      </c>
      <c r="B190" s="2" t="str">
        <f>IFERROR(__xludf.DUMMYFUNCTION("GOOGLEFINANCE(A190,""name"")"),"NuVasive, Inc.")</f>
        <v>NuVasive, Inc.</v>
      </c>
    </row>
    <row r="191">
      <c r="A191" s="1" t="s">
        <v>185</v>
      </c>
      <c r="B191" s="2" t="str">
        <f>IFERROR(__xludf.DUMMYFUNCTION("GOOGLEFINANCE(A191,""name"")"),"Texas Roadhouse Inc")</f>
        <v>Texas Roadhouse Inc</v>
      </c>
    </row>
    <row r="192">
      <c r="A192" s="1" t="s">
        <v>186</v>
      </c>
      <c r="B192" s="2" t="str">
        <f>IFERROR(__xludf.DUMMYFUNCTION("GOOGLEFINANCE(A192,""name"")"),"ABIOMED, Inc.")</f>
        <v>ABIOMED, Inc.</v>
      </c>
    </row>
    <row r="193">
      <c r="A193" s="1" t="s">
        <v>187</v>
      </c>
      <c r="B193" s="2" t="str">
        <f>IFERROR(__xludf.DUMMYFUNCTION("GOOGLEFINANCE(A193,""name"")"),"Axcelis Technologies Inc")</f>
        <v>Axcelis Technologies Inc</v>
      </c>
    </row>
    <row r="194">
      <c r="A194" s="1" t="s">
        <v>188</v>
      </c>
      <c r="B194" s="2" t="str">
        <f>IFERROR(__xludf.DUMMYFUNCTION("GOOGLEFINANCE(A194,""name"")"),"#N/A")</f>
        <v>#N/A</v>
      </c>
    </row>
    <row r="195">
      <c r="A195" s="1" t="s">
        <v>189</v>
      </c>
      <c r="B195" s="2" t="str">
        <f>IFERROR(__xludf.DUMMYFUNCTION("GOOGLEFINANCE(A195,""name"")"),"Cleantech Lithium PLC")</f>
        <v>Cleantech Lithium PLC</v>
      </c>
    </row>
    <row r="196">
      <c r="A196" s="1" t="s">
        <v>190</v>
      </c>
      <c r="B196" s="2" t="str">
        <f>IFERROR(__xludf.DUMMYFUNCTION("GOOGLEFINANCE(A196,""name"")"),"CommVault Systems, Inc.")</f>
        <v>CommVault Systems, Inc.</v>
      </c>
    </row>
    <row r="197">
      <c r="A197" s="1" t="s">
        <v>191</v>
      </c>
      <c r="B197" s="2" t="str">
        <f>IFERROR(__xludf.DUMMYFUNCTION("GOOGLEFINANCE(A197,""name"")"),"Walt Disney Co")</f>
        <v>Walt Disney Co</v>
      </c>
    </row>
    <row r="198">
      <c r="A198" s="1" t="s">
        <v>192</v>
      </c>
      <c r="B198" s="2" t="str">
        <f>IFERROR(__xludf.DUMMYFUNCTION("GOOGLEFINANCE(A198,""name"")"),"ESCO Technologies Inc.")</f>
        <v>ESCO Technologies Inc.</v>
      </c>
    </row>
    <row r="199">
      <c r="A199" s="1" t="s">
        <v>193</v>
      </c>
      <c r="B199" s="2" t="str">
        <f>IFERROR(__xludf.DUMMYFUNCTION("GOOGLEFINANCE(A199,""name"")"),"HCA Healthcare Inc")</f>
        <v>HCA Healthcare Inc</v>
      </c>
    </row>
    <row r="200">
      <c r="A200" s="1" t="s">
        <v>194</v>
      </c>
      <c r="B200" s="2" t="str">
        <f>IFERROR(__xludf.DUMMYFUNCTION("GOOGLEFINANCE(A200,""name"")"),"ICU Medical Inc")</f>
        <v>ICU Medical Inc</v>
      </c>
    </row>
    <row r="201">
      <c r="A201" s="1" t="s">
        <v>195</v>
      </c>
      <c r="B201" s="2" t="str">
        <f>IFERROR(__xludf.DUMMYFUNCTION("GOOGLEFINANCE(A201,""name"")"),"Kellogg Company")</f>
        <v>Kellogg Company</v>
      </c>
    </row>
    <row r="202">
      <c r="A202" s="1" t="s">
        <v>196</v>
      </c>
      <c r="B202" s="2" t="str">
        <f>IFERROR(__xludf.DUMMYFUNCTION("GOOGLEFINANCE(A202,""name"")"),"Kulicke and Soffa Industries Inc.")</f>
        <v>Kulicke and Soffa Industries Inc.</v>
      </c>
    </row>
    <row r="203">
      <c r="A203" s="1" t="s">
        <v>197</v>
      </c>
      <c r="B203" s="2" t="str">
        <f>IFERROR(__xludf.DUMMYFUNCTION("GOOGLEFINANCE(A203,""name"")"),"Kennametal Inc.")</f>
        <v>Kennametal Inc.</v>
      </c>
    </row>
    <row r="204">
      <c r="A204" s="1" t="s">
        <v>198</v>
      </c>
      <c r="B204" s="2" t="str">
        <f>IFERROR(__xludf.DUMMYFUNCTION("GOOGLEFINANCE(A204,""name"")"),"M.D.C. Holdings, Inc.")</f>
        <v>M.D.C. Holdings, Inc.</v>
      </c>
    </row>
    <row r="205">
      <c r="A205" s="1" t="s">
        <v>199</v>
      </c>
      <c r="B205" s="2" t="str">
        <f>IFERROR(__xludf.DUMMYFUNCTION("GOOGLEFINANCE(A205,""name"")"),"#N/A")</f>
        <v>#N/A</v>
      </c>
    </row>
    <row r="206">
      <c r="A206" s="1" t="s">
        <v>200</v>
      </c>
      <c r="B206" s="2" t="str">
        <f>IFERROR(__xludf.DUMMYFUNCTION("GOOGLEFINANCE(A206,""name"")"),"Myriad Genetics, Inc.")</f>
        <v>Myriad Genetics, Inc.</v>
      </c>
    </row>
    <row r="207">
      <c r="A207" s="1" t="s">
        <v>13</v>
      </c>
      <c r="B207" s="2" t="str">
        <f>IFERROR(__xludf.DUMMYFUNCTION("GOOGLEFINANCE(A207,""name"")"),"Northwest Natural Holding Co")</f>
        <v>Northwest Natural Holding Co</v>
      </c>
    </row>
    <row r="208">
      <c r="A208" s="1" t="s">
        <v>201</v>
      </c>
      <c r="B208" s="2" t="str">
        <f>IFERROR(__xludf.DUMMYFUNCTION("GOOGLEFINANCE(A208,""name"")"),"Scotts Miracle-Gro Co")</f>
        <v>Scotts Miracle-Gro Co</v>
      </c>
    </row>
    <row r="209">
      <c r="A209" s="1" t="s">
        <v>202</v>
      </c>
      <c r="B209" s="2" t="str">
        <f>IFERROR(__xludf.DUMMYFUNCTION("GOOGLEFINANCE(A209,""name"")"),"Andersons Inc")</f>
        <v>Andersons Inc</v>
      </c>
    </row>
    <row r="210">
      <c r="A210" s="1" t="s">
        <v>203</v>
      </c>
      <c r="B210" s="2" t="str">
        <f>IFERROR(__xludf.DUMMYFUNCTION("GOOGLEFINANCE(A210,""name"")"),"Clean Harbors Inc")</f>
        <v>Clean Harbors Inc</v>
      </c>
    </row>
    <row r="211">
      <c r="A211" s="1" t="s">
        <v>204</v>
      </c>
      <c r="B211" s="2" t="str">
        <f>IFERROR(__xludf.DUMMYFUNCTION("GOOGLEFINANCE(A211,""name"")"),"#N/A")</f>
        <v>#N/A</v>
      </c>
    </row>
    <row r="212">
      <c r="A212" s="1" t="s">
        <v>205</v>
      </c>
      <c r="B212" s="2" t="str">
        <f>IFERROR(__xludf.DUMMYFUNCTION("GOOGLEFINANCE(A212,""name"")"),"3D Systems Corporation")</f>
        <v>3D Systems Corporation</v>
      </c>
    </row>
    <row r="213">
      <c r="A213" s="1" t="s">
        <v>206</v>
      </c>
      <c r="B213" s="2" t="str">
        <f>IFERROR(__xludf.DUMMYFUNCTION("GOOGLEFINANCE(A213,""name"")"),"Hampton Financial Corp")</f>
        <v>Hampton Financial Corp</v>
      </c>
    </row>
    <row r="214">
      <c r="A214" s="1" t="s">
        <v>207</v>
      </c>
      <c r="B214" s="2" t="str">
        <f>IFERROR(__xludf.DUMMYFUNCTION("GOOGLEFINANCE(A214,""name"")"),"Harsco Corp")</f>
        <v>Harsco Corp</v>
      </c>
    </row>
    <row r="215">
      <c r="A215" s="1" t="s">
        <v>208</v>
      </c>
      <c r="B215" s="2" t="str">
        <f>IFERROR(__xludf.DUMMYFUNCTION("GOOGLEFINANCE(A215,""name"")"),"Lamar Advertising Co")</f>
        <v>Lamar Advertising Co</v>
      </c>
    </row>
    <row r="216">
      <c r="A216" s="1" t="s">
        <v>209</v>
      </c>
      <c r="B216" s="2" t="str">
        <f>IFERROR(__xludf.DUMMYFUNCTION("GOOGLEFINANCE(A216,""name"")"),"Insight Enterprises, Inc.")</f>
        <v>Insight Enterprises, Inc.</v>
      </c>
    </row>
    <row r="217">
      <c r="A217" s="1" t="s">
        <v>210</v>
      </c>
      <c r="B217" s="2" t="str">
        <f>IFERROR(__xludf.DUMMYFUNCTION("GOOGLEFINANCE(A217,""name"")"),"#N/A")</f>
        <v>#N/A</v>
      </c>
    </row>
    <row r="218">
      <c r="A218" s="1" t="s">
        <v>211</v>
      </c>
      <c r="B218" s="2" t="str">
        <f>IFERROR(__xludf.DUMMYFUNCTION("GOOGLEFINANCE(A218,""name"")"),"Steinhoff International Holdings NV")</f>
        <v>Steinhoff International Holdings NV</v>
      </c>
    </row>
    <row r="219">
      <c r="A219" s="1" t="s">
        <v>212</v>
      </c>
      <c r="B219" s="2" t="str">
        <f>IFERROR(__xludf.DUMMYFUNCTION("GOOGLEFINANCE(A219,""name"")"),"Veeco Instruments Inc.")</f>
        <v>Veeco Instruments Inc.</v>
      </c>
    </row>
    <row r="220">
      <c r="A220" s="1" t="s">
        <v>213</v>
      </c>
      <c r="B220" s="2" t="str">
        <f>IFERROR(__xludf.DUMMYFUNCTION("GOOGLEFINANCE(A220,""name"")"),"#N/A")</f>
        <v>#N/A</v>
      </c>
    </row>
    <row r="221">
      <c r="A221" s="1" t="s">
        <v>214</v>
      </c>
      <c r="B221" s="2" t="str">
        <f>IFERROR(__xludf.DUMMYFUNCTION("GOOGLEFINANCE(A221,""name"")"),"Walker &amp; Dunlop, Inc.")</f>
        <v>Walker &amp; Dunlop, Inc.</v>
      </c>
    </row>
    <row r="222">
      <c r="A222" s="1" t="s">
        <v>215</v>
      </c>
      <c r="B222" s="2" t="str">
        <f>IFERROR(__xludf.DUMMYFUNCTION("GOOGLEFINANCE(A222,""name"")"),"Alexander &amp; Baldwin Inc (Hawaii)")</f>
        <v>Alexander &amp; Baldwin Inc (Hawaii)</v>
      </c>
    </row>
    <row r="223">
      <c r="A223" s="1" t="s">
        <v>216</v>
      </c>
      <c r="B223" s="2" t="str">
        <f>IFERROR(__xludf.DUMMYFUNCTION("GOOGLEFINANCE(A223,""name"")"),"Booking Holdings Inc")</f>
        <v>Booking Holdings Inc</v>
      </c>
    </row>
    <row r="224">
      <c r="A224" s="1" t="s">
        <v>217</v>
      </c>
      <c r="B224" s="2" t="str">
        <f>IFERROR(__xludf.DUMMYFUNCTION("GOOGLEFINANCE(A224,""name"")"),"Cleanbnb SpA")</f>
        <v>Cleanbnb SpA</v>
      </c>
    </row>
    <row r="225">
      <c r="A225" s="1" t="s">
        <v>218</v>
      </c>
      <c r="B225" s="2" t="str">
        <f>IFERROR(__xludf.DUMMYFUNCTION("GOOGLEFINANCE(A225,""name"")"),"Cinemark Holdings, Inc.")</f>
        <v>Cinemark Holdings, Inc.</v>
      </c>
    </row>
    <row r="226">
      <c r="A226" s="1" t="s">
        <v>219</v>
      </c>
      <c r="B226" s="2" t="str">
        <f>IFERROR(__xludf.DUMMYFUNCTION("GOOGLEFINANCE(A226,""name"")"),"Consolidated Communications Holdings Inc")</f>
        <v>Consolidated Communications Holdings Inc</v>
      </c>
    </row>
    <row r="227">
      <c r="A227" s="1" t="s">
        <v>220</v>
      </c>
      <c r="B227" s="2" t="str">
        <f>IFERROR(__xludf.DUMMYFUNCTION("GOOGLEFINANCE(A227,""name"")"),"Cutera, Inc.")</f>
        <v>Cutera, Inc.</v>
      </c>
    </row>
    <row r="228">
      <c r="A228" s="1" t="s">
        <v>221</v>
      </c>
      <c r="B228" s="2" t="str">
        <f>IFERROR(__xludf.DUMMYFUNCTION("GOOGLEFINANCE(A228,""name"")"),"Emergent Biosolutions Inc")</f>
        <v>Emergent Biosolutions Inc</v>
      </c>
    </row>
    <row r="229">
      <c r="A229" s="1" t="s">
        <v>222</v>
      </c>
      <c r="B229" s="2" t="str">
        <f>IFERROR(__xludf.DUMMYFUNCTION("GOOGLEFINANCE(A229,""name"")"),"Green Dot Corporation")</f>
        <v>Green Dot Corporation</v>
      </c>
    </row>
    <row r="230">
      <c r="A230" s="1" t="s">
        <v>223</v>
      </c>
      <c r="B230" s="2" t="str">
        <f>IFERROR(__xludf.DUMMYFUNCTION("GOOGLEFINANCE(A230,""name"")"),"#N/A")</f>
        <v>#N/A</v>
      </c>
    </row>
    <row r="231">
      <c r="A231" s="1" t="s">
        <v>224</v>
      </c>
      <c r="B231" s="2" t="str">
        <f>IFERROR(__xludf.DUMMYFUNCTION("GOOGLEFINANCE(A231,""name"")"),"#N/A")</f>
        <v>#N/A</v>
      </c>
    </row>
    <row r="232">
      <c r="A232" s="1" t="s">
        <v>225</v>
      </c>
      <c r="B232" s="2" t="str">
        <f>IFERROR(__xludf.DUMMYFUNCTION("GOOGLEFINANCE(A232,""name"")"),"Mettler-Toledo International Inc.")</f>
        <v>Mettler-Toledo International Inc.</v>
      </c>
    </row>
    <row r="233">
      <c r="A233" s="1" t="s">
        <v>226</v>
      </c>
      <c r="B233" s="2" t="str">
        <f>IFERROR(__xludf.DUMMYFUNCTION("GOOGLEFINANCE(A233,""name"")"),"NVIDIA Corporation")</f>
        <v>NVIDIA Corporation</v>
      </c>
    </row>
    <row r="234">
      <c r="A234" s="1" t="s">
        <v>227</v>
      </c>
      <c r="B234" s="2" t="str">
        <f>IFERROR(__xludf.DUMMYFUNCTION("GOOGLEFINANCE(A234,""name"")"),"Gibraltar Industries Inc")</f>
        <v>Gibraltar Industries Inc</v>
      </c>
    </row>
    <row r="235">
      <c r="A235" s="1" t="s">
        <v>228</v>
      </c>
      <c r="B235" s="2" t="str">
        <f>IFERROR(__xludf.DUMMYFUNCTION("GOOGLEFINANCE(A235,""name"")"),"Spectrum Pharmaceuticals, Inc.")</f>
        <v>Spectrum Pharmaceuticals, Inc.</v>
      </c>
    </row>
    <row r="236">
      <c r="A236" s="1" t="s">
        <v>229</v>
      </c>
      <c r="B236" s="2" t="str">
        <f>IFERROR(__xludf.DUMMYFUNCTION("GOOGLEFINANCE(A236,""name"")"),"Molson Coors Beverage Co Class B")</f>
        <v>Molson Coors Beverage Co Class B</v>
      </c>
    </row>
    <row r="237">
      <c r="A237" s="1" t="s">
        <v>230</v>
      </c>
      <c r="B237" s="2" t="str">
        <f>IFERROR(__xludf.DUMMYFUNCTION("GOOGLEFINANCE(A237,""name"")"),"Crocs, Inc.")</f>
        <v>Crocs, Inc.</v>
      </c>
    </row>
    <row r="238">
      <c r="A238" s="1" t="s">
        <v>231</v>
      </c>
      <c r="B238" s="2" t="str">
        <f>IFERROR(__xludf.DUMMYFUNCTION("GOOGLEFINANCE(A238,""name"")"),"Ebix Inc")</f>
        <v>Ebix Inc</v>
      </c>
    </row>
    <row r="239">
      <c r="A239" s="1" t="s">
        <v>232</v>
      </c>
      <c r="B239" s="2" t="str">
        <f>IFERROR(__xludf.DUMMYFUNCTION("GOOGLEFINANCE(A239,""name"")"),"E W Scripps Co")</f>
        <v>E W Scripps Co</v>
      </c>
    </row>
    <row r="240">
      <c r="A240" s="1" t="s">
        <v>233</v>
      </c>
      <c r="B240" s="2" t="str">
        <f>IFERROR(__xludf.DUMMYFUNCTION("GOOGLEFINANCE(A240,""name"")"),"Trex Company Inc")</f>
        <v>Trex Company Inc</v>
      </c>
    </row>
    <row r="241">
      <c r="A241" s="1" t="s">
        <v>234</v>
      </c>
      <c r="B241" s="2" t="str">
        <f>IFERROR(__xludf.DUMMYFUNCTION("GOOGLEFINANCE(A241,""name"")"),"Welltower Inc")</f>
        <v>Welltower Inc</v>
      </c>
    </row>
    <row r="242">
      <c r="A242" s="1" t="s">
        <v>16</v>
      </c>
      <c r="B242" s="2" t="str">
        <f>IFERROR(__xludf.DUMMYFUNCTION("GOOGLEFINANCE(A242,""name"")"),"Bill Identity Ltd")</f>
        <v>Bill Identity Ltd</v>
      </c>
    </row>
    <row r="243">
      <c r="A243" s="1" t="s">
        <v>235</v>
      </c>
      <c r="B243" s="2" t="str">
        <f>IFERROR(__xludf.DUMMYFUNCTION("GOOGLEFINANCE(A243,""name"")"),"Endo International PLC")</f>
        <v>Endo International PLC</v>
      </c>
    </row>
    <row r="244">
      <c r="A244" s="1" t="s">
        <v>236</v>
      </c>
      <c r="B244" s="2" t="str">
        <f>IFERROR(__xludf.DUMMYFUNCTION("GOOGLEFINANCE(A244,""name"")"),"Getty Realty Corp.")</f>
        <v>Getty Realty Corp.</v>
      </c>
    </row>
    <row r="245">
      <c r="A245" s="1" t="s">
        <v>237</v>
      </c>
      <c r="B245" s="2" t="str">
        <f>IFERROR(__xludf.DUMMYFUNCTION("GOOGLEFINANCE(A245,""name"")"),"#N/A")</f>
        <v>#N/A</v>
      </c>
    </row>
    <row r="246">
      <c r="A246" s="1" t="s">
        <v>238</v>
      </c>
      <c r="B246" s="2" t="str">
        <f>IFERROR(__xludf.DUMMYFUNCTION("GOOGLEFINANCE(A246,""name"")"),"International Flavors &amp; Fragrances Inc")</f>
        <v>International Flavors &amp; Fragrances Inc</v>
      </c>
    </row>
    <row r="247">
      <c r="A247" s="1" t="s">
        <v>239</v>
      </c>
      <c r="B247" s="2" t="str">
        <f>IFERROR(__xludf.DUMMYFUNCTION("GOOGLEFINANCE(A247,""name"")"),"McKesson Corporation")</f>
        <v>McKesson Corporation</v>
      </c>
    </row>
    <row r="248">
      <c r="A248" s="1" t="s">
        <v>10</v>
      </c>
      <c r="B248" s="2" t="str">
        <f>IFERROR(__xludf.DUMMYFUNCTION("GOOGLEFINANCE(A248,""name"")"),"#N/A")</f>
        <v>#N/A</v>
      </c>
    </row>
    <row r="249">
      <c r="A249" s="1" t="s">
        <v>240</v>
      </c>
      <c r="B249" s="2" t="str">
        <f>IFERROR(__xludf.DUMMYFUNCTION("GOOGLEFINANCE(A249,""name"")"),"Jack in the Box Inc.")</f>
        <v>Jack in the Box Inc.</v>
      </c>
    </row>
    <row r="250">
      <c r="A250" s="1" t="s">
        <v>241</v>
      </c>
      <c r="B250" s="2" t="str">
        <f>IFERROR(__xludf.DUMMYFUNCTION("GOOGLEFINANCE(A250,""name"")"),"Nordstrom, Inc.")</f>
        <v>Nordstrom, Inc.</v>
      </c>
    </row>
    <row r="251">
      <c r="A251" s="1" t="s">
        <v>242</v>
      </c>
      <c r="B251" s="2" t="str">
        <f>IFERROR(__xludf.DUMMYFUNCTION("GOOGLEFINANCE(A251,""name"")"),"#N/A")</f>
        <v>#N/A</v>
      </c>
    </row>
    <row r="252">
      <c r="A252" s="1" t="s">
        <v>243</v>
      </c>
      <c r="B252" s="2" t="str">
        <f>IFERROR(__xludf.DUMMYFUNCTION("GOOGLEFINANCE(A252,""name"")"),"Home Depot Inc")</f>
        <v>Home Depot Inc</v>
      </c>
    </row>
    <row r="253">
      <c r="A253" s="1" t="s">
        <v>244</v>
      </c>
      <c r="B253" s="2" t="str">
        <f>IFERROR(__xludf.DUMMYFUNCTION("GOOGLEFINANCE(A253,""name"")"),"Red Robin Gourmet Burgers, Inc.")</f>
        <v>Red Robin Gourmet Burgers, Inc.</v>
      </c>
    </row>
    <row r="254">
      <c r="A254" s="1" t="s">
        <v>245</v>
      </c>
      <c r="B254" s="2" t="str">
        <f>IFERROR(__xludf.DUMMYFUNCTION("GOOGLEFINANCE(A254,""name"")"),"Viasat Inc")</f>
        <v>Viasat Inc</v>
      </c>
    </row>
    <row r="255">
      <c r="A255" s="1" t="s">
        <v>246</v>
      </c>
      <c r="B255" s="2" t="str">
        <f>IFERROR(__xludf.DUMMYFUNCTION("GOOGLEFINANCE(A255,""name"")"),"HP Inc")</f>
        <v>HP Inc</v>
      </c>
    </row>
    <row r="256">
      <c r="A256" s="1" t="s">
        <v>247</v>
      </c>
      <c r="B256" s="2" t="str">
        <f>IFERROR(__xludf.DUMMYFUNCTION("GOOGLEFINANCE(A256,""name"")"),"Monro Inc")</f>
        <v>Monro Inc</v>
      </c>
    </row>
    <row r="257">
      <c r="A257" s="1" t="s">
        <v>38</v>
      </c>
      <c r="B257" s="2" t="str">
        <f>IFERROR(__xludf.DUMMYFUNCTION("GOOGLEFINANCE(A257,""name"")"),"Movado Group, Inc")</f>
        <v>Movado Group, Inc</v>
      </c>
    </row>
    <row r="258">
      <c r="A258" s="1" t="s">
        <v>248</v>
      </c>
      <c r="B258" s="2" t="str">
        <f>IFERROR(__xludf.DUMMYFUNCTION("GOOGLEFINANCE(A258,""name"")"),"Toro Co")</f>
        <v>Toro Co</v>
      </c>
    </row>
    <row r="259">
      <c r="A259" s="1" t="s">
        <v>249</v>
      </c>
      <c r="B259" s="2" t="str">
        <f>IFERROR(__xludf.DUMMYFUNCTION("GOOGLEFINANCE(A259,""name"")"),"Big Lots, Inc.")</f>
        <v>Big Lots, Inc.</v>
      </c>
    </row>
    <row r="260">
      <c r="A260" s="1" t="s">
        <v>250</v>
      </c>
      <c r="B260" s="2" t="str">
        <f>IFERROR(__xludf.DUMMYFUNCTION("GOOGLEFINANCE(A260,""name"")"),"#N/A")</f>
        <v>#N/A</v>
      </c>
    </row>
    <row r="261">
      <c r="A261" s="1" t="s">
        <v>251</v>
      </c>
      <c r="B261" s="2" t="str">
        <f>IFERROR(__xludf.DUMMYFUNCTION("GOOGLEFINANCE(A261,""name"")"),"Cracker Barrel Old Country Store, Inc.")</f>
        <v>Cracker Barrel Old Country Store, Inc.</v>
      </c>
    </row>
    <row r="262">
      <c r="A262" s="1" t="s">
        <v>252</v>
      </c>
      <c r="B262" s="2" t="str">
        <f>IFERROR(__xludf.DUMMYFUNCTION("GOOGLEFINANCE(A262,""name"")"),"Daktronics, Inc.")</f>
        <v>Daktronics, Inc.</v>
      </c>
    </row>
    <row r="263">
      <c r="A263" s="1" t="s">
        <v>253</v>
      </c>
      <c r="B263" s="2" t="str">
        <f>IFERROR(__xludf.DUMMYFUNCTION("GOOGLEFINANCE(A263,""name"")"),"Guess?, Inc.")</f>
        <v>Guess?, Inc.</v>
      </c>
    </row>
    <row r="264">
      <c r="A264" s="1" t="s">
        <v>254</v>
      </c>
      <c r="B264" s="2" t="str">
        <f>IFERROR(__xludf.DUMMYFUNCTION("GOOGLEFINANCE(A264,""name"")"),"Medtronic PLC")</f>
        <v>Medtronic PLC</v>
      </c>
    </row>
    <row r="265">
      <c r="A265" s="1" t="s">
        <v>255</v>
      </c>
      <c r="B265" s="2" t="str">
        <f>IFERROR(__xludf.DUMMYFUNCTION("GOOGLEFINANCE(A265,""name"")"),"Cooper Companies Inc")</f>
        <v>Cooper Companies Inc</v>
      </c>
    </row>
    <row r="266">
      <c r="A266" s="1" t="s">
        <v>256</v>
      </c>
      <c r="B266" s="2" t="str">
        <f>IFERROR(__xludf.DUMMYFUNCTION("GOOGLEFINANCE(A266,""name"")"),"#N/A")</f>
        <v>#N/A</v>
      </c>
    </row>
    <row r="267">
      <c r="A267" s="1" t="s">
        <v>257</v>
      </c>
      <c r="B267" s="2" t="str">
        <f>IFERROR(__xludf.DUMMYFUNCTION("GOOGLEFINANCE(A267,""name"")"),"H &amp; R Block Inc")</f>
        <v>H &amp; R Block Inc</v>
      </c>
    </row>
    <row r="268">
      <c r="A268" s="1" t="s">
        <v>258</v>
      </c>
      <c r="B268" s="2" t="str">
        <f>IFERROR(__xludf.DUMMYFUNCTION("GOOGLEFINANCE(A268,""name"")"),"United Natural Foods Inc")</f>
        <v>United Natural Foods Inc</v>
      </c>
    </row>
    <row r="269">
      <c r="A269" s="1" t="s">
        <v>259</v>
      </c>
      <c r="B269" s="2" t="str">
        <f>IFERROR(__xludf.DUMMYFUNCTION("GOOGLEFINANCE(A269,""name"")"),"CarMax, Inc")</f>
        <v>CarMax, Inc</v>
      </c>
    </row>
    <row r="270">
      <c r="A270" s="1" t="s">
        <v>260</v>
      </c>
      <c r="B270" s="2" t="str">
        <f>IFERROR(__xludf.DUMMYFUNCTION("GOOGLEFINANCE(A270,""name"")"),"Hipgnosis Songs Fund Ord C Shares")</f>
        <v>Hipgnosis Songs Fund Ord C Shares</v>
      </c>
    </row>
    <row r="271">
      <c r="A271" s="1" t="s">
        <v>261</v>
      </c>
      <c r="B271" s="2" t="str">
        <f>IFERROR(__xludf.DUMMYFUNCTION("GOOGLEFINANCE(A271,""name"")"),"MSC Industrial Direct Co Inc")</f>
        <v>MSC Industrial Direct Co Inc</v>
      </c>
    </row>
    <row r="272">
      <c r="A272" s="1" t="s">
        <v>262</v>
      </c>
      <c r="B272" s="2" t="str">
        <f>IFERROR(__xludf.DUMMYFUNCTION("GOOGLEFINANCE(A272,""name"")"),"PNC Financial Services Group Inc")</f>
        <v>PNC Financial Services Group Inc</v>
      </c>
    </row>
    <row r="273">
      <c r="A273" s="1" t="s">
        <v>263</v>
      </c>
      <c r="B273" s="2" t="str">
        <f>IFERROR(__xludf.DUMMYFUNCTION("GOOGLEFINANCE(A273,""name"")"),"Fastenal Company")</f>
        <v>Fastenal Company</v>
      </c>
    </row>
    <row r="274">
      <c r="A274" s="1" t="s">
        <v>264</v>
      </c>
      <c r="B274" s="2" t="str">
        <f>IFERROR(__xludf.DUMMYFUNCTION("GOOGLEFINANCE(A274,""name"")"),"AAR Corp.")</f>
        <v>AAR Corp.</v>
      </c>
    </row>
    <row r="275">
      <c r="A275" s="1" t="s">
        <v>265</v>
      </c>
      <c r="B275" s="2" t="str">
        <f>IFERROR(__xludf.DUMMYFUNCTION("GOOGLEFINANCE(A275,""name"")"),"AngioDynamics, Inc.")</f>
        <v>AngioDynamics, Inc.</v>
      </c>
    </row>
    <row r="276">
      <c r="A276" s="1" t="s">
        <v>266</v>
      </c>
      <c r="B276" s="2" t="str">
        <f>IFERROR(__xludf.DUMMYFUNCTION("GOOGLEFINANCE(A276,""name"")"),"Apple Inc")</f>
        <v>Apple Inc</v>
      </c>
    </row>
    <row r="277">
      <c r="A277" s="1" t="s">
        <v>63</v>
      </c>
      <c r="B277" s="2" t="str">
        <f>IFERROR(__xludf.DUMMYFUNCTION("GOOGLEFINANCE(A277,""name"")"),"Cathay General Bancorp")</f>
        <v>Cathay General Bancorp</v>
      </c>
    </row>
    <row r="278">
      <c r="A278" s="1" t="s">
        <v>90</v>
      </c>
      <c r="B278" s="2" t="str">
        <f>IFERROR(__xludf.DUMMYFUNCTION("GOOGLEFINANCE(A278,""name"")"),"Microsoft Corporation")</f>
        <v>Microsoft Corporation</v>
      </c>
    </row>
    <row r="279">
      <c r="A279" s="1" t="s">
        <v>267</v>
      </c>
      <c r="B279" s="2" t="str">
        <f>IFERROR(__xludf.DUMMYFUNCTION("GOOGLEFINANCE(A279,""name"")"),"Cheesecake Factory Inc")</f>
        <v>Cheesecake Factory Inc</v>
      </c>
    </row>
    <row r="280">
      <c r="A280" s="1" t="s">
        <v>268</v>
      </c>
      <c r="B280" s="2" t="str">
        <f>IFERROR(__xludf.DUMMYFUNCTION("GOOGLEFINANCE(A280,""name"")"),"Watsco Inc")</f>
        <v>Watsco Inc</v>
      </c>
    </row>
    <row r="281">
      <c r="A281" s="1" t="s">
        <v>141</v>
      </c>
      <c r="B281" s="2" t="str">
        <f>IFERROR(__xludf.DUMMYFUNCTION("GOOGLEFINANCE(A281,""name"")"),"AmerisourceBergen Corp.")</f>
        <v>AmerisourceBergen Corp.</v>
      </c>
    </row>
    <row r="282">
      <c r="A282" s="1" t="s">
        <v>269</v>
      </c>
      <c r="B282" s="2" t="str">
        <f>IFERROR(__xludf.DUMMYFUNCTION("GOOGLEFINANCE(A282,""name"")"),"Amazon.com, Inc.")</f>
        <v>Amazon.com, Inc.</v>
      </c>
    </row>
    <row r="283">
      <c r="A283" s="1" t="s">
        <v>270</v>
      </c>
      <c r="B283" s="2" t="str">
        <f>IFERROR(__xludf.DUMMYFUNCTION("GOOGLEFINANCE(A283,""name"")"),"3M Co")</f>
        <v>3M Co</v>
      </c>
    </row>
    <row r="284">
      <c r="A284" s="1" t="s">
        <v>271</v>
      </c>
      <c r="B284" s="2" t="str">
        <f>IFERROR(__xludf.DUMMYFUNCTION("GOOGLEFINANCE(A284,""name"")"),"Old Republic International Corporation")</f>
        <v>Old Republic International Corporation</v>
      </c>
    </row>
    <row r="285">
      <c r="A285" s="1" t="s">
        <v>272</v>
      </c>
      <c r="B285" s="2" t="str">
        <f>IFERROR(__xludf.DUMMYFUNCTION("GOOGLEFINANCE(A285,""name"")"),"Nasdaq Inc")</f>
        <v>Nasdaq Inc</v>
      </c>
    </row>
    <row r="286">
      <c r="A286" s="1" t="s">
        <v>178</v>
      </c>
      <c r="B286" s="2" t="str">
        <f>IFERROR(__xludf.DUMMYFUNCTION("GOOGLEFINANCE(A286,""name"")"),"CEVA, Inc.")</f>
        <v>CEVA, Inc.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6.13"/>
  </cols>
  <sheetData>
    <row r="3">
      <c r="B3" s="2" t="str">
        <f>DelayedImportJSON("https://financialmodelingprep.com/api/v3/income-statement/AAPL?limit=3&amp;apikey=ec9d29f143d5a1cf9ee6c5a2232736f9")</f>
        <v>Date</v>
      </c>
      <c r="C3" s="2" t="s">
        <v>273</v>
      </c>
      <c r="D3" s="2" t="s">
        <v>274</v>
      </c>
      <c r="E3" s="2" t="s">
        <v>275</v>
      </c>
      <c r="F3" s="2" t="s">
        <v>276</v>
      </c>
      <c r="G3" s="2" t="s">
        <v>277</v>
      </c>
      <c r="H3" s="2" t="s">
        <v>278</v>
      </c>
      <c r="I3" s="2" t="s">
        <v>279</v>
      </c>
      <c r="J3" s="2" t="s">
        <v>280</v>
      </c>
      <c r="K3" s="2" t="s">
        <v>281</v>
      </c>
      <c r="L3" s="2" t="s">
        <v>282</v>
      </c>
      <c r="M3" s="2" t="s">
        <v>283</v>
      </c>
      <c r="N3" s="2" t="s">
        <v>284</v>
      </c>
      <c r="O3" s="2" t="s">
        <v>285</v>
      </c>
      <c r="P3" s="2" t="s">
        <v>286</v>
      </c>
      <c r="Q3" s="2" t="s">
        <v>287</v>
      </c>
      <c r="R3" s="2" t="s">
        <v>288</v>
      </c>
      <c r="S3" s="2" t="s">
        <v>289</v>
      </c>
      <c r="T3" s="2" t="s">
        <v>290</v>
      </c>
      <c r="U3" s="2" t="s">
        <v>291</v>
      </c>
      <c r="V3" s="2" t="s">
        <v>292</v>
      </c>
      <c r="W3" s="2" t="s">
        <v>293</v>
      </c>
      <c r="X3" s="2" t="s">
        <v>294</v>
      </c>
      <c r="Y3" s="2" t="s">
        <v>295</v>
      </c>
      <c r="Z3" s="2" t="s">
        <v>296</v>
      </c>
      <c r="AA3" s="2" t="s">
        <v>297</v>
      </c>
      <c r="AB3" s="2" t="s">
        <v>298</v>
      </c>
      <c r="AC3" s="2" t="s">
        <v>299</v>
      </c>
      <c r="AD3" s="2" t="s">
        <v>300</v>
      </c>
      <c r="AE3" s="2" t="s">
        <v>301</v>
      </c>
      <c r="AF3" s="2" t="s">
        <v>302</v>
      </c>
      <c r="AG3" s="2" t="s">
        <v>303</v>
      </c>
      <c r="AH3" s="2" t="s">
        <v>304</v>
      </c>
      <c r="AI3" s="2" t="s">
        <v>305</v>
      </c>
      <c r="AJ3" s="2" t="s">
        <v>306</v>
      </c>
      <c r="AK3" s="2" t="s">
        <v>307</v>
      </c>
      <c r="AL3" s="2" t="s">
        <v>308</v>
      </c>
      <c r="AM3" s="2" t="s">
        <v>309</v>
      </c>
    </row>
    <row r="4">
      <c r="B4" s="2" t="s">
        <v>310</v>
      </c>
      <c r="C4" s="2" t="s">
        <v>266</v>
      </c>
      <c r="D4" s="2" t="s">
        <v>311</v>
      </c>
      <c r="E4" s="2" t="s">
        <v>312</v>
      </c>
      <c r="F4" s="2" t="s">
        <v>313</v>
      </c>
      <c r="G4" s="2" t="s">
        <v>314</v>
      </c>
      <c r="H4" s="2" t="s">
        <v>315</v>
      </c>
      <c r="I4" s="2" t="s">
        <v>316</v>
      </c>
      <c r="J4" s="2" t="s">
        <v>317</v>
      </c>
      <c r="K4" s="2" t="s">
        <v>318</v>
      </c>
      <c r="L4" s="2" t="s">
        <v>319</v>
      </c>
      <c r="M4" s="2" t="s">
        <v>320</v>
      </c>
      <c r="N4" s="2" t="s">
        <v>321</v>
      </c>
      <c r="O4" s="2">
        <v>0.0</v>
      </c>
      <c r="P4" s="2">
        <v>0.0</v>
      </c>
      <c r="Q4" s="2" t="s">
        <v>322</v>
      </c>
      <c r="R4" s="2">
        <v>0.0</v>
      </c>
      <c r="S4" s="2" t="s">
        <v>323</v>
      </c>
      <c r="T4" s="2" t="s">
        <v>324</v>
      </c>
      <c r="U4" s="2" t="s">
        <v>325</v>
      </c>
      <c r="V4" s="2" t="s">
        <v>326</v>
      </c>
      <c r="W4" s="2" t="s">
        <v>327</v>
      </c>
      <c r="X4" s="2" t="s">
        <v>328</v>
      </c>
      <c r="Y4" s="2" t="s">
        <v>329</v>
      </c>
      <c r="Z4" s="3" t="s">
        <v>330</v>
      </c>
      <c r="AA4" s="2" t="s">
        <v>331</v>
      </c>
      <c r="AB4" s="2" t="s">
        <v>332</v>
      </c>
      <c r="AC4" s="2" t="s">
        <v>333</v>
      </c>
      <c r="AD4" s="2" t="s">
        <v>334</v>
      </c>
      <c r="AE4" s="2" t="s">
        <v>335</v>
      </c>
      <c r="AF4" s="2" t="s">
        <v>336</v>
      </c>
      <c r="AG4" s="2" t="s">
        <v>337</v>
      </c>
      <c r="AH4" s="2" t="s">
        <v>338</v>
      </c>
      <c r="AI4" s="2" t="s">
        <v>339</v>
      </c>
      <c r="AJ4" s="2" t="s">
        <v>340</v>
      </c>
      <c r="AK4" s="2" t="s">
        <v>341</v>
      </c>
      <c r="AL4" s="4" t="s">
        <v>342</v>
      </c>
      <c r="AM4" s="4" t="s">
        <v>343</v>
      </c>
    </row>
    <row r="5">
      <c r="B5" s="2" t="s">
        <v>344</v>
      </c>
      <c r="C5" s="2" t="s">
        <v>266</v>
      </c>
      <c r="D5" s="2" t="s">
        <v>311</v>
      </c>
      <c r="E5" s="2" t="s">
        <v>312</v>
      </c>
      <c r="F5" s="2" t="s">
        <v>345</v>
      </c>
      <c r="G5" s="2" t="s">
        <v>346</v>
      </c>
      <c r="H5" s="2" t="s">
        <v>347</v>
      </c>
      <c r="I5" s="2" t="s">
        <v>316</v>
      </c>
      <c r="J5" s="2" t="s">
        <v>348</v>
      </c>
      <c r="K5" s="2" t="s">
        <v>349</v>
      </c>
      <c r="L5" s="2" t="s">
        <v>350</v>
      </c>
      <c r="M5" s="2" t="s">
        <v>351</v>
      </c>
      <c r="N5" s="2" t="s">
        <v>352</v>
      </c>
      <c r="O5" s="2">
        <v>0.0</v>
      </c>
      <c r="P5" s="2">
        <v>0.0</v>
      </c>
      <c r="Q5" s="2" t="s">
        <v>353</v>
      </c>
      <c r="R5" s="2">
        <v>0.0</v>
      </c>
      <c r="S5" s="2" t="s">
        <v>354</v>
      </c>
      <c r="T5" s="2" t="s">
        <v>355</v>
      </c>
      <c r="U5" s="2" t="s">
        <v>356</v>
      </c>
      <c r="V5" s="2" t="s">
        <v>357</v>
      </c>
      <c r="W5" s="2" t="s">
        <v>358</v>
      </c>
      <c r="X5" s="2" t="s">
        <v>359</v>
      </c>
      <c r="Y5" s="2" t="s">
        <v>360</v>
      </c>
      <c r="Z5" s="2" t="s">
        <v>361</v>
      </c>
      <c r="AA5" s="2" t="s">
        <v>362</v>
      </c>
      <c r="AB5" s="2" t="s">
        <v>363</v>
      </c>
      <c r="AC5" s="2" t="s">
        <v>364</v>
      </c>
      <c r="AD5" s="2" t="s">
        <v>365</v>
      </c>
      <c r="AE5" s="2" t="s">
        <v>366</v>
      </c>
      <c r="AF5" s="2" t="s">
        <v>367</v>
      </c>
      <c r="AG5" s="2" t="s">
        <v>368</v>
      </c>
      <c r="AH5" s="2" t="s">
        <v>369</v>
      </c>
      <c r="AI5" s="2" t="s">
        <v>370</v>
      </c>
      <c r="AJ5" s="2" t="s">
        <v>371</v>
      </c>
      <c r="AK5" s="2" t="s">
        <v>372</v>
      </c>
      <c r="AL5" s="4" t="s">
        <v>373</v>
      </c>
      <c r="AM5" s="4" t="s">
        <v>374</v>
      </c>
    </row>
    <row r="6">
      <c r="B6" s="2" t="s">
        <v>375</v>
      </c>
      <c r="C6" s="2" t="s">
        <v>266</v>
      </c>
      <c r="D6" s="2" t="s">
        <v>311</v>
      </c>
      <c r="E6" s="2" t="s">
        <v>312</v>
      </c>
      <c r="F6" s="2" t="s">
        <v>376</v>
      </c>
      <c r="G6" s="2" t="s">
        <v>377</v>
      </c>
      <c r="H6" s="2" t="s">
        <v>378</v>
      </c>
      <c r="I6" s="2" t="s">
        <v>316</v>
      </c>
      <c r="J6" s="2" t="s">
        <v>379</v>
      </c>
      <c r="K6" s="2" t="s">
        <v>380</v>
      </c>
      <c r="L6" s="2" t="s">
        <v>381</v>
      </c>
      <c r="M6" s="2" t="s">
        <v>382</v>
      </c>
      <c r="N6" s="2" t="s">
        <v>383</v>
      </c>
      <c r="O6" s="2">
        <v>0.0</v>
      </c>
      <c r="P6" s="2">
        <v>0.0</v>
      </c>
      <c r="Q6" s="2" t="s">
        <v>384</v>
      </c>
      <c r="R6" s="2">
        <v>0.0</v>
      </c>
      <c r="S6" s="2" t="s">
        <v>385</v>
      </c>
      <c r="T6" s="2" t="s">
        <v>386</v>
      </c>
      <c r="U6" s="2" t="s">
        <v>387</v>
      </c>
      <c r="V6" s="2" t="s">
        <v>388</v>
      </c>
      <c r="W6" s="2" t="s">
        <v>389</v>
      </c>
      <c r="X6" s="2" t="s">
        <v>390</v>
      </c>
      <c r="Y6" s="2" t="s">
        <v>391</v>
      </c>
      <c r="Z6" s="2" t="s">
        <v>392</v>
      </c>
      <c r="AA6" s="2" t="s">
        <v>393</v>
      </c>
      <c r="AB6" s="2" t="s">
        <v>394</v>
      </c>
      <c r="AC6" s="2" t="s">
        <v>395</v>
      </c>
      <c r="AD6" s="2" t="s">
        <v>396</v>
      </c>
      <c r="AE6" s="2" t="s">
        <v>397</v>
      </c>
      <c r="AF6" s="2" t="s">
        <v>398</v>
      </c>
      <c r="AG6" s="2" t="s">
        <v>399</v>
      </c>
      <c r="AH6" s="2" t="s">
        <v>400</v>
      </c>
      <c r="AI6" s="2" t="s">
        <v>401</v>
      </c>
      <c r="AJ6" s="2" t="s">
        <v>402</v>
      </c>
      <c r="AK6" s="2" t="s">
        <v>403</v>
      </c>
      <c r="AL6" s="4" t="s">
        <v>404</v>
      </c>
      <c r="AM6" s="4" t="s">
        <v>405</v>
      </c>
    </row>
    <row r="9">
      <c r="B9" s="5"/>
      <c r="L9" s="3"/>
      <c r="Z9" s="3"/>
    </row>
    <row r="10">
      <c r="Z10" s="6"/>
    </row>
    <row r="11">
      <c r="B11" s="5" t="str">
        <f>DelayedImportJSON("https://financialmodelingprep.com/api/v3/income-statement/TSLA?limit=3&amp;apikey=ec9d29f143d5a1cf9ee6c5a2232736f9")</f>
        <v>Date</v>
      </c>
      <c r="C11" s="2" t="s">
        <v>273</v>
      </c>
      <c r="D11" s="2" t="s">
        <v>274</v>
      </c>
      <c r="E11" s="2" t="s">
        <v>275</v>
      </c>
      <c r="F11" s="2" t="s">
        <v>276</v>
      </c>
      <c r="G11" s="2" t="s">
        <v>277</v>
      </c>
      <c r="H11" s="2" t="s">
        <v>278</v>
      </c>
      <c r="I11" s="2" t="s">
        <v>279</v>
      </c>
      <c r="J11" s="2" t="s">
        <v>280</v>
      </c>
      <c r="K11" s="2" t="s">
        <v>281</v>
      </c>
      <c r="L11" s="2" t="s">
        <v>282</v>
      </c>
      <c r="M11" s="2" t="s">
        <v>283</v>
      </c>
      <c r="N11" s="2" t="s">
        <v>284</v>
      </c>
      <c r="O11" s="2" t="s">
        <v>285</v>
      </c>
      <c r="P11" s="2" t="s">
        <v>286</v>
      </c>
      <c r="Q11" s="2" t="s">
        <v>287</v>
      </c>
      <c r="R11" s="2" t="s">
        <v>288</v>
      </c>
      <c r="S11" s="2" t="s">
        <v>289</v>
      </c>
      <c r="T11" s="2" t="s">
        <v>290</v>
      </c>
      <c r="U11" s="2" t="s">
        <v>291</v>
      </c>
      <c r="V11" s="2" t="s">
        <v>292</v>
      </c>
      <c r="W11" s="2" t="s">
        <v>293</v>
      </c>
      <c r="X11" s="2" t="s">
        <v>294</v>
      </c>
      <c r="Y11" s="2" t="s">
        <v>295</v>
      </c>
      <c r="Z11" s="2" t="s">
        <v>296</v>
      </c>
      <c r="AA11" s="2" t="s">
        <v>297</v>
      </c>
      <c r="AB11" s="2" t="s">
        <v>298</v>
      </c>
      <c r="AC11" s="2" t="s">
        <v>299</v>
      </c>
      <c r="AD11" s="2" t="s">
        <v>300</v>
      </c>
      <c r="AE11" s="2" t="s">
        <v>301</v>
      </c>
      <c r="AF11" s="2" t="s">
        <v>302</v>
      </c>
      <c r="AG11" s="2" t="s">
        <v>303</v>
      </c>
      <c r="AH11" s="2" t="s">
        <v>304</v>
      </c>
      <c r="AI11" s="2" t="s">
        <v>305</v>
      </c>
      <c r="AJ11" s="2" t="s">
        <v>306</v>
      </c>
      <c r="AK11" s="2" t="s">
        <v>307</v>
      </c>
      <c r="AL11" s="2" t="s">
        <v>308</v>
      </c>
      <c r="AM11" s="2" t="s">
        <v>309</v>
      </c>
    </row>
    <row r="12">
      <c r="B12" s="2" t="s">
        <v>406</v>
      </c>
      <c r="C12" s="2" t="s">
        <v>407</v>
      </c>
      <c r="D12" s="2" t="s">
        <v>311</v>
      </c>
      <c r="E12" s="2" t="s">
        <v>408</v>
      </c>
      <c r="F12" s="2" t="s">
        <v>409</v>
      </c>
      <c r="G12" s="2" t="s">
        <v>410</v>
      </c>
      <c r="H12" s="2" t="s">
        <v>315</v>
      </c>
      <c r="I12" s="2" t="s">
        <v>316</v>
      </c>
      <c r="J12" s="2" t="s">
        <v>411</v>
      </c>
      <c r="K12" s="2" t="s">
        <v>412</v>
      </c>
      <c r="L12" s="2" t="s">
        <v>413</v>
      </c>
      <c r="M12" s="2" t="s">
        <v>414</v>
      </c>
      <c r="N12" s="2" t="s">
        <v>415</v>
      </c>
      <c r="O12" s="2">
        <v>0.0</v>
      </c>
      <c r="P12" s="2">
        <v>0.0</v>
      </c>
      <c r="Q12" s="2" t="s">
        <v>416</v>
      </c>
      <c r="R12" s="2">
        <v>0.0</v>
      </c>
      <c r="S12" s="2" t="s">
        <v>417</v>
      </c>
      <c r="T12" s="2" t="s">
        <v>418</v>
      </c>
      <c r="U12" s="2" t="s">
        <v>419</v>
      </c>
      <c r="V12" s="2" t="s">
        <v>420</v>
      </c>
      <c r="W12" s="2" t="s">
        <v>421</v>
      </c>
      <c r="X12" s="2" t="s">
        <v>422</v>
      </c>
      <c r="Y12" s="2" t="s">
        <v>423</v>
      </c>
      <c r="Z12" s="2" t="s">
        <v>424</v>
      </c>
      <c r="AA12" s="2" t="s">
        <v>425</v>
      </c>
      <c r="AB12" s="2" t="s">
        <v>426</v>
      </c>
      <c r="AC12" s="2" t="s">
        <v>427</v>
      </c>
      <c r="AD12" s="2" t="s">
        <v>428</v>
      </c>
      <c r="AE12" s="2" t="s">
        <v>429</v>
      </c>
      <c r="AF12" s="2" t="s">
        <v>430</v>
      </c>
      <c r="AG12" s="2" t="s">
        <v>431</v>
      </c>
      <c r="AH12" s="2" t="s">
        <v>432</v>
      </c>
      <c r="AI12" s="2" t="s">
        <v>432</v>
      </c>
      <c r="AJ12" s="2" t="s">
        <v>433</v>
      </c>
      <c r="AK12" s="2" t="s">
        <v>433</v>
      </c>
      <c r="AL12" s="4" t="s">
        <v>434</v>
      </c>
      <c r="AM12" s="4" t="s">
        <v>435</v>
      </c>
    </row>
    <row r="13">
      <c r="B13" s="2" t="s">
        <v>436</v>
      </c>
      <c r="C13" s="2" t="s">
        <v>407</v>
      </c>
      <c r="D13" s="2" t="s">
        <v>311</v>
      </c>
      <c r="E13" s="2" t="s">
        <v>408</v>
      </c>
      <c r="F13" s="2" t="s">
        <v>437</v>
      </c>
      <c r="G13" s="2" t="s">
        <v>438</v>
      </c>
      <c r="H13" s="2" t="s">
        <v>347</v>
      </c>
      <c r="I13" s="2" t="s">
        <v>316</v>
      </c>
      <c r="J13" s="2" t="s">
        <v>439</v>
      </c>
      <c r="K13" s="2" t="s">
        <v>440</v>
      </c>
      <c r="L13" s="2" t="s">
        <v>441</v>
      </c>
      <c r="M13" s="2" t="s">
        <v>442</v>
      </c>
      <c r="N13" s="2" t="s">
        <v>443</v>
      </c>
      <c r="O13" s="2" t="s">
        <v>444</v>
      </c>
      <c r="P13" s="2">
        <v>0.0</v>
      </c>
      <c r="Q13" s="2" t="s">
        <v>444</v>
      </c>
      <c r="R13" s="2">
        <v>0.0</v>
      </c>
      <c r="S13" s="2" t="s">
        <v>445</v>
      </c>
      <c r="T13" s="2" t="s">
        <v>446</v>
      </c>
      <c r="U13" s="2" t="s">
        <v>447</v>
      </c>
      <c r="V13" s="2" t="s">
        <v>448</v>
      </c>
      <c r="W13" s="2" t="s">
        <v>449</v>
      </c>
      <c r="X13" s="2" t="s">
        <v>450</v>
      </c>
      <c r="Y13" s="2" t="s">
        <v>451</v>
      </c>
      <c r="Z13" s="2" t="s">
        <v>452</v>
      </c>
      <c r="AA13" s="2" t="s">
        <v>453</v>
      </c>
      <c r="AB13" s="2" t="s">
        <v>454</v>
      </c>
      <c r="AC13" s="2" t="s">
        <v>455</v>
      </c>
      <c r="AD13" s="2" t="s">
        <v>456</v>
      </c>
      <c r="AE13" s="2" t="s">
        <v>457</v>
      </c>
      <c r="AF13" s="2" t="s">
        <v>458</v>
      </c>
      <c r="AG13" s="2" t="s">
        <v>459</v>
      </c>
      <c r="AH13" s="2" t="s">
        <v>460</v>
      </c>
      <c r="AI13" s="2" t="s">
        <v>461</v>
      </c>
      <c r="AJ13" s="2" t="s">
        <v>433</v>
      </c>
      <c r="AK13" s="2" t="s">
        <v>433</v>
      </c>
      <c r="AL13" s="4" t="s">
        <v>462</v>
      </c>
      <c r="AM13" s="4" t="s">
        <v>463</v>
      </c>
    </row>
    <row r="14">
      <c r="B14" s="2" t="s">
        <v>464</v>
      </c>
      <c r="C14" s="2" t="s">
        <v>407</v>
      </c>
      <c r="D14" s="2" t="s">
        <v>311</v>
      </c>
      <c r="E14" s="2" t="s">
        <v>408</v>
      </c>
      <c r="F14" s="2" t="s">
        <v>465</v>
      </c>
      <c r="G14" s="2" t="s">
        <v>466</v>
      </c>
      <c r="H14" s="2" t="s">
        <v>378</v>
      </c>
      <c r="I14" s="2" t="s">
        <v>316</v>
      </c>
      <c r="J14" s="2" t="s">
        <v>467</v>
      </c>
      <c r="K14" s="2" t="s">
        <v>468</v>
      </c>
      <c r="L14" s="2" t="s">
        <v>469</v>
      </c>
      <c r="M14" s="2" t="s">
        <v>470</v>
      </c>
      <c r="N14" s="2" t="s">
        <v>471</v>
      </c>
      <c r="O14" s="2" t="s">
        <v>472</v>
      </c>
      <c r="P14" s="2">
        <v>0.0</v>
      </c>
      <c r="Q14" s="2" t="s">
        <v>472</v>
      </c>
      <c r="R14" s="2">
        <v>0.0</v>
      </c>
      <c r="S14" s="2" t="s">
        <v>473</v>
      </c>
      <c r="T14" s="2" t="s">
        <v>474</v>
      </c>
      <c r="U14" s="2" t="s">
        <v>475</v>
      </c>
      <c r="V14" s="2" t="s">
        <v>476</v>
      </c>
      <c r="W14" s="2" t="s">
        <v>477</v>
      </c>
      <c r="X14" s="2" t="s">
        <v>478</v>
      </c>
      <c r="Y14" s="2" t="s">
        <v>479</v>
      </c>
      <c r="Z14" s="2" t="s">
        <v>480</v>
      </c>
      <c r="AA14" s="2" t="s">
        <v>481</v>
      </c>
      <c r="AB14" s="2" t="s">
        <v>482</v>
      </c>
      <c r="AC14" s="2" t="s">
        <v>483</v>
      </c>
      <c r="AD14" s="2" t="s">
        <v>484</v>
      </c>
      <c r="AE14" s="2" t="s">
        <v>485</v>
      </c>
      <c r="AF14" s="2" t="s">
        <v>486</v>
      </c>
      <c r="AG14" s="2" t="s">
        <v>487</v>
      </c>
      <c r="AH14" s="2" t="s">
        <v>488</v>
      </c>
      <c r="AI14" s="2" t="s">
        <v>488</v>
      </c>
      <c r="AJ14" s="2" t="s">
        <v>489</v>
      </c>
      <c r="AK14" s="2" t="s">
        <v>489</v>
      </c>
      <c r="AL14" s="4" t="s">
        <v>490</v>
      </c>
      <c r="AM14" s="4" t="s">
        <v>491</v>
      </c>
    </row>
    <row r="18">
      <c r="B18" s="5" t="str">
        <f>DelayedImportJSON("https://financialmodelingprep.com/api/v3/income-statement/LMAT?limit=3&amp;apikey=ec9d29f143d5a1cf9ee6c5a2232736f9")</f>
        <v>Date</v>
      </c>
      <c r="C18" s="7" t="s">
        <v>273</v>
      </c>
      <c r="D18" s="2" t="s">
        <v>274</v>
      </c>
      <c r="E18" s="2" t="s">
        <v>275</v>
      </c>
      <c r="F18" s="8" t="s">
        <v>276</v>
      </c>
      <c r="G18" s="8" t="s">
        <v>277</v>
      </c>
      <c r="H18" s="2" t="s">
        <v>278</v>
      </c>
      <c r="I18" s="2" t="s">
        <v>279</v>
      </c>
      <c r="J18" s="5" t="s">
        <v>280</v>
      </c>
      <c r="K18" s="2" t="s">
        <v>281</v>
      </c>
      <c r="L18" s="2" t="s">
        <v>282</v>
      </c>
      <c r="M18" s="2" t="s">
        <v>283</v>
      </c>
      <c r="N18" s="2" t="s">
        <v>284</v>
      </c>
      <c r="O18" s="2" t="s">
        <v>285</v>
      </c>
      <c r="P18" s="2" t="s">
        <v>286</v>
      </c>
      <c r="Q18" s="2" t="s">
        <v>287</v>
      </c>
      <c r="R18" s="2" t="s">
        <v>288</v>
      </c>
      <c r="S18" s="2" t="s">
        <v>289</v>
      </c>
      <c r="T18" s="2" t="s">
        <v>290</v>
      </c>
      <c r="U18" s="2" t="s">
        <v>291</v>
      </c>
      <c r="V18" s="2" t="s">
        <v>292</v>
      </c>
      <c r="W18" s="2" t="s">
        <v>293</v>
      </c>
      <c r="X18" s="2" t="s">
        <v>294</v>
      </c>
      <c r="Y18" s="2" t="s">
        <v>295</v>
      </c>
      <c r="Z18" s="2" t="s">
        <v>296</v>
      </c>
      <c r="AA18" s="2" t="s">
        <v>297</v>
      </c>
      <c r="AB18" s="2" t="s">
        <v>298</v>
      </c>
      <c r="AC18" s="2" t="s">
        <v>299</v>
      </c>
      <c r="AD18" s="2" t="s">
        <v>300</v>
      </c>
      <c r="AE18" s="2" t="s">
        <v>301</v>
      </c>
      <c r="AF18" s="2" t="s">
        <v>302</v>
      </c>
      <c r="AG18" s="2" t="s">
        <v>303</v>
      </c>
      <c r="AH18" s="2" t="s">
        <v>304</v>
      </c>
      <c r="AI18" s="2" t="s">
        <v>305</v>
      </c>
      <c r="AJ18" s="2" t="s">
        <v>306</v>
      </c>
      <c r="AK18" s="2" t="s">
        <v>307</v>
      </c>
      <c r="AL18" s="2" t="s">
        <v>308</v>
      </c>
      <c r="AM18" s="2" t="s">
        <v>309</v>
      </c>
    </row>
    <row r="19">
      <c r="B19" s="2" t="s">
        <v>406</v>
      </c>
      <c r="C19" s="2" t="s">
        <v>1</v>
      </c>
      <c r="D19" s="2" t="s">
        <v>311</v>
      </c>
      <c r="E19" s="2" t="s">
        <v>492</v>
      </c>
      <c r="F19" s="2" t="s">
        <v>493</v>
      </c>
      <c r="G19" s="2" t="s">
        <v>494</v>
      </c>
      <c r="H19" s="2" t="s">
        <v>315</v>
      </c>
      <c r="I19" s="2" t="s">
        <v>316</v>
      </c>
      <c r="J19" s="2" t="s">
        <v>495</v>
      </c>
      <c r="K19" s="2" t="s">
        <v>496</v>
      </c>
      <c r="L19" s="2" t="s">
        <v>497</v>
      </c>
      <c r="M19" s="2" t="s">
        <v>498</v>
      </c>
      <c r="N19" s="2" t="s">
        <v>499</v>
      </c>
      <c r="O19" s="2" t="s">
        <v>500</v>
      </c>
      <c r="P19" s="2" t="s">
        <v>501</v>
      </c>
      <c r="Q19" s="2" t="s">
        <v>502</v>
      </c>
      <c r="R19" s="2">
        <v>0.0</v>
      </c>
      <c r="S19" s="2" t="s">
        <v>503</v>
      </c>
      <c r="T19" s="2" t="s">
        <v>504</v>
      </c>
      <c r="U19" s="2" t="s">
        <v>505</v>
      </c>
      <c r="V19" s="2" t="s">
        <v>506</v>
      </c>
      <c r="W19" s="2" t="s">
        <v>507</v>
      </c>
      <c r="X19" s="2" t="s">
        <v>508</v>
      </c>
      <c r="Y19" s="2" t="s">
        <v>509</v>
      </c>
      <c r="Z19" s="2" t="s">
        <v>510</v>
      </c>
      <c r="AA19" s="2" t="s">
        <v>511</v>
      </c>
      <c r="AB19" s="2" t="s">
        <v>512</v>
      </c>
      <c r="AC19" s="2" t="s">
        <v>513</v>
      </c>
      <c r="AD19" s="2" t="s">
        <v>514</v>
      </c>
      <c r="AE19" s="2" t="s">
        <v>515</v>
      </c>
      <c r="AF19" s="2" t="s">
        <v>516</v>
      </c>
      <c r="AG19" s="2" t="s">
        <v>517</v>
      </c>
      <c r="AH19" s="2" t="s">
        <v>518</v>
      </c>
      <c r="AI19" s="2" t="s">
        <v>519</v>
      </c>
      <c r="AJ19" s="2" t="s">
        <v>520</v>
      </c>
      <c r="AK19" s="2" t="s">
        <v>521</v>
      </c>
      <c r="AL19" s="4" t="s">
        <v>522</v>
      </c>
      <c r="AM19" s="4" t="s">
        <v>523</v>
      </c>
    </row>
    <row r="20">
      <c r="B20" s="2" t="s">
        <v>436</v>
      </c>
      <c r="C20" s="2" t="s">
        <v>1</v>
      </c>
      <c r="D20" s="2" t="s">
        <v>311</v>
      </c>
      <c r="E20" s="2" t="s">
        <v>492</v>
      </c>
      <c r="F20" s="2" t="s">
        <v>524</v>
      </c>
      <c r="G20" s="2" t="s">
        <v>525</v>
      </c>
      <c r="H20" s="2" t="s">
        <v>347</v>
      </c>
      <c r="I20" s="2" t="s">
        <v>316</v>
      </c>
      <c r="J20" s="2" t="s">
        <v>526</v>
      </c>
      <c r="K20" s="2" t="s">
        <v>527</v>
      </c>
      <c r="L20" s="2" t="s">
        <v>528</v>
      </c>
      <c r="M20" s="2" t="s">
        <v>529</v>
      </c>
      <c r="N20" s="2" t="s">
        <v>530</v>
      </c>
      <c r="O20" s="2" t="s">
        <v>531</v>
      </c>
      <c r="P20" s="2" t="s">
        <v>532</v>
      </c>
      <c r="Q20" s="2" t="s">
        <v>533</v>
      </c>
      <c r="R20" s="2">
        <v>0.0</v>
      </c>
      <c r="S20" s="2" t="s">
        <v>534</v>
      </c>
      <c r="T20" s="2" t="s">
        <v>535</v>
      </c>
      <c r="U20" s="2" t="s">
        <v>536</v>
      </c>
      <c r="V20" s="2" t="s">
        <v>537</v>
      </c>
      <c r="W20" s="2" t="s">
        <v>538</v>
      </c>
      <c r="X20" s="2" t="s">
        <v>539</v>
      </c>
      <c r="Y20" s="2" t="s">
        <v>540</v>
      </c>
      <c r="Z20" s="2" t="s">
        <v>541</v>
      </c>
      <c r="AA20" s="2" t="s">
        <v>542</v>
      </c>
      <c r="AB20" s="2" t="s">
        <v>543</v>
      </c>
      <c r="AC20" s="2" t="s">
        <v>544</v>
      </c>
      <c r="AD20" s="2" t="s">
        <v>545</v>
      </c>
      <c r="AE20" s="2" t="s">
        <v>546</v>
      </c>
      <c r="AF20" s="2" t="s">
        <v>547</v>
      </c>
      <c r="AG20" s="2" t="s">
        <v>548</v>
      </c>
      <c r="AH20" s="2" t="s">
        <v>549</v>
      </c>
      <c r="AI20" s="2" t="s">
        <v>550</v>
      </c>
      <c r="AJ20" s="2" t="s">
        <v>551</v>
      </c>
      <c r="AK20" s="2" t="s">
        <v>552</v>
      </c>
      <c r="AL20" s="4" t="s">
        <v>553</v>
      </c>
      <c r="AM20" s="4" t="s">
        <v>554</v>
      </c>
    </row>
    <row r="21">
      <c r="B21" s="9" t="s">
        <v>464</v>
      </c>
      <c r="C21" s="2" t="s">
        <v>1</v>
      </c>
      <c r="D21" s="2" t="s">
        <v>311</v>
      </c>
      <c r="E21" s="2" t="s">
        <v>492</v>
      </c>
      <c r="F21" s="2" t="s">
        <v>555</v>
      </c>
      <c r="G21" s="2" t="s">
        <v>556</v>
      </c>
      <c r="H21" s="2" t="s">
        <v>378</v>
      </c>
      <c r="I21" s="2" t="s">
        <v>316</v>
      </c>
      <c r="J21" s="2" t="s">
        <v>557</v>
      </c>
      <c r="K21" s="2" t="s">
        <v>558</v>
      </c>
      <c r="L21" s="2" t="s">
        <v>559</v>
      </c>
      <c r="M21" s="2" t="s">
        <v>560</v>
      </c>
      <c r="N21" s="2" t="s">
        <v>561</v>
      </c>
      <c r="O21" s="2" t="s">
        <v>562</v>
      </c>
      <c r="P21" s="2" t="s">
        <v>563</v>
      </c>
      <c r="Q21" s="2" t="s">
        <v>564</v>
      </c>
      <c r="R21" s="2">
        <v>0.0</v>
      </c>
      <c r="S21" s="2" t="s">
        <v>565</v>
      </c>
      <c r="T21" s="2" t="s">
        <v>566</v>
      </c>
      <c r="U21" s="2" t="s">
        <v>567</v>
      </c>
      <c r="V21" s="2">
        <v>0.0</v>
      </c>
      <c r="W21" s="2" t="s">
        <v>568</v>
      </c>
      <c r="X21" s="2" t="s">
        <v>569</v>
      </c>
      <c r="Y21" s="2" t="s">
        <v>570</v>
      </c>
      <c r="Z21" s="2" t="s">
        <v>571</v>
      </c>
      <c r="AA21" s="2" t="s">
        <v>572</v>
      </c>
      <c r="AB21" s="2" t="s">
        <v>573</v>
      </c>
      <c r="AC21" s="2" t="s">
        <v>574</v>
      </c>
      <c r="AD21" s="2" t="s">
        <v>575</v>
      </c>
      <c r="AE21" s="2" t="s">
        <v>576</v>
      </c>
      <c r="AF21" s="2" t="s">
        <v>577</v>
      </c>
      <c r="AG21" s="2" t="s">
        <v>578</v>
      </c>
      <c r="AH21" s="2" t="s">
        <v>579</v>
      </c>
      <c r="AI21" s="2" t="s">
        <v>580</v>
      </c>
      <c r="AJ21" s="2" t="s">
        <v>581</v>
      </c>
      <c r="AK21" s="2" t="s">
        <v>582</v>
      </c>
      <c r="AL21" s="4" t="s">
        <v>583</v>
      </c>
      <c r="AM21" s="4" t="s">
        <v>584</v>
      </c>
    </row>
    <row r="24">
      <c r="B24" s="10" t="str">
        <f>DelayedImportJSON("https://financialmodelingprep.com/api/v3/earning_call_transcript/LMAT?quarter=1&amp;year=2015&amp;apikey=ec9d29f143d5a1cf9ee6c5a2232736f9")</f>
        <v>Symbol</v>
      </c>
      <c r="C24" s="2" t="s">
        <v>585</v>
      </c>
      <c r="D24" s="2" t="s">
        <v>586</v>
      </c>
      <c r="E24" s="2" t="s">
        <v>587</v>
      </c>
      <c r="F24" s="2" t="s">
        <v>588</v>
      </c>
    </row>
    <row r="25">
      <c r="B25" s="2" t="s">
        <v>1</v>
      </c>
      <c r="C25" s="2" t="s">
        <v>589</v>
      </c>
      <c r="D25" s="2" t="s">
        <v>590</v>
      </c>
      <c r="E25" s="2" t="s">
        <v>591</v>
      </c>
      <c r="F25" s="2" t="s">
        <v>592</v>
      </c>
    </row>
    <row r="29">
      <c r="B29" s="11" t="s">
        <v>593</v>
      </c>
    </row>
  </sheetData>
  <hyperlinks>
    <hyperlink r:id="rId2" ref="AL4"/>
    <hyperlink r:id="rId3" ref="AM4"/>
    <hyperlink r:id="rId4" ref="AL5"/>
    <hyperlink r:id="rId5" ref="AM5"/>
    <hyperlink r:id="rId6" ref="AL6"/>
    <hyperlink r:id="rId7" ref="AM6"/>
    <hyperlink r:id="rId8" ref="AL12"/>
    <hyperlink r:id="rId9" ref="AM12"/>
    <hyperlink r:id="rId10" ref="AL13"/>
    <hyperlink r:id="rId11" ref="AM13"/>
    <hyperlink r:id="rId12" ref="AL14"/>
    <hyperlink r:id="rId13" ref="AM14"/>
    <hyperlink r:id="rId14" ref="AL19"/>
    <hyperlink r:id="rId15" ref="AM19"/>
    <hyperlink r:id="rId16" ref="AL20"/>
    <hyperlink r:id="rId17" ref="AM20"/>
    <hyperlink r:id="rId18" ref="AL21"/>
    <hyperlink r:id="rId19" ref="AM21"/>
    <hyperlink r:id="rId20" ref="B29"/>
  </hyperlinks>
  <drawing r:id="rId21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8.0"/>
    <col customWidth="1" min="8" max="8" width="14.63"/>
    <col customWidth="1" min="10" max="10" width="19.5"/>
    <col customWidth="1" min="11" max="11" width="26.25"/>
    <col customWidth="1" min="12" max="12" width="19.75"/>
    <col customWidth="1" min="13" max="13" width="16.25"/>
    <col customWidth="1" min="14" max="14" width="16.0"/>
    <col customWidth="1" min="15" max="15" width="19.5"/>
    <col customWidth="1" min="17" max="17" width="31.63"/>
    <col customWidth="1" min="19" max="19" width="34.63"/>
  </cols>
  <sheetData>
    <row r="1">
      <c r="B1" s="12"/>
      <c r="H1" s="12"/>
      <c r="I1" s="12"/>
    </row>
    <row r="2">
      <c r="C2" s="1"/>
      <c r="D2" s="1"/>
      <c r="E2" s="1"/>
      <c r="F2" s="1"/>
      <c r="G2" s="1"/>
    </row>
    <row r="3">
      <c r="C3" s="1"/>
      <c r="D3" s="1"/>
      <c r="E3" s="1"/>
      <c r="F3" s="1"/>
      <c r="G3" s="1"/>
    </row>
    <row r="4">
      <c r="C4" s="1"/>
      <c r="D4" s="1"/>
      <c r="E4" s="1"/>
      <c r="F4" s="1"/>
      <c r="G4" s="1"/>
    </row>
    <row r="5">
      <c r="C5" s="1"/>
      <c r="D5" s="1"/>
      <c r="E5" s="1"/>
      <c r="F5" s="1"/>
      <c r="G5" s="1"/>
    </row>
    <row r="6">
      <c r="C6" s="1"/>
      <c r="D6" s="1"/>
      <c r="E6" s="1"/>
      <c r="F6" s="1"/>
      <c r="G6" s="1"/>
    </row>
    <row r="9">
      <c r="C9" s="1" t="s">
        <v>594</v>
      </c>
      <c r="D9" s="1" t="s">
        <v>595</v>
      </c>
      <c r="E9" s="1" t="s">
        <v>596</v>
      </c>
      <c r="F9" s="1" t="s">
        <v>597</v>
      </c>
      <c r="G9" s="1" t="s">
        <v>598</v>
      </c>
      <c r="H9" s="1" t="s">
        <v>599</v>
      </c>
      <c r="I9" s="1" t="s">
        <v>600</v>
      </c>
      <c r="J9" s="1" t="s">
        <v>601</v>
      </c>
      <c r="K9" s="1" t="s">
        <v>602</v>
      </c>
      <c r="L9" s="1" t="s">
        <v>603</v>
      </c>
      <c r="M9" s="1" t="s">
        <v>604</v>
      </c>
      <c r="N9" s="1" t="s">
        <v>605</v>
      </c>
      <c r="O9" s="1" t="s">
        <v>606</v>
      </c>
      <c r="P9" s="1" t="s">
        <v>607</v>
      </c>
      <c r="Q9" s="1" t="s">
        <v>608</v>
      </c>
      <c r="R9" s="1" t="s">
        <v>609</v>
      </c>
      <c r="S9" s="1" t="s">
        <v>610</v>
      </c>
      <c r="T9" s="1" t="s">
        <v>611</v>
      </c>
      <c r="U9" s="1" t="s">
        <v>612</v>
      </c>
    </row>
    <row r="10">
      <c r="A10" s="1" t="s">
        <v>613</v>
      </c>
      <c r="B10" s="1" t="s">
        <v>614</v>
      </c>
      <c r="C10" s="1" t="s">
        <v>613</v>
      </c>
      <c r="D10" s="13">
        <v>2.7024364E7</v>
      </c>
      <c r="E10" s="14">
        <v>0.2806</v>
      </c>
      <c r="F10" s="15">
        <v>9.3988</v>
      </c>
      <c r="G10" s="16">
        <v>42094.0</v>
      </c>
      <c r="H10" s="1">
        <v>38.08</v>
      </c>
      <c r="I10" s="17">
        <v>42131.0</v>
      </c>
      <c r="J10" s="1">
        <v>47.36</v>
      </c>
      <c r="K10" s="14">
        <f t="shared" ref="K10:K13" si="1">(J10-H10)/H10</f>
        <v>0.243697479</v>
      </c>
      <c r="L10" s="1">
        <v>-1.22</v>
      </c>
      <c r="M10" s="14">
        <v>-0.017</v>
      </c>
      <c r="N10" s="14">
        <f>(E10-0.2757)/0.2757</f>
        <v>0.0177729416</v>
      </c>
      <c r="O10" s="1">
        <v>0.0</v>
      </c>
      <c r="P10" s="1">
        <v>0.6312</v>
      </c>
      <c r="Q10" s="1">
        <v>3.0</v>
      </c>
      <c r="R10" s="15">
        <v>7.308921E11</v>
      </c>
      <c r="S10" s="1">
        <f t="shared" ref="S10:S13" si="2">R10/J10</f>
        <v>15432687922</v>
      </c>
      <c r="T10" s="1" t="s">
        <v>615</v>
      </c>
      <c r="U10" s="1" t="s">
        <v>616</v>
      </c>
      <c r="V10" s="1" t="s">
        <v>617</v>
      </c>
    </row>
    <row r="11">
      <c r="B11" s="1" t="s">
        <v>267</v>
      </c>
      <c r="C11" s="1" t="s">
        <v>613</v>
      </c>
      <c r="D11" s="13">
        <v>936391.0</v>
      </c>
      <c r="E11" s="14">
        <v>0.1848</v>
      </c>
      <c r="F11" s="15">
        <v>5.17973</v>
      </c>
      <c r="G11" s="16">
        <v>42094.0</v>
      </c>
      <c r="H11" s="1">
        <v>49.33</v>
      </c>
      <c r="I11" s="17">
        <v>42116.0</v>
      </c>
      <c r="J11" s="1">
        <v>50.84</v>
      </c>
      <c r="K11" s="14">
        <f t="shared" si="1"/>
        <v>0.03061017636</v>
      </c>
      <c r="L11" s="15">
        <v>0.56</v>
      </c>
      <c r="M11" s="14">
        <f>(F11-4.99673)/4.99673</f>
        <v>0.03662395206</v>
      </c>
      <c r="N11" s="14">
        <f>(E11-0.1832)/0.1832</f>
        <v>0.008733624454</v>
      </c>
      <c r="O11" s="1">
        <v>0.0</v>
      </c>
      <c r="P11" s="1">
        <v>0.4684</v>
      </c>
      <c r="Q11" s="1">
        <v>3.0</v>
      </c>
      <c r="R11" s="15">
        <v>2.557555E9</v>
      </c>
      <c r="S11" s="1">
        <f t="shared" si="2"/>
        <v>50305959.87</v>
      </c>
      <c r="T11" s="1" t="s">
        <v>615</v>
      </c>
      <c r="U11" s="1" t="s">
        <v>616</v>
      </c>
    </row>
    <row r="12">
      <c r="B12" s="1" t="s">
        <v>165</v>
      </c>
      <c r="C12" s="1" t="s">
        <v>613</v>
      </c>
      <c r="D12" s="18">
        <v>1.1662E7</v>
      </c>
      <c r="E12" s="14">
        <v>0.1999</v>
      </c>
      <c r="F12" s="15">
        <v>676.18</v>
      </c>
      <c r="G12" s="16">
        <v>42460.0</v>
      </c>
      <c r="H12" s="1">
        <v>85.01</v>
      </c>
      <c r="I12" s="17">
        <v>42124.0</v>
      </c>
      <c r="J12" s="1">
        <v>87.37</v>
      </c>
      <c r="K12" s="14">
        <f t="shared" si="1"/>
        <v>0.02776143983</v>
      </c>
      <c r="L12" s="15">
        <v>1.17</v>
      </c>
      <c r="M12" s="14">
        <f>(F12-267.3)/267.3</f>
        <v>1.529667041</v>
      </c>
      <c r="N12" s="14">
        <f>(E12-0.2027)/0.2027</f>
        <v>-0.01381351751</v>
      </c>
      <c r="O12" s="1">
        <v>0.0</v>
      </c>
      <c r="P12" s="1">
        <v>0.851</v>
      </c>
      <c r="Q12" s="1">
        <v>3.0</v>
      </c>
      <c r="R12" s="15">
        <v>3.57935E11</v>
      </c>
      <c r="S12" s="1">
        <f t="shared" si="2"/>
        <v>4096772347</v>
      </c>
      <c r="T12" s="1" t="s">
        <v>615</v>
      </c>
      <c r="U12" s="1" t="s">
        <v>616</v>
      </c>
    </row>
    <row r="13">
      <c r="B13" s="1" t="s">
        <v>129</v>
      </c>
      <c r="C13" s="1" t="s">
        <v>613</v>
      </c>
      <c r="D13" s="18">
        <v>2271080.0</v>
      </c>
      <c r="E13" s="14">
        <v>0.3949</v>
      </c>
      <c r="F13" s="15">
        <v>6.314</v>
      </c>
      <c r="G13" s="16">
        <v>42460.0</v>
      </c>
      <c r="H13" s="1">
        <v>33.45</v>
      </c>
      <c r="I13" s="17">
        <v>42122.0</v>
      </c>
      <c r="J13" s="1">
        <v>31.37</v>
      </c>
      <c r="K13" s="14">
        <f t="shared" si="1"/>
        <v>-0.06218236173</v>
      </c>
      <c r="L13" s="1">
        <v>0.4</v>
      </c>
      <c r="M13" s="14">
        <f>(F13-4.99673)/4.99673</f>
        <v>0.2636264117</v>
      </c>
      <c r="N13" s="14">
        <f>(E13-0.3936)/0.3936</f>
        <v>0.003302845528</v>
      </c>
      <c r="O13" s="1">
        <v>0.0</v>
      </c>
      <c r="P13" s="1">
        <v>1.154</v>
      </c>
      <c r="Q13" s="1">
        <v>4.0</v>
      </c>
      <c r="R13" s="15">
        <v>3.37176E9</v>
      </c>
      <c r="S13" s="1">
        <f t="shared" si="2"/>
        <v>107483583</v>
      </c>
      <c r="T13" s="1" t="s">
        <v>615</v>
      </c>
      <c r="U13" s="1" t="s">
        <v>616</v>
      </c>
    </row>
    <row r="14">
      <c r="K14" s="14"/>
    </row>
    <row r="15">
      <c r="K15" s="14"/>
    </row>
    <row r="16">
      <c r="C16" s="18"/>
      <c r="D16" s="18"/>
      <c r="E16" s="1"/>
      <c r="F16" s="1"/>
      <c r="G16" s="1" t="s">
        <v>598</v>
      </c>
      <c r="H16" s="1" t="s">
        <v>599</v>
      </c>
      <c r="I16" s="1" t="s">
        <v>600</v>
      </c>
      <c r="J16" s="1" t="s">
        <v>601</v>
      </c>
      <c r="K16" s="1" t="s">
        <v>602</v>
      </c>
      <c r="L16" s="1" t="s">
        <v>603</v>
      </c>
      <c r="M16" s="1" t="s">
        <v>604</v>
      </c>
      <c r="N16" s="1" t="s">
        <v>605</v>
      </c>
      <c r="O16" s="1" t="s">
        <v>606</v>
      </c>
      <c r="P16" s="1" t="s">
        <v>607</v>
      </c>
      <c r="Q16" s="1" t="s">
        <v>608</v>
      </c>
      <c r="R16" s="1" t="s">
        <v>609</v>
      </c>
      <c r="S16" s="1" t="s">
        <v>610</v>
      </c>
      <c r="T16" s="1" t="s">
        <v>611</v>
      </c>
      <c r="U16" s="1" t="s">
        <v>612</v>
      </c>
    </row>
    <row r="17">
      <c r="A17" s="1" t="s">
        <v>618</v>
      </c>
      <c r="B17" s="1" t="s">
        <v>407</v>
      </c>
      <c r="C17" s="1" t="s">
        <v>618</v>
      </c>
      <c r="D17" s="18">
        <v>2.3215626E7</v>
      </c>
      <c r="E17" s="14">
        <v>0.2665</v>
      </c>
      <c r="F17" s="15">
        <v>9.54976</v>
      </c>
      <c r="G17" s="16">
        <v>42185.0</v>
      </c>
      <c r="H17" s="1">
        <v>53.69</v>
      </c>
      <c r="I17" s="17">
        <v>42222.0</v>
      </c>
      <c r="J17" s="1">
        <v>49.22</v>
      </c>
      <c r="K17" s="14">
        <f t="shared" ref="K17:K20" si="3">(J17-H17)/H17</f>
        <v>-0.08325572732</v>
      </c>
      <c r="L17" s="1">
        <v>-1.46</v>
      </c>
      <c r="M17" s="14">
        <f t="shared" ref="M17:M20" si="4">(F17-F10)/F10</f>
        <v>0.01606162489</v>
      </c>
      <c r="N17" s="19">
        <f t="shared" ref="N17:N20" si="5">(E17-E10)/E10</f>
        <v>-0.05024946543</v>
      </c>
      <c r="O17" s="19">
        <f t="shared" ref="O17:O20" si="6">(D17-D10)/D10</f>
        <v>-0.1409371928</v>
      </c>
      <c r="P17" s="1">
        <v>0.8586</v>
      </c>
      <c r="Q17" s="20">
        <v>2.667</v>
      </c>
      <c r="R17" s="15">
        <v>6.6464549E11</v>
      </c>
      <c r="S17" s="1">
        <f t="shared" ref="S17:S20" si="7">R17/J17</f>
        <v>13503565421</v>
      </c>
      <c r="T17" s="1" t="s">
        <v>615</v>
      </c>
      <c r="U17" s="1" t="s">
        <v>616</v>
      </c>
    </row>
    <row r="18">
      <c r="B18" s="1" t="s">
        <v>267</v>
      </c>
      <c r="C18" s="1" t="s">
        <v>618</v>
      </c>
      <c r="D18" s="18">
        <v>1008881.0</v>
      </c>
      <c r="E18" s="14">
        <v>0.1891</v>
      </c>
      <c r="F18" s="15">
        <v>5.29107</v>
      </c>
      <c r="G18" s="16">
        <v>42185.0</v>
      </c>
      <c r="H18" s="1">
        <v>54.52</v>
      </c>
      <c r="I18" s="17">
        <v>42208.0</v>
      </c>
      <c r="J18" s="1">
        <v>52.84</v>
      </c>
      <c r="K18" s="14">
        <f t="shared" si="3"/>
        <v>-0.03081438004</v>
      </c>
      <c r="L18" s="15">
        <v>0.69</v>
      </c>
      <c r="M18" s="14">
        <f t="shared" si="4"/>
        <v>0.02149532891</v>
      </c>
      <c r="N18" s="19">
        <f t="shared" si="5"/>
        <v>0.02326839827</v>
      </c>
      <c r="O18" s="19">
        <f t="shared" si="6"/>
        <v>0.07741424255</v>
      </c>
      <c r="P18" s="1">
        <v>0.7083</v>
      </c>
      <c r="Q18" s="1">
        <v>3.0</v>
      </c>
      <c r="R18" s="15">
        <v>2.840944E9</v>
      </c>
      <c r="S18" s="1">
        <f t="shared" si="7"/>
        <v>53765026.5</v>
      </c>
      <c r="T18" s="1" t="s">
        <v>615</v>
      </c>
      <c r="U18" s="1" t="s">
        <v>616</v>
      </c>
    </row>
    <row r="19">
      <c r="B19" s="1" t="s">
        <v>165</v>
      </c>
      <c r="C19" s="1" t="s">
        <v>618</v>
      </c>
      <c r="D19" s="18">
        <v>1.425E7</v>
      </c>
      <c r="E19" s="14">
        <v>0.1997</v>
      </c>
      <c r="F19" s="15">
        <v>741.13</v>
      </c>
      <c r="G19" s="16">
        <v>42185.0</v>
      </c>
      <c r="H19" s="1">
        <v>83.17</v>
      </c>
      <c r="I19" s="17">
        <v>42216.0</v>
      </c>
      <c r="J19" s="1">
        <v>79.21</v>
      </c>
      <c r="K19" s="14">
        <f t="shared" si="3"/>
        <v>-0.04761332211</v>
      </c>
      <c r="L19" s="15">
        <v>1.0</v>
      </c>
      <c r="M19" s="14">
        <f t="shared" si="4"/>
        <v>0.09605430507</v>
      </c>
      <c r="N19" s="19">
        <f t="shared" si="5"/>
        <v>-0.00100050025</v>
      </c>
      <c r="O19" s="19">
        <f t="shared" si="6"/>
        <v>0.2219173384</v>
      </c>
      <c r="P19" s="1">
        <v>0.8471</v>
      </c>
      <c r="Q19" s="1">
        <v>3.0</v>
      </c>
      <c r="R19" s="15">
        <v>3.4944E11</v>
      </c>
      <c r="S19" s="1">
        <f t="shared" si="7"/>
        <v>4411564196</v>
      </c>
      <c r="T19" s="1" t="s">
        <v>615</v>
      </c>
      <c r="U19" s="1" t="s">
        <v>616</v>
      </c>
    </row>
    <row r="20">
      <c r="B20" s="1" t="s">
        <v>129</v>
      </c>
      <c r="C20" s="1" t="s">
        <v>618</v>
      </c>
      <c r="D20" s="18">
        <v>2845774.0</v>
      </c>
      <c r="E20" s="14">
        <v>0.3927</v>
      </c>
      <c r="F20" s="15">
        <v>-14.996</v>
      </c>
      <c r="G20" s="16">
        <v>42185.0</v>
      </c>
      <c r="H20" s="1">
        <v>28.46</v>
      </c>
      <c r="I20" s="17">
        <v>42206.0</v>
      </c>
      <c r="J20" s="1">
        <v>28.9</v>
      </c>
      <c r="K20" s="14">
        <f t="shared" si="3"/>
        <v>0.01546029515</v>
      </c>
      <c r="L20" s="1">
        <v>-0.68</v>
      </c>
      <c r="M20" s="14">
        <f t="shared" si="4"/>
        <v>-3.375039595</v>
      </c>
      <c r="N20" s="19">
        <f t="shared" si="5"/>
        <v>-0.005571030641</v>
      </c>
      <c r="O20" s="19">
        <f t="shared" si="6"/>
        <v>0.2530487697</v>
      </c>
      <c r="P20" s="1">
        <v>1.14</v>
      </c>
      <c r="Q20" s="1">
        <v>3.33</v>
      </c>
      <c r="R20" s="15">
        <v>2.893568E9</v>
      </c>
      <c r="S20" s="1">
        <f t="shared" si="7"/>
        <v>100123460.2</v>
      </c>
      <c r="T20" s="1" t="s">
        <v>615</v>
      </c>
      <c r="U20" s="1" t="s">
        <v>616</v>
      </c>
    </row>
    <row r="21">
      <c r="K21" s="14"/>
    </row>
    <row r="22">
      <c r="C22" s="1"/>
      <c r="D22" s="1"/>
      <c r="E22" s="1"/>
      <c r="F22" s="1"/>
      <c r="G22" s="1" t="s">
        <v>598</v>
      </c>
      <c r="H22" s="1" t="s">
        <v>599</v>
      </c>
      <c r="I22" s="1" t="s">
        <v>600</v>
      </c>
      <c r="J22" s="1" t="s">
        <v>601</v>
      </c>
      <c r="K22" s="1" t="s">
        <v>602</v>
      </c>
      <c r="L22" s="1" t="s">
        <v>603</v>
      </c>
      <c r="M22" s="1" t="s">
        <v>604</v>
      </c>
      <c r="N22" s="1" t="s">
        <v>605</v>
      </c>
      <c r="O22" s="1" t="s">
        <v>606</v>
      </c>
      <c r="P22" s="1" t="s">
        <v>607</v>
      </c>
      <c r="Q22" s="1" t="s">
        <v>608</v>
      </c>
      <c r="R22" s="1" t="s">
        <v>609</v>
      </c>
      <c r="S22" s="1" t="s">
        <v>610</v>
      </c>
      <c r="T22" s="1" t="s">
        <v>611</v>
      </c>
      <c r="U22" s="1" t="s">
        <v>612</v>
      </c>
    </row>
    <row r="23">
      <c r="A23" s="1" t="s">
        <v>619</v>
      </c>
      <c r="B23" s="1" t="s">
        <v>407</v>
      </c>
      <c r="C23" s="1" t="s">
        <v>619</v>
      </c>
      <c r="D23" s="13">
        <v>2.6550016E7</v>
      </c>
      <c r="E23" s="14">
        <v>0.2549</v>
      </c>
      <c r="F23" s="15">
        <v>9.36789</v>
      </c>
      <c r="G23" s="16">
        <v>42277.0</v>
      </c>
      <c r="H23" s="1">
        <v>49.68</v>
      </c>
      <c r="I23" s="17">
        <v>42312.0</v>
      </c>
      <c r="J23" s="1">
        <v>46.326</v>
      </c>
      <c r="K23" s="14">
        <f t="shared" ref="K23:K26" si="8">(J23-H23)/H23</f>
        <v>-0.06751207729</v>
      </c>
      <c r="L23" s="1">
        <v>-1.79</v>
      </c>
      <c r="M23" s="14">
        <f t="shared" ref="M23:M25" si="9">(F23-F17)/F17</f>
        <v>-0.01904445766</v>
      </c>
      <c r="N23" s="19">
        <f t="shared" ref="N23:N26" si="10">(E23-E17)/E17</f>
        <v>-0.0435272045</v>
      </c>
      <c r="O23" s="19">
        <f t="shared" ref="O23:O26" si="11">(D23-D17)/D17</f>
        <v>0.1436269692</v>
      </c>
      <c r="P23" s="1">
        <v>0.7506</v>
      </c>
      <c r="Q23" s="20">
        <v>2.667</v>
      </c>
      <c r="R23" s="15">
        <v>6.93326E11</v>
      </c>
      <c r="S23" s="1">
        <f t="shared" ref="S23:S26" si="12">R23/J23</f>
        <v>14966239261</v>
      </c>
      <c r="T23" s="1" t="s">
        <v>615</v>
      </c>
      <c r="U23" s="1" t="s">
        <v>616</v>
      </c>
    </row>
    <row r="24">
      <c r="B24" s="1" t="s">
        <v>267</v>
      </c>
      <c r="C24" s="1" t="s">
        <v>619</v>
      </c>
      <c r="D24" s="13">
        <v>1311336.0</v>
      </c>
      <c r="E24" s="14">
        <v>0.1982</v>
      </c>
      <c r="F24" s="15">
        <v>5.26688</v>
      </c>
      <c r="G24" s="16">
        <v>42277.0</v>
      </c>
      <c r="H24" s="1">
        <v>53.96</v>
      </c>
      <c r="I24" s="17">
        <v>42304.0</v>
      </c>
      <c r="J24" s="1">
        <v>49.6</v>
      </c>
      <c r="K24" s="14">
        <f t="shared" si="8"/>
        <v>-0.08080059303</v>
      </c>
      <c r="L24" s="15">
        <v>0.51</v>
      </c>
      <c r="M24" s="14">
        <f t="shared" si="9"/>
        <v>-0.004571854086</v>
      </c>
      <c r="N24" s="19">
        <f t="shared" si="10"/>
        <v>0.04812268641</v>
      </c>
      <c r="O24" s="19">
        <f t="shared" si="11"/>
        <v>0.2997925424</v>
      </c>
      <c r="P24" s="1">
        <v>0.3831</v>
      </c>
      <c r="Q24" s="1">
        <v>3.0</v>
      </c>
      <c r="R24" s="15">
        <v>2.50976E9</v>
      </c>
      <c r="S24" s="1">
        <f t="shared" si="12"/>
        <v>50600000</v>
      </c>
      <c r="T24" s="1" t="s">
        <v>615</v>
      </c>
      <c r="U24" s="1" t="s">
        <v>616</v>
      </c>
    </row>
    <row r="25">
      <c r="B25" s="1" t="s">
        <v>165</v>
      </c>
      <c r="C25" s="1" t="s">
        <v>619</v>
      </c>
      <c r="D25" s="18">
        <v>1.2473E7</v>
      </c>
      <c r="E25" s="14">
        <v>0.1997</v>
      </c>
      <c r="F25" s="15">
        <v>673.44</v>
      </c>
      <c r="G25" s="16">
        <v>42277.0</v>
      </c>
      <c r="H25" s="1">
        <v>74.26</v>
      </c>
      <c r="I25" s="17">
        <v>42307.0</v>
      </c>
      <c r="J25" s="1">
        <v>82.74</v>
      </c>
      <c r="K25" s="14">
        <f t="shared" si="8"/>
        <v>0.1141933746</v>
      </c>
      <c r="L25" s="15">
        <v>1.01</v>
      </c>
      <c r="M25" s="14">
        <f t="shared" si="9"/>
        <v>-0.09133350424</v>
      </c>
      <c r="N25" s="19">
        <f t="shared" si="10"/>
        <v>0</v>
      </c>
      <c r="O25" s="19">
        <f t="shared" si="11"/>
        <v>-0.1247017544</v>
      </c>
      <c r="P25" s="1">
        <v>0.9171</v>
      </c>
      <c r="Q25" s="1">
        <v>4.0</v>
      </c>
      <c r="R25" s="15">
        <v>3.115265E11</v>
      </c>
      <c r="S25" s="1">
        <f t="shared" si="12"/>
        <v>3765125695</v>
      </c>
      <c r="T25" s="1" t="s">
        <v>615</v>
      </c>
      <c r="U25" s="1" t="s">
        <v>616</v>
      </c>
    </row>
    <row r="26">
      <c r="B26" s="1" t="s">
        <v>129</v>
      </c>
      <c r="C26" s="1" t="s">
        <v>619</v>
      </c>
      <c r="D26" s="18">
        <v>4654890.0</v>
      </c>
      <c r="E26" s="14">
        <v>0.3925</v>
      </c>
      <c r="F26" s="15">
        <v>6.789</v>
      </c>
      <c r="G26" s="16">
        <v>42277.0</v>
      </c>
      <c r="H26" s="1">
        <v>21.63</v>
      </c>
      <c r="I26" s="17">
        <v>42297.0</v>
      </c>
      <c r="J26" s="1">
        <v>19.65</v>
      </c>
      <c r="K26" s="14">
        <f t="shared" si="8"/>
        <v>-0.09153952843</v>
      </c>
      <c r="L26" s="1">
        <v>0.45</v>
      </c>
      <c r="M26" s="14">
        <f>-(F26-F20)/F20</f>
        <v>1.452720726</v>
      </c>
      <c r="N26" s="19">
        <f t="shared" si="10"/>
        <v>-0.0005092946269</v>
      </c>
      <c r="O26" s="19">
        <f t="shared" si="11"/>
        <v>0.6357201942</v>
      </c>
      <c r="P26" s="1">
        <v>0.8619</v>
      </c>
      <c r="Q26" s="1">
        <v>3.33</v>
      </c>
      <c r="R26" s="15">
        <v>2.192132E9</v>
      </c>
      <c r="S26" s="1">
        <f t="shared" si="12"/>
        <v>111558880.4</v>
      </c>
      <c r="T26" s="1" t="s">
        <v>615</v>
      </c>
      <c r="U26" s="1" t="s">
        <v>616</v>
      </c>
    </row>
    <row r="27">
      <c r="A27" s="21"/>
      <c r="K27" s="14"/>
    </row>
    <row r="28">
      <c r="A28" s="21"/>
      <c r="C28" s="18"/>
      <c r="D28" s="18"/>
      <c r="E28" s="1"/>
      <c r="F28" s="1"/>
      <c r="G28" s="1" t="s">
        <v>598</v>
      </c>
      <c r="H28" s="1" t="s">
        <v>599</v>
      </c>
      <c r="I28" s="1" t="s">
        <v>600</v>
      </c>
      <c r="J28" s="1" t="s">
        <v>601</v>
      </c>
      <c r="K28" s="1" t="s">
        <v>602</v>
      </c>
      <c r="L28" s="1" t="s">
        <v>603</v>
      </c>
      <c r="M28" s="1" t="s">
        <v>604</v>
      </c>
      <c r="N28" s="1" t="s">
        <v>605</v>
      </c>
      <c r="O28" s="1" t="s">
        <v>606</v>
      </c>
      <c r="P28" s="1" t="s">
        <v>607</v>
      </c>
      <c r="Q28" s="1" t="s">
        <v>608</v>
      </c>
      <c r="R28" s="1" t="s">
        <v>609</v>
      </c>
      <c r="S28" s="1" t="s">
        <v>610</v>
      </c>
      <c r="T28" s="1" t="s">
        <v>611</v>
      </c>
      <c r="U28" s="1" t="s">
        <v>612</v>
      </c>
    </row>
    <row r="29">
      <c r="A29" s="21" t="s">
        <v>620</v>
      </c>
      <c r="B29" s="1" t="s">
        <v>407</v>
      </c>
      <c r="C29" s="21" t="s">
        <v>620</v>
      </c>
      <c r="D29" s="18">
        <v>4.5735416E7</v>
      </c>
      <c r="E29" s="14">
        <v>0.2281</v>
      </c>
      <c r="F29" s="15">
        <v>10.21438</v>
      </c>
      <c r="G29" s="17">
        <v>42369.0</v>
      </c>
      <c r="H29" s="1">
        <v>48.0</v>
      </c>
      <c r="I29" s="17">
        <v>42411.0</v>
      </c>
      <c r="J29" s="1">
        <v>30.94</v>
      </c>
      <c r="K29" s="14">
        <f t="shared" ref="K29:K32" si="13">(J29-H29)/H29</f>
        <v>-0.3554166667</v>
      </c>
      <c r="L29" s="1">
        <v>-2.46</v>
      </c>
      <c r="M29" s="14">
        <f t="shared" ref="M29:M32" si="14">(F29-F23)/F23</f>
        <v>0.09036079629</v>
      </c>
      <c r="N29" s="19">
        <f t="shared" ref="N29:N32" si="15">(E29-E23)/E23</f>
        <v>-0.1051392703</v>
      </c>
      <c r="O29" s="19">
        <f t="shared" ref="O29:O32" si="16">(D29-D23)/D23</f>
        <v>0.7226135005</v>
      </c>
      <c r="P29" s="1">
        <v>1.248</v>
      </c>
      <c r="Q29" s="1">
        <v>3.0</v>
      </c>
      <c r="R29" s="15">
        <v>5.191917E11</v>
      </c>
      <c r="S29" s="1">
        <f t="shared" ref="S29:S32" si="17">R29/J29</f>
        <v>16780597931</v>
      </c>
      <c r="T29" s="1" t="s">
        <v>615</v>
      </c>
      <c r="U29" s="1" t="s">
        <v>616</v>
      </c>
    </row>
    <row r="30">
      <c r="A30" s="21"/>
      <c r="B30" s="1" t="s">
        <v>267</v>
      </c>
      <c r="C30" s="21" t="s">
        <v>620</v>
      </c>
      <c r="D30" s="18">
        <v>1093110.0</v>
      </c>
      <c r="E30" s="14">
        <v>0.1977</v>
      </c>
      <c r="F30" s="15">
        <v>5.26841</v>
      </c>
      <c r="G30" s="17">
        <v>42369.0</v>
      </c>
      <c r="H30" s="1">
        <v>46.1</v>
      </c>
      <c r="I30" s="17">
        <v>42417.0</v>
      </c>
      <c r="J30" s="1">
        <v>49.84</v>
      </c>
      <c r="K30" s="14">
        <f t="shared" si="13"/>
        <v>0.08112798265</v>
      </c>
      <c r="L30" s="15">
        <v>0.54</v>
      </c>
      <c r="M30" s="14">
        <f t="shared" si="14"/>
        <v>0.0002904945622</v>
      </c>
      <c r="N30" s="19">
        <f t="shared" si="15"/>
        <v>-0.002522704339</v>
      </c>
      <c r="O30" s="19">
        <f t="shared" si="16"/>
        <v>-0.1664150149</v>
      </c>
      <c r="P30" s="1">
        <v>0.4268</v>
      </c>
      <c r="Q30" s="1">
        <v>3.0</v>
      </c>
      <c r="R30" s="15">
        <v>2.465064E9</v>
      </c>
      <c r="S30" s="1">
        <f t="shared" si="17"/>
        <v>49459550.56</v>
      </c>
      <c r="T30" s="1" t="s">
        <v>615</v>
      </c>
      <c r="U30" s="1" t="s">
        <v>616</v>
      </c>
    </row>
    <row r="31">
      <c r="A31" s="21"/>
      <c r="B31" s="1" t="s">
        <v>165</v>
      </c>
      <c r="C31" s="21" t="s">
        <v>620</v>
      </c>
      <c r="D31" s="18">
        <v>1.8106E7</v>
      </c>
      <c r="E31" s="14">
        <v>0.214</v>
      </c>
      <c r="F31" s="15">
        <f>2688.82-F25-F19-F12</f>
        <v>598.07</v>
      </c>
      <c r="G31" s="17">
        <v>42369.0</v>
      </c>
      <c r="H31" s="1">
        <v>77.94</v>
      </c>
      <c r="I31" s="17">
        <v>42402.0</v>
      </c>
      <c r="J31" s="1">
        <v>74.59</v>
      </c>
      <c r="K31" s="14">
        <f t="shared" si="13"/>
        <v>-0.04298178086</v>
      </c>
      <c r="L31" s="15">
        <f>3.85-L25-L19-L12</f>
        <v>0.67</v>
      </c>
      <c r="M31" s="14">
        <f t="shared" si="14"/>
        <v>-0.111917914</v>
      </c>
      <c r="N31" s="19">
        <f t="shared" si="15"/>
        <v>0.07160741112</v>
      </c>
      <c r="O31" s="19">
        <f t="shared" si="16"/>
        <v>0.4516154895</v>
      </c>
      <c r="P31" s="1">
        <v>0.8596</v>
      </c>
      <c r="Q31" s="1">
        <v>3.0</v>
      </c>
      <c r="R31" s="15">
        <v>3.2590895E11</v>
      </c>
      <c r="S31" s="1">
        <f t="shared" si="17"/>
        <v>4369338383</v>
      </c>
      <c r="T31" s="1" t="s">
        <v>615</v>
      </c>
      <c r="U31" s="1" t="s">
        <v>616</v>
      </c>
    </row>
    <row r="32">
      <c r="A32" s="21"/>
      <c r="B32" s="1" t="s">
        <v>129</v>
      </c>
      <c r="C32" s="21" t="s">
        <v>620</v>
      </c>
      <c r="D32" s="18">
        <v>1114577.0</v>
      </c>
      <c r="E32" s="14">
        <v>0.3906</v>
      </c>
      <c r="F32" s="15">
        <f>26.916-F13-F26</f>
        <v>13.813</v>
      </c>
      <c r="G32" s="17">
        <v>42369.0</v>
      </c>
      <c r="H32" s="1">
        <v>16.7</v>
      </c>
      <c r="I32" s="17">
        <v>42424.0</v>
      </c>
      <c r="J32" s="1">
        <v>17.5</v>
      </c>
      <c r="K32" s="14">
        <f t="shared" si="13"/>
        <v>0.04790419162</v>
      </c>
      <c r="L32" s="2">
        <f>1.22-L26+L20-L13</f>
        <v>-0.31</v>
      </c>
      <c r="M32" s="14">
        <f t="shared" si="14"/>
        <v>1.034614818</v>
      </c>
      <c r="N32" s="19">
        <f t="shared" si="15"/>
        <v>-0.004840764331</v>
      </c>
      <c r="O32" s="19">
        <f t="shared" si="16"/>
        <v>-0.760557822</v>
      </c>
      <c r="P32" s="1">
        <v>0.8085</v>
      </c>
      <c r="Q32" s="1">
        <v>3.33</v>
      </c>
      <c r="R32" s="15">
        <v>1.610844E9</v>
      </c>
      <c r="S32" s="1">
        <f t="shared" si="17"/>
        <v>92048228.57</v>
      </c>
      <c r="T32" s="1" t="s">
        <v>615</v>
      </c>
      <c r="U32" s="1" t="s">
        <v>616</v>
      </c>
    </row>
    <row r="33">
      <c r="A33" s="21"/>
      <c r="C33" s="18"/>
      <c r="D33" s="18"/>
      <c r="K33" s="14"/>
    </row>
    <row r="34">
      <c r="A34" s="21"/>
      <c r="C34" s="18"/>
      <c r="D34" s="18"/>
      <c r="E34" s="1"/>
      <c r="F34" s="1"/>
      <c r="G34" s="1" t="s">
        <v>598</v>
      </c>
      <c r="H34" s="1" t="s">
        <v>599</v>
      </c>
      <c r="I34" s="1" t="s">
        <v>600</v>
      </c>
      <c r="J34" s="1" t="s">
        <v>601</v>
      </c>
      <c r="K34" s="1" t="s">
        <v>602</v>
      </c>
      <c r="L34" s="1" t="s">
        <v>603</v>
      </c>
      <c r="M34" s="1" t="s">
        <v>604</v>
      </c>
      <c r="N34" s="1" t="s">
        <v>605</v>
      </c>
      <c r="O34" s="1" t="s">
        <v>606</v>
      </c>
      <c r="P34" s="1" t="s">
        <v>607</v>
      </c>
      <c r="Q34" s="1" t="s">
        <v>608</v>
      </c>
      <c r="R34" s="1" t="s">
        <v>609</v>
      </c>
      <c r="S34" s="1" t="s">
        <v>610</v>
      </c>
      <c r="T34" s="1" t="s">
        <v>611</v>
      </c>
      <c r="U34" s="1" t="s">
        <v>612</v>
      </c>
    </row>
    <row r="35">
      <c r="A35" s="21" t="s">
        <v>621</v>
      </c>
      <c r="B35" s="1" t="s">
        <v>407</v>
      </c>
      <c r="C35" s="21" t="s">
        <v>621</v>
      </c>
      <c r="D35" s="18">
        <v>2.7894636E7</v>
      </c>
      <c r="E35" s="14">
        <v>0.2151</v>
      </c>
      <c r="F35" s="15">
        <v>11.47048</v>
      </c>
      <c r="G35" s="16">
        <v>42460.0</v>
      </c>
      <c r="H35" s="1">
        <v>45.94</v>
      </c>
      <c r="I35" s="17">
        <v>42495.0</v>
      </c>
      <c r="J35" s="1">
        <v>42.3</v>
      </c>
      <c r="K35" s="14">
        <f t="shared" ref="K35:K38" si="18">(J35-H35)/H35</f>
        <v>-0.0792337832</v>
      </c>
      <c r="L35" s="1">
        <v>-2.13</v>
      </c>
      <c r="M35" s="14">
        <f t="shared" ref="M35:M38" si="19">(F35-F29)/F29</f>
        <v>0.12297369</v>
      </c>
      <c r="N35" s="19">
        <f t="shared" ref="N35:N38" si="20">(E35-E29)/E29</f>
        <v>-0.05699254713</v>
      </c>
      <c r="O35" s="19">
        <f t="shared" ref="O35:O38" si="21">(D35-D29)/D29</f>
        <v>-0.3900867546</v>
      </c>
      <c r="P35" s="1">
        <v>1.352</v>
      </c>
      <c r="Q35" s="1">
        <v>3.0</v>
      </c>
      <c r="R35" s="15">
        <v>5.1664284E11</v>
      </c>
      <c r="S35" s="1">
        <f t="shared" ref="S35:S38" si="22">R35/J35</f>
        <v>12213778723</v>
      </c>
      <c r="T35" s="1" t="s">
        <v>615</v>
      </c>
      <c r="U35" s="1" t="s">
        <v>616</v>
      </c>
    </row>
    <row r="36">
      <c r="A36" s="21"/>
      <c r="B36" s="1" t="s">
        <v>267</v>
      </c>
      <c r="C36" s="21" t="s">
        <v>621</v>
      </c>
      <c r="D36" s="18">
        <v>1356159.0</v>
      </c>
      <c r="E36" s="14">
        <v>0.1975</v>
      </c>
      <c r="F36" s="15">
        <v>5.53693</v>
      </c>
      <c r="G36" s="16">
        <v>42460.0</v>
      </c>
      <c r="H36" s="1">
        <v>53.04</v>
      </c>
      <c r="I36" s="17">
        <v>42488.0</v>
      </c>
      <c r="J36" s="1">
        <v>51.2</v>
      </c>
      <c r="K36" s="14">
        <f t="shared" si="18"/>
        <v>-0.0346907994</v>
      </c>
      <c r="L36" s="15">
        <v>0.68</v>
      </c>
      <c r="M36" s="14">
        <f t="shared" si="19"/>
        <v>0.05096793909</v>
      </c>
      <c r="N36" s="19">
        <f t="shared" si="20"/>
        <v>-0.001011633789</v>
      </c>
      <c r="O36" s="19">
        <f t="shared" si="21"/>
        <v>0.2406427532</v>
      </c>
      <c r="P36" s="1">
        <v>0.4684</v>
      </c>
      <c r="Q36" s="1">
        <v>3.0</v>
      </c>
      <c r="R36" s="15">
        <v>2.56E9</v>
      </c>
      <c r="S36" s="1">
        <f t="shared" si="22"/>
        <v>50000000</v>
      </c>
      <c r="T36" s="1" t="s">
        <v>615</v>
      </c>
      <c r="U36" s="1" t="s">
        <v>616</v>
      </c>
    </row>
    <row r="37">
      <c r="A37" s="21"/>
      <c r="B37" s="1" t="s">
        <v>165</v>
      </c>
      <c r="C37" s="21" t="s">
        <v>621</v>
      </c>
      <c r="D37" s="18">
        <v>9565000.0</v>
      </c>
      <c r="E37" s="14">
        <v>0.212</v>
      </c>
      <c r="F37" s="1">
        <v>487.07</v>
      </c>
      <c r="G37" s="16">
        <v>42460.0</v>
      </c>
      <c r="H37" s="1">
        <v>83.61</v>
      </c>
      <c r="I37" s="17">
        <v>42489.0</v>
      </c>
      <c r="J37" s="1">
        <v>88.4</v>
      </c>
      <c r="K37" s="14">
        <f t="shared" si="18"/>
        <v>0.05728979787</v>
      </c>
      <c r="L37" s="1">
        <v>0.43</v>
      </c>
      <c r="M37" s="14">
        <f t="shared" si="19"/>
        <v>-0.1855970037</v>
      </c>
      <c r="N37" s="19">
        <f t="shared" si="20"/>
        <v>-0.009345794393</v>
      </c>
      <c r="O37" s="19">
        <f t="shared" si="21"/>
        <v>-0.4717220811</v>
      </c>
      <c r="P37" s="1">
        <v>0.8376</v>
      </c>
      <c r="Q37" s="1">
        <v>3.0</v>
      </c>
      <c r="R37" s="15">
        <v>3.4923902E11</v>
      </c>
      <c r="S37" s="1">
        <f t="shared" si="22"/>
        <v>3950667647</v>
      </c>
      <c r="T37" s="1" t="s">
        <v>615</v>
      </c>
      <c r="U37" s="1" t="s">
        <v>616</v>
      </c>
    </row>
    <row r="38">
      <c r="A38" s="21"/>
      <c r="B38" s="1" t="s">
        <v>129</v>
      </c>
      <c r="C38" s="21" t="s">
        <v>621</v>
      </c>
      <c r="D38" s="18">
        <v>1788102.0</v>
      </c>
      <c r="E38" s="14">
        <v>0.3863</v>
      </c>
      <c r="F38" s="15">
        <v>5.776</v>
      </c>
      <c r="G38" s="16">
        <v>42460.0</v>
      </c>
      <c r="H38" s="1">
        <v>18.42</v>
      </c>
      <c r="I38" s="17">
        <v>42493.0</v>
      </c>
      <c r="J38" s="1">
        <v>19.1</v>
      </c>
      <c r="K38" s="14">
        <f t="shared" si="18"/>
        <v>0.03691639522</v>
      </c>
      <c r="L38" s="1">
        <v>0.18</v>
      </c>
      <c r="M38" s="14">
        <f t="shared" si="19"/>
        <v>-0.5818431912</v>
      </c>
      <c r="N38" s="19">
        <f t="shared" si="20"/>
        <v>-0.01100870456</v>
      </c>
      <c r="O38" s="19">
        <f t="shared" si="21"/>
        <v>0.6042875459</v>
      </c>
      <c r="P38" s="1">
        <v>0.7295</v>
      </c>
      <c r="Q38" s="1">
        <v>3.33</v>
      </c>
      <c r="R38" s="15">
        <v>1.772004E9</v>
      </c>
      <c r="S38" s="1">
        <f t="shared" si="22"/>
        <v>92775078.53</v>
      </c>
      <c r="T38" s="1" t="s">
        <v>615</v>
      </c>
      <c r="U38" s="1" t="s">
        <v>616</v>
      </c>
    </row>
    <row r="39">
      <c r="A39" s="21"/>
      <c r="C39" s="18"/>
      <c r="D39" s="18"/>
      <c r="K39" s="14"/>
    </row>
    <row r="40">
      <c r="A40" s="21"/>
      <c r="C40" s="18"/>
      <c r="D40" s="18"/>
      <c r="E40" s="1"/>
      <c r="F40" s="1"/>
      <c r="G40" s="1" t="s">
        <v>598</v>
      </c>
      <c r="H40" s="1" t="s">
        <v>599</v>
      </c>
      <c r="I40" s="1" t="s">
        <v>600</v>
      </c>
      <c r="J40" s="1" t="s">
        <v>601</v>
      </c>
      <c r="K40" s="1" t="s">
        <v>602</v>
      </c>
      <c r="L40" s="1" t="s">
        <v>603</v>
      </c>
      <c r="M40" s="1" t="s">
        <v>604</v>
      </c>
      <c r="N40" s="1" t="s">
        <v>605</v>
      </c>
      <c r="O40" s="1" t="s">
        <v>606</v>
      </c>
      <c r="P40" s="1" t="s">
        <v>607</v>
      </c>
      <c r="Q40" s="1" t="s">
        <v>608</v>
      </c>
      <c r="R40" s="1" t="s">
        <v>609</v>
      </c>
      <c r="S40" s="1" t="s">
        <v>610</v>
      </c>
      <c r="T40" s="1" t="s">
        <v>611</v>
      </c>
      <c r="U40" s="1" t="s">
        <v>612</v>
      </c>
    </row>
    <row r="41">
      <c r="A41" s="22" t="s">
        <v>622</v>
      </c>
      <c r="B41" s="1" t="s">
        <v>407</v>
      </c>
      <c r="C41" s="22" t="s">
        <v>622</v>
      </c>
      <c r="D41" s="18">
        <v>1.7326943E7</v>
      </c>
      <c r="E41" s="14">
        <v>0.2139</v>
      </c>
      <c r="F41" s="15">
        <v>12.70017</v>
      </c>
      <c r="G41" s="16">
        <v>42551.0</v>
      </c>
      <c r="H41" s="1">
        <v>42.45</v>
      </c>
      <c r="I41" s="17">
        <v>42586.0</v>
      </c>
      <c r="J41" s="1">
        <v>46.12</v>
      </c>
      <c r="K41" s="14">
        <f t="shared" ref="K41:K44" si="23">(J41-H41)/H41</f>
        <v>0.08645465253</v>
      </c>
      <c r="L41" s="1">
        <v>-2.09</v>
      </c>
      <c r="M41" s="14">
        <f t="shared" ref="M41:M44" si="24">(F41-F35)/F35</f>
        <v>0.1072047552</v>
      </c>
      <c r="N41" s="19">
        <f t="shared" ref="N41:N44" si="25">(E41-E35)/E35</f>
        <v>-0.005578800558</v>
      </c>
      <c r="O41" s="19">
        <f t="shared" ref="O41:O44" si="26">(D41-D35)/D35</f>
        <v>-0.3788431941</v>
      </c>
      <c r="P41" s="1">
        <v>1.277</v>
      </c>
      <c r="Q41" s="1">
        <v>3.33</v>
      </c>
      <c r="R41" s="15">
        <v>5.7942651E11</v>
      </c>
      <c r="S41" s="1">
        <f t="shared" ref="S41:S44" si="27">R41/J41</f>
        <v>12563454250</v>
      </c>
      <c r="T41" s="1" t="s">
        <v>615</v>
      </c>
      <c r="U41" s="1" t="s">
        <v>616</v>
      </c>
    </row>
    <row r="42">
      <c r="A42" s="21"/>
      <c r="B42" s="1" t="s">
        <v>267</v>
      </c>
      <c r="C42" s="22" t="s">
        <v>622</v>
      </c>
      <c r="D42" s="18">
        <v>765675.0</v>
      </c>
      <c r="E42" s="14">
        <v>0.197</v>
      </c>
      <c r="F42" s="15">
        <v>5.58862</v>
      </c>
      <c r="G42" s="16">
        <v>42551.0</v>
      </c>
      <c r="H42" s="1">
        <v>48.15</v>
      </c>
      <c r="I42" s="17">
        <v>42579.0</v>
      </c>
      <c r="J42" s="1">
        <v>52.19</v>
      </c>
      <c r="K42" s="14">
        <f t="shared" si="23"/>
        <v>0.08390446521</v>
      </c>
      <c r="L42" s="15">
        <v>0.78</v>
      </c>
      <c r="M42" s="14">
        <f t="shared" si="24"/>
        <v>0.009335498191</v>
      </c>
      <c r="N42" s="19">
        <f t="shared" si="25"/>
        <v>-0.00253164557</v>
      </c>
      <c r="O42" s="19">
        <f t="shared" si="26"/>
        <v>-0.4354091224</v>
      </c>
      <c r="P42" s="1">
        <v>0.4725</v>
      </c>
      <c r="Q42" s="1">
        <v>3.0</v>
      </c>
      <c r="R42" s="15">
        <v>2.588624E9</v>
      </c>
      <c r="S42" s="1">
        <f t="shared" si="27"/>
        <v>49600000</v>
      </c>
      <c r="T42" s="1" t="s">
        <v>615</v>
      </c>
      <c r="U42" s="1" t="s">
        <v>616</v>
      </c>
    </row>
    <row r="43">
      <c r="A43" s="21"/>
      <c r="B43" s="1" t="s">
        <v>165</v>
      </c>
      <c r="C43" s="22" t="s">
        <v>622</v>
      </c>
      <c r="D43" s="18">
        <v>1.1037E7</v>
      </c>
      <c r="E43" s="14">
        <v>0.2081</v>
      </c>
      <c r="F43" s="15">
        <v>-1624.81</v>
      </c>
      <c r="G43" s="16">
        <v>42551.0</v>
      </c>
      <c r="H43" s="1">
        <v>93.74</v>
      </c>
      <c r="I43" s="17">
        <v>42580.0</v>
      </c>
      <c r="J43" s="1">
        <v>88.95</v>
      </c>
      <c r="K43" s="14">
        <f t="shared" si="23"/>
        <v>-0.05109878387</v>
      </c>
      <c r="L43" s="1">
        <v>-3.01</v>
      </c>
      <c r="M43" s="14">
        <f t="shared" si="24"/>
        <v>-4.335886012</v>
      </c>
      <c r="N43" s="19">
        <f t="shared" si="25"/>
        <v>-0.01839622642</v>
      </c>
      <c r="O43" s="19">
        <f t="shared" si="26"/>
        <v>0.1538944067</v>
      </c>
      <c r="P43" s="1">
        <v>0.7946</v>
      </c>
      <c r="Q43" s="1">
        <v>3.0</v>
      </c>
      <c r="R43" s="15">
        <v>3.9164572E11</v>
      </c>
      <c r="S43" s="1">
        <f t="shared" si="27"/>
        <v>4402987296</v>
      </c>
      <c r="T43" s="1" t="s">
        <v>615</v>
      </c>
      <c r="U43" s="1" t="s">
        <v>616</v>
      </c>
    </row>
    <row r="44">
      <c r="A44" s="21"/>
      <c r="B44" s="1" t="s">
        <v>129</v>
      </c>
      <c r="C44" s="22" t="s">
        <v>622</v>
      </c>
      <c r="D44" s="18">
        <v>2808560.0</v>
      </c>
      <c r="E44" s="14">
        <v>0.3853</v>
      </c>
      <c r="F44" s="15">
        <v>5.837</v>
      </c>
      <c r="G44" s="16">
        <v>42551.0</v>
      </c>
      <c r="H44" s="1">
        <v>20.33</v>
      </c>
      <c r="I44" s="17">
        <v>42577.0</v>
      </c>
      <c r="J44" s="1">
        <v>24.33</v>
      </c>
      <c r="K44" s="14">
        <f t="shared" si="23"/>
        <v>0.1967535662</v>
      </c>
      <c r="L44" s="1">
        <v>0.24</v>
      </c>
      <c r="M44" s="14">
        <f t="shared" si="24"/>
        <v>0.01056094183</v>
      </c>
      <c r="N44" s="19">
        <f t="shared" si="25"/>
        <v>-0.002588661662</v>
      </c>
      <c r="O44" s="19">
        <f t="shared" si="26"/>
        <v>0.5706933944</v>
      </c>
      <c r="P44" s="1">
        <v>0.7797</v>
      </c>
      <c r="Q44" s="1">
        <v>3.33</v>
      </c>
      <c r="R44" s="15">
        <v>1.952752E9</v>
      </c>
      <c r="S44" s="1">
        <f t="shared" si="27"/>
        <v>80261076.86</v>
      </c>
      <c r="T44" s="1" t="s">
        <v>615</v>
      </c>
      <c r="U44" s="1" t="s">
        <v>616</v>
      </c>
    </row>
    <row r="45">
      <c r="A45" s="21"/>
      <c r="C45" s="18"/>
      <c r="D45" s="18"/>
      <c r="K45" s="14"/>
    </row>
    <row r="46">
      <c r="A46" s="21"/>
      <c r="C46" s="18"/>
      <c r="D46" s="18"/>
      <c r="E46" s="1"/>
      <c r="F46" s="1"/>
      <c r="G46" s="1" t="s">
        <v>598</v>
      </c>
      <c r="H46" s="1" t="s">
        <v>599</v>
      </c>
      <c r="I46" s="1" t="s">
        <v>600</v>
      </c>
      <c r="J46" s="1" t="s">
        <v>601</v>
      </c>
      <c r="K46" s="1" t="s">
        <v>602</v>
      </c>
      <c r="L46" s="1" t="s">
        <v>603</v>
      </c>
      <c r="M46" s="1" t="s">
        <v>604</v>
      </c>
      <c r="N46" s="1" t="s">
        <v>605</v>
      </c>
      <c r="O46" s="1" t="s">
        <v>606</v>
      </c>
      <c r="P46" s="1" t="s">
        <v>607</v>
      </c>
      <c r="Q46" s="1" t="s">
        <v>608</v>
      </c>
      <c r="R46" s="1" t="s">
        <v>609</v>
      </c>
      <c r="S46" s="1" t="s">
        <v>610</v>
      </c>
      <c r="T46" s="1" t="s">
        <v>611</v>
      </c>
      <c r="U46" s="1" t="s">
        <v>612</v>
      </c>
    </row>
    <row r="47">
      <c r="A47" s="22" t="s">
        <v>623</v>
      </c>
      <c r="B47" s="1" t="s">
        <v>407</v>
      </c>
      <c r="C47" s="22" t="s">
        <v>623</v>
      </c>
      <c r="D47" s="18">
        <v>2.7557034E7</v>
      </c>
      <c r="E47" s="14">
        <v>0.2333</v>
      </c>
      <c r="F47" s="15">
        <v>22.98436</v>
      </c>
      <c r="G47" s="16">
        <v>42643.0</v>
      </c>
      <c r="H47" s="1">
        <v>40.8</v>
      </c>
      <c r="I47" s="17">
        <v>42670.0</v>
      </c>
      <c r="J47" s="1">
        <v>40.8</v>
      </c>
      <c r="K47" s="14">
        <f t="shared" ref="K47:K50" si="28">(J47-H47)/H47</f>
        <v>0</v>
      </c>
      <c r="L47" s="1">
        <f>AVERAGE(L41,L60)</f>
        <v>-2.065</v>
      </c>
      <c r="M47" s="14">
        <f t="shared" ref="M47:M50" si="29">(F47-F41)/F47</f>
        <v>0.4474429569</v>
      </c>
      <c r="N47" s="19">
        <f t="shared" ref="N47:N50" si="30">(E47-E41)/E41</f>
        <v>0.09069658719</v>
      </c>
      <c r="O47" s="19">
        <f t="shared" ref="O47:O50" si="31">(D47-D41)/D41</f>
        <v>0.5904152279</v>
      </c>
      <c r="P47" s="1">
        <v>1.322</v>
      </c>
      <c r="Q47" s="1">
        <v>3.33</v>
      </c>
      <c r="R47" s="15">
        <v>6.1739064E11</v>
      </c>
      <c r="S47" s="1">
        <f t="shared" ref="S47:S50" si="32">R47/J47</f>
        <v>15132123529</v>
      </c>
      <c r="T47" s="1" t="s">
        <v>615</v>
      </c>
      <c r="U47" s="1" t="s">
        <v>616</v>
      </c>
    </row>
    <row r="48">
      <c r="A48" s="21"/>
      <c r="B48" s="1" t="s">
        <v>267</v>
      </c>
      <c r="C48" s="22" t="s">
        <v>623</v>
      </c>
      <c r="D48" s="18">
        <v>1165469.0</v>
      </c>
      <c r="E48" s="14">
        <v>0.1982</v>
      </c>
      <c r="F48" s="15">
        <v>6.94736</v>
      </c>
      <c r="G48" s="16">
        <v>42643.0</v>
      </c>
      <c r="H48" s="1">
        <v>50.06</v>
      </c>
      <c r="I48" s="17">
        <v>42670.0</v>
      </c>
      <c r="J48" s="1">
        <v>52.0</v>
      </c>
      <c r="K48" s="14">
        <f t="shared" si="28"/>
        <v>0.03875349581</v>
      </c>
      <c r="L48" s="15">
        <v>1.15</v>
      </c>
      <c r="M48" s="14">
        <f t="shared" si="29"/>
        <v>0.1955764492</v>
      </c>
      <c r="N48" s="19">
        <f t="shared" si="30"/>
        <v>0.006091370558</v>
      </c>
      <c r="O48" s="19">
        <f t="shared" si="31"/>
        <v>0.522145819</v>
      </c>
      <c r="P48" s="1">
        <v>0.1469</v>
      </c>
      <c r="Q48" s="1">
        <v>3.0</v>
      </c>
      <c r="R48" s="15">
        <v>2.5584E9</v>
      </c>
      <c r="S48" s="1">
        <f t="shared" si="32"/>
        <v>49200000</v>
      </c>
      <c r="T48" s="1" t="s">
        <v>615</v>
      </c>
      <c r="U48" s="1" t="s">
        <v>616</v>
      </c>
    </row>
    <row r="49">
      <c r="A49" s="21"/>
      <c r="B49" s="1" t="s">
        <v>165</v>
      </c>
      <c r="C49" s="22" t="s">
        <v>623</v>
      </c>
      <c r="D49" s="18">
        <v>1.69135E7</v>
      </c>
      <c r="E49" s="14">
        <v>0.2039</v>
      </c>
      <c r="F49" s="15">
        <v>586.77</v>
      </c>
      <c r="G49" s="16">
        <v>42643.0</v>
      </c>
      <c r="H49" s="1">
        <v>87.29</v>
      </c>
      <c r="I49" s="17">
        <v>42671.0</v>
      </c>
      <c r="J49" s="1">
        <v>87.28</v>
      </c>
      <c r="K49" s="14">
        <f t="shared" si="28"/>
        <v>-0.0001145606599</v>
      </c>
      <c r="L49" s="1">
        <v>0.63</v>
      </c>
      <c r="M49" s="14">
        <f t="shared" si="29"/>
        <v>3.769074765</v>
      </c>
      <c r="N49" s="19">
        <f t="shared" si="30"/>
        <v>-0.02018260452</v>
      </c>
      <c r="O49" s="19">
        <f t="shared" si="31"/>
        <v>0.5324363505</v>
      </c>
      <c r="P49" s="1">
        <v>0.8623</v>
      </c>
      <c r="Q49" s="1">
        <v>3.0</v>
      </c>
      <c r="R49" s="15">
        <v>3.6465584E11</v>
      </c>
      <c r="S49" s="1">
        <f t="shared" si="32"/>
        <v>4178000000</v>
      </c>
      <c r="T49" s="1" t="s">
        <v>615</v>
      </c>
      <c r="U49" s="1" t="s">
        <v>616</v>
      </c>
    </row>
    <row r="50">
      <c r="B50" s="1" t="s">
        <v>129</v>
      </c>
      <c r="C50" s="22" t="s">
        <v>623</v>
      </c>
      <c r="D50" s="18">
        <v>3289588.0</v>
      </c>
      <c r="E50" s="14">
        <v>0.3834</v>
      </c>
      <c r="F50" s="15">
        <v>5.035</v>
      </c>
      <c r="G50" s="16">
        <v>42643.0</v>
      </c>
      <c r="H50" s="1">
        <v>23.02</v>
      </c>
      <c r="I50" s="17">
        <v>42661.0</v>
      </c>
      <c r="J50" s="1">
        <v>21.26</v>
      </c>
      <c r="K50" s="14">
        <f t="shared" si="28"/>
        <v>-0.0764552563</v>
      </c>
      <c r="L50" s="1">
        <v>0.27</v>
      </c>
      <c r="M50" s="14">
        <f t="shared" si="29"/>
        <v>-0.159285005</v>
      </c>
      <c r="N50" s="19">
        <f t="shared" si="30"/>
        <v>-0.004931222424</v>
      </c>
      <c r="O50" s="19">
        <f t="shared" si="31"/>
        <v>0.171272111</v>
      </c>
      <c r="P50" s="1">
        <v>0.6838</v>
      </c>
      <c r="Q50" s="1">
        <v>3.67</v>
      </c>
      <c r="R50" s="15">
        <v>2.231607E9</v>
      </c>
      <c r="S50" s="1">
        <f t="shared" si="32"/>
        <v>104967403.6</v>
      </c>
      <c r="T50" s="1" t="s">
        <v>615</v>
      </c>
      <c r="U50" s="1" t="s">
        <v>616</v>
      </c>
    </row>
    <row r="51">
      <c r="A51" s="21"/>
      <c r="C51" s="18"/>
      <c r="D51" s="18"/>
      <c r="K51" s="14"/>
    </row>
    <row r="52">
      <c r="A52" s="21"/>
      <c r="C52" s="18"/>
      <c r="D52" s="18"/>
      <c r="E52" s="1"/>
      <c r="F52" s="1"/>
      <c r="G52" s="1" t="s">
        <v>598</v>
      </c>
      <c r="H52" s="1" t="s">
        <v>599</v>
      </c>
      <c r="I52" s="1" t="s">
        <v>600</v>
      </c>
      <c r="J52" s="1" t="s">
        <v>601</v>
      </c>
      <c r="K52" s="1" t="s">
        <v>602</v>
      </c>
      <c r="L52" s="1" t="s">
        <v>603</v>
      </c>
      <c r="M52" s="1" t="s">
        <v>604</v>
      </c>
      <c r="N52" s="1" t="s">
        <v>605</v>
      </c>
      <c r="O52" s="1" t="s">
        <v>606</v>
      </c>
      <c r="P52" s="1" t="s">
        <v>607</v>
      </c>
      <c r="Q52" s="1" t="s">
        <v>608</v>
      </c>
      <c r="R52" s="1" t="s">
        <v>609</v>
      </c>
      <c r="S52" s="1" t="s">
        <v>610</v>
      </c>
      <c r="T52" s="1" t="s">
        <v>611</v>
      </c>
      <c r="U52" s="1" t="s">
        <v>612</v>
      </c>
    </row>
    <row r="53">
      <c r="A53" s="22" t="s">
        <v>624</v>
      </c>
      <c r="B53" s="1" t="s">
        <v>407</v>
      </c>
      <c r="C53" s="22" t="s">
        <v>624</v>
      </c>
      <c r="D53" s="18">
        <v>3.9045096E7</v>
      </c>
      <c r="E53" s="14">
        <v>0.2284</v>
      </c>
      <c r="F53" s="15">
        <v>22.84631</v>
      </c>
      <c r="G53" s="17">
        <v>42735.0</v>
      </c>
      <c r="H53" s="1">
        <v>42.73</v>
      </c>
      <c r="I53" s="17">
        <v>42789.0</v>
      </c>
      <c r="J53" s="1">
        <v>51.19</v>
      </c>
      <c r="K53" s="14">
        <f t="shared" ref="K53:K56" si="33">(J53-H53)/H53</f>
        <v>0.1979873625</v>
      </c>
      <c r="L53" s="1">
        <f>AVERAGE(L47,L66)</f>
        <v>-2.065</v>
      </c>
      <c r="M53" s="14">
        <f t="shared" ref="M53:M56" si="34">(F53-F47)/F47</f>
        <v>-0.006006258169</v>
      </c>
      <c r="N53" s="19">
        <f t="shared" ref="N53:N56" si="35">(E53-E47)/E47</f>
        <v>-0.02100300043</v>
      </c>
      <c r="O53" s="19">
        <f t="shared" ref="O53:O56" si="36">(D53-D47)/D47</f>
        <v>0.4168831087</v>
      </c>
      <c r="P53" s="1">
        <v>1.269</v>
      </c>
      <c r="Q53" s="1">
        <v>3.33</v>
      </c>
      <c r="R53" s="15">
        <v>7.1842086E11</v>
      </c>
      <c r="S53" s="1">
        <f t="shared" ref="S53:S56" si="37">R53/J53</f>
        <v>14034398515</v>
      </c>
      <c r="T53" s="1" t="s">
        <v>615</v>
      </c>
      <c r="U53" s="1" t="s">
        <v>616</v>
      </c>
    </row>
    <row r="54">
      <c r="A54" s="21"/>
      <c r="B54" s="1" t="s">
        <v>267</v>
      </c>
      <c r="C54" s="22" t="s">
        <v>624</v>
      </c>
      <c r="D54" s="18">
        <v>1076291.0</v>
      </c>
      <c r="E54" s="14">
        <v>0.1977</v>
      </c>
      <c r="F54" s="15">
        <f>22.75719-sum(F48,F42,F36)</f>
        <v>4.68428</v>
      </c>
      <c r="G54" s="17">
        <v>42735.0</v>
      </c>
      <c r="H54" s="1">
        <v>59.61</v>
      </c>
      <c r="I54" s="17">
        <v>42789.0</v>
      </c>
      <c r="J54" s="1">
        <v>61.18</v>
      </c>
      <c r="K54" s="14">
        <f t="shared" si="33"/>
        <v>0.02633786277</v>
      </c>
      <c r="L54" s="15">
        <v>2.83</v>
      </c>
      <c r="M54" s="14">
        <f t="shared" si="34"/>
        <v>-0.3257467585</v>
      </c>
      <c r="N54" s="19">
        <f t="shared" si="35"/>
        <v>-0.002522704339</v>
      </c>
      <c r="O54" s="19">
        <f t="shared" si="36"/>
        <v>-0.07651683571</v>
      </c>
      <c r="P54" s="1">
        <v>0.2104</v>
      </c>
      <c r="Q54" s="1">
        <v>3.0</v>
      </c>
      <c r="R54" s="15">
        <v>3.010056E9</v>
      </c>
      <c r="S54" s="1">
        <f t="shared" si="37"/>
        <v>49200000</v>
      </c>
      <c r="T54" s="1" t="s">
        <v>615</v>
      </c>
      <c r="U54" s="1" t="s">
        <v>616</v>
      </c>
    </row>
    <row r="55">
      <c r="A55" s="21"/>
      <c r="B55" s="1" t="s">
        <v>165</v>
      </c>
      <c r="C55" s="22" t="s">
        <v>624</v>
      </c>
      <c r="D55" s="18">
        <v>1.3111E7</v>
      </c>
      <c r="E55" s="14">
        <v>0.2137</v>
      </c>
      <c r="F55" s="15">
        <f>2260.94+F43-F37-F49</f>
        <v>-437.71</v>
      </c>
      <c r="G55" s="17">
        <v>42735.0</v>
      </c>
      <c r="H55" s="1">
        <v>90.27</v>
      </c>
      <c r="I55" s="17">
        <v>42766.0</v>
      </c>
      <c r="J55" s="1">
        <v>83.89</v>
      </c>
      <c r="K55" s="14">
        <f t="shared" si="33"/>
        <v>-0.07067685831</v>
      </c>
      <c r="L55" s="1">
        <f>1.88-L49+L43-L37</f>
        <v>-2.19</v>
      </c>
      <c r="M55" s="14">
        <f t="shared" si="34"/>
        <v>-1.745965199</v>
      </c>
      <c r="N55" s="19">
        <f t="shared" si="35"/>
        <v>0.04806277587</v>
      </c>
      <c r="O55" s="19">
        <f t="shared" si="36"/>
        <v>-0.2248204097</v>
      </c>
      <c r="P55" s="1">
        <v>0.8839</v>
      </c>
      <c r="Q55" s="1">
        <v>4.0</v>
      </c>
      <c r="R55" s="15">
        <v>3.7674524E11</v>
      </c>
      <c r="S55" s="1">
        <f t="shared" si="37"/>
        <v>4490943378</v>
      </c>
      <c r="T55" s="1" t="s">
        <v>615</v>
      </c>
      <c r="U55" s="1" t="s">
        <v>616</v>
      </c>
    </row>
    <row r="56">
      <c r="A56" s="21"/>
      <c r="B56" s="1" t="s">
        <v>129</v>
      </c>
      <c r="C56" s="22" t="s">
        <v>624</v>
      </c>
      <c r="D56" s="18">
        <v>1254892.0</v>
      </c>
      <c r="E56" s="14">
        <v>0.3846</v>
      </c>
      <c r="F56" s="15">
        <f>24.946-F50-F44-F38</f>
        <v>8.298</v>
      </c>
      <c r="G56" s="17">
        <v>42735.0</v>
      </c>
      <c r="H56" s="1">
        <v>21.95</v>
      </c>
      <c r="I56" s="17">
        <v>42788.0</v>
      </c>
      <c r="J56" s="1">
        <v>25.25</v>
      </c>
      <c r="K56" s="14">
        <f t="shared" si="33"/>
        <v>0.1503416856</v>
      </c>
      <c r="L56" s="1">
        <f>0.9-L50-L44-L38</f>
        <v>0.21</v>
      </c>
      <c r="M56" s="14">
        <f t="shared" si="34"/>
        <v>0.6480635551</v>
      </c>
      <c r="N56" s="19">
        <f t="shared" si="35"/>
        <v>0.003129890454</v>
      </c>
      <c r="O56" s="19">
        <f t="shared" si="36"/>
        <v>-0.618526089</v>
      </c>
      <c r="P56" s="1">
        <v>0.7083</v>
      </c>
      <c r="Q56" s="1">
        <v>3.67</v>
      </c>
      <c r="R56" s="15">
        <v>2.07208E9</v>
      </c>
      <c r="S56" s="1">
        <f t="shared" si="37"/>
        <v>82062574.26</v>
      </c>
      <c r="T56" s="1" t="s">
        <v>615</v>
      </c>
      <c r="U56" s="1" t="s">
        <v>616</v>
      </c>
    </row>
    <row r="57">
      <c r="A57" s="21"/>
      <c r="C57" s="18"/>
      <c r="D57" s="18"/>
      <c r="J57" s="1"/>
      <c r="K57" s="14"/>
    </row>
    <row r="58">
      <c r="C58" s="18"/>
      <c r="D58" s="18"/>
      <c r="J58" s="1"/>
      <c r="K58" s="14"/>
    </row>
    <row r="59">
      <c r="A59" s="1" t="s">
        <v>625</v>
      </c>
      <c r="C59" s="18"/>
      <c r="D59" s="18"/>
      <c r="E59" s="1"/>
      <c r="F59" s="1"/>
      <c r="G59" s="1" t="s">
        <v>598</v>
      </c>
      <c r="H59" s="1" t="s">
        <v>599</v>
      </c>
      <c r="I59" s="1" t="s">
        <v>600</v>
      </c>
      <c r="J59" s="1" t="s">
        <v>601</v>
      </c>
      <c r="K59" s="1" t="s">
        <v>602</v>
      </c>
      <c r="L59" s="1" t="s">
        <v>603</v>
      </c>
      <c r="M59" s="1" t="s">
        <v>604</v>
      </c>
      <c r="N59" s="1" t="s">
        <v>605</v>
      </c>
      <c r="O59" s="1" t="s">
        <v>606</v>
      </c>
      <c r="P59" s="1" t="s">
        <v>607</v>
      </c>
      <c r="Q59" s="1" t="s">
        <v>608</v>
      </c>
      <c r="R59" s="1" t="s">
        <v>609</v>
      </c>
      <c r="S59" s="1" t="s">
        <v>610</v>
      </c>
      <c r="T59" s="1" t="s">
        <v>611</v>
      </c>
      <c r="U59" s="1" t="s">
        <v>612</v>
      </c>
    </row>
    <row r="60">
      <c r="A60" s="21"/>
      <c r="B60" s="1" t="s">
        <v>407</v>
      </c>
      <c r="C60" s="1" t="s">
        <v>625</v>
      </c>
      <c r="D60" s="18">
        <v>3.4138672E7</v>
      </c>
      <c r="E60" s="14">
        <v>0.2357</v>
      </c>
      <c r="F60" s="15">
        <v>26.9627</v>
      </c>
      <c r="G60" s="16">
        <v>42825.0</v>
      </c>
      <c r="H60" s="1">
        <v>55.66</v>
      </c>
      <c r="I60" s="17">
        <v>42859.0</v>
      </c>
      <c r="J60" s="1">
        <v>59.02</v>
      </c>
      <c r="K60" s="14">
        <f t="shared" ref="K60:K63" si="38">(J60-H60)/H60</f>
        <v>0.06036651096</v>
      </c>
      <c r="L60" s="1">
        <v>-2.04</v>
      </c>
      <c r="M60" s="14">
        <f t="shared" ref="M60:M61" si="39">(F60-F53)/F53</f>
        <v>0.1801774554</v>
      </c>
      <c r="N60" s="19">
        <f t="shared" ref="N60:N63" si="40">(E60-E53)/E53</f>
        <v>0.0319614711</v>
      </c>
      <c r="O60" s="19">
        <f t="shared" ref="O60:O63" si="41">(D60-D53)/D53</f>
        <v>-0.1256604415</v>
      </c>
      <c r="P60" s="1">
        <v>1.071</v>
      </c>
      <c r="Q60" s="1">
        <v>3.33</v>
      </c>
      <c r="R60" s="15">
        <v>7.7104086E11</v>
      </c>
      <c r="S60" s="1">
        <f t="shared" ref="S60:S63" si="42">R60/J60</f>
        <v>13064060657</v>
      </c>
      <c r="T60" s="1" t="s">
        <v>615</v>
      </c>
      <c r="U60" s="1" t="s">
        <v>616</v>
      </c>
    </row>
    <row r="61">
      <c r="A61" s="21"/>
      <c r="B61" s="1" t="s">
        <v>267</v>
      </c>
      <c r="C61" s="1" t="s">
        <v>625</v>
      </c>
      <c r="D61" s="18">
        <v>1414567.0</v>
      </c>
      <c r="E61" s="14">
        <v>0.1956</v>
      </c>
      <c r="F61" s="15">
        <v>5.63426</v>
      </c>
      <c r="G61" s="16">
        <v>42825.0</v>
      </c>
      <c r="H61" s="1">
        <v>63.36</v>
      </c>
      <c r="I61" s="17">
        <v>42859.0</v>
      </c>
      <c r="J61" s="1">
        <v>62.59</v>
      </c>
      <c r="K61" s="14">
        <f t="shared" si="38"/>
        <v>-0.01215277778</v>
      </c>
      <c r="L61" s="15">
        <v>0.71</v>
      </c>
      <c r="M61" s="14">
        <f t="shared" si="39"/>
        <v>0.2028017113</v>
      </c>
      <c r="N61" s="19">
        <f t="shared" si="40"/>
        <v>-0.01062215478</v>
      </c>
      <c r="O61" s="19">
        <f t="shared" si="41"/>
        <v>0.314297899</v>
      </c>
      <c r="P61" s="1">
        <v>0.2858</v>
      </c>
      <c r="Q61" s="1">
        <v>3.0</v>
      </c>
      <c r="R61" s="15">
        <v>3.079428E9</v>
      </c>
      <c r="S61" s="1">
        <f t="shared" si="42"/>
        <v>49200000</v>
      </c>
      <c r="T61" s="1" t="s">
        <v>615</v>
      </c>
      <c r="U61" s="1" t="s">
        <v>616</v>
      </c>
    </row>
    <row r="62">
      <c r="B62" s="1" t="s">
        <v>165</v>
      </c>
      <c r="C62" s="1" t="s">
        <v>625</v>
      </c>
      <c r="D62" s="18">
        <v>1.0323E7</v>
      </c>
      <c r="E62" s="14">
        <v>0.2233</v>
      </c>
      <c r="F62" s="15">
        <v>632.87</v>
      </c>
      <c r="G62" s="16">
        <v>42825.0</v>
      </c>
      <c r="H62" s="1">
        <v>82.01</v>
      </c>
      <c r="I62" s="17">
        <v>42853.0</v>
      </c>
      <c r="J62" s="1">
        <v>81.65</v>
      </c>
      <c r="K62" s="14">
        <f t="shared" si="38"/>
        <v>-0.004389708572</v>
      </c>
      <c r="L62" s="1">
        <v>0.95</v>
      </c>
      <c r="M62" s="14">
        <f>-(F62-F55)/F55</f>
        <v>2.445865984</v>
      </c>
      <c r="N62" s="19">
        <f t="shared" si="40"/>
        <v>0.04492278896</v>
      </c>
      <c r="O62" s="19">
        <f t="shared" si="41"/>
        <v>-0.2126458699</v>
      </c>
      <c r="P62" s="1">
        <v>0.8923</v>
      </c>
      <c r="Q62" s="1">
        <v>3.0</v>
      </c>
      <c r="R62" s="15">
        <v>3.4632823E11</v>
      </c>
      <c r="S62" s="1">
        <f t="shared" si="42"/>
        <v>4241619473</v>
      </c>
      <c r="T62" s="1" t="s">
        <v>615</v>
      </c>
      <c r="U62" s="1" t="s">
        <v>616</v>
      </c>
    </row>
    <row r="63">
      <c r="B63" s="1" t="s">
        <v>129</v>
      </c>
      <c r="C63" s="1" t="s">
        <v>625</v>
      </c>
      <c r="D63" s="18">
        <v>3561761.0</v>
      </c>
      <c r="E63" s="14">
        <v>0.385</v>
      </c>
      <c r="F63" s="15">
        <v>5.913</v>
      </c>
      <c r="G63" s="16">
        <v>42825.0</v>
      </c>
      <c r="H63" s="1">
        <v>24.97</v>
      </c>
      <c r="I63" s="17">
        <v>42865.0</v>
      </c>
      <c r="J63" s="1">
        <v>26.04</v>
      </c>
      <c r="K63" s="14">
        <f t="shared" si="38"/>
        <v>0.04285142171</v>
      </c>
      <c r="L63" s="1">
        <v>0.17</v>
      </c>
      <c r="M63" s="14">
        <f>(F63-F56)/F56</f>
        <v>-0.2874186551</v>
      </c>
      <c r="N63" s="19">
        <f t="shared" si="40"/>
        <v>0.001040041602</v>
      </c>
      <c r="O63" s="19">
        <f t="shared" si="41"/>
        <v>1.838300826</v>
      </c>
      <c r="P63" s="1">
        <v>0.877</v>
      </c>
      <c r="Q63" s="1">
        <v>3.33</v>
      </c>
      <c r="R63" s="15">
        <v>2.39712E9</v>
      </c>
      <c r="S63" s="1">
        <f t="shared" si="42"/>
        <v>92055299.54</v>
      </c>
      <c r="T63" s="1" t="s">
        <v>615</v>
      </c>
      <c r="U63" s="1" t="s">
        <v>616</v>
      </c>
    </row>
    <row r="64">
      <c r="C64" s="18"/>
      <c r="D64" s="18"/>
      <c r="J64" s="1"/>
      <c r="K64" s="14"/>
    </row>
    <row r="65">
      <c r="A65" s="21"/>
      <c r="C65" s="18"/>
      <c r="D65" s="18"/>
      <c r="J65" s="1"/>
      <c r="K65" s="14"/>
    </row>
    <row r="66">
      <c r="A66" s="1" t="s">
        <v>626</v>
      </c>
      <c r="C66" s="18"/>
      <c r="D66" s="18"/>
      <c r="E66" s="1"/>
      <c r="F66" s="1"/>
      <c r="G66" s="1" t="s">
        <v>598</v>
      </c>
      <c r="H66" s="1" t="s">
        <v>599</v>
      </c>
      <c r="I66" s="1" t="s">
        <v>600</v>
      </c>
      <c r="J66" s="1" t="s">
        <v>601</v>
      </c>
      <c r="K66" s="1" t="s">
        <v>602</v>
      </c>
      <c r="L66" s="1" t="s">
        <v>603</v>
      </c>
      <c r="M66" s="1" t="s">
        <v>604</v>
      </c>
      <c r="N66" s="1" t="s">
        <v>605</v>
      </c>
      <c r="O66" s="1" t="s">
        <v>606</v>
      </c>
      <c r="P66" s="1" t="s">
        <v>607</v>
      </c>
      <c r="Q66" s="1" t="s">
        <v>608</v>
      </c>
      <c r="R66" s="1" t="s">
        <v>609</v>
      </c>
      <c r="S66" s="1" t="s">
        <v>610</v>
      </c>
      <c r="T66" s="1" t="s">
        <v>611</v>
      </c>
      <c r="U66" s="1" t="s">
        <v>612</v>
      </c>
    </row>
    <row r="67">
      <c r="B67" s="1" t="s">
        <v>407</v>
      </c>
      <c r="C67" s="1" t="s">
        <v>626</v>
      </c>
      <c r="D67" s="18">
        <v>4.3030254E7</v>
      </c>
      <c r="E67" s="14">
        <v>0.2391</v>
      </c>
      <c r="F67" s="15">
        <v>27.89557</v>
      </c>
      <c r="G67" s="16">
        <v>42916.0</v>
      </c>
      <c r="H67" s="1">
        <v>72.32</v>
      </c>
      <c r="I67" s="17">
        <v>42950.0</v>
      </c>
      <c r="J67" s="1">
        <v>69.41</v>
      </c>
      <c r="K67" s="14">
        <f t="shared" ref="K67:K70" si="43">(J67-H67)/H67</f>
        <v>-0.04023783186</v>
      </c>
      <c r="L67" s="1">
        <v>-2.03</v>
      </c>
      <c r="M67" s="14">
        <f t="shared" ref="M67:M70" si="44">(F67-F60)/F60</f>
        <v>0.03459853798</v>
      </c>
      <c r="N67" s="19">
        <f t="shared" ref="N67:N70" si="45">(E67-E60)/E60</f>
        <v>0.01442511667</v>
      </c>
      <c r="O67" s="19">
        <f t="shared" ref="O67:O70" si="46">(D67-D60)/D60</f>
        <v>0.2604548296</v>
      </c>
      <c r="P67" s="1">
        <v>1.055</v>
      </c>
      <c r="Q67" s="1">
        <v>3.0</v>
      </c>
      <c r="R67" s="15">
        <v>8.1409781E11</v>
      </c>
      <c r="S67" s="1">
        <f t="shared" ref="S67:S70" si="47">R67/J67</f>
        <v>11728825962</v>
      </c>
      <c r="T67" s="1" t="s">
        <v>615</v>
      </c>
      <c r="U67" s="1" t="s">
        <v>616</v>
      </c>
    </row>
    <row r="68">
      <c r="B68" s="1" t="s">
        <v>267</v>
      </c>
      <c r="C68" s="1" t="s">
        <v>626</v>
      </c>
      <c r="D68" s="18">
        <v>1927249.0</v>
      </c>
      <c r="E68" s="14">
        <v>0.1929</v>
      </c>
      <c r="F68" s="15">
        <v>5.69869</v>
      </c>
      <c r="G68" s="16">
        <v>42916.0</v>
      </c>
      <c r="H68" s="1">
        <v>50.3</v>
      </c>
      <c r="I68" s="17">
        <v>42950.0</v>
      </c>
      <c r="J68" s="1">
        <v>44.19</v>
      </c>
      <c r="K68" s="14">
        <f t="shared" si="43"/>
        <v>-0.121471173</v>
      </c>
      <c r="L68" s="15">
        <v>0.78</v>
      </c>
      <c r="M68" s="14">
        <f t="shared" si="44"/>
        <v>0.01143539702</v>
      </c>
      <c r="N68" s="19">
        <f t="shared" si="45"/>
        <v>-0.01380368098</v>
      </c>
      <c r="O68" s="19">
        <f t="shared" si="46"/>
        <v>0.3624303409</v>
      </c>
      <c r="P68" s="1">
        <v>0.3435</v>
      </c>
      <c r="Q68" s="1">
        <v>3.0</v>
      </c>
      <c r="R68" s="15">
        <v>2.16531E9</v>
      </c>
      <c r="S68" s="1">
        <f t="shared" si="47"/>
        <v>49000000</v>
      </c>
      <c r="T68" s="1" t="s">
        <v>615</v>
      </c>
      <c r="U68" s="1" t="s">
        <v>616</v>
      </c>
    </row>
    <row r="69">
      <c r="B69" s="1" t="s">
        <v>165</v>
      </c>
      <c r="C69" s="1" t="s">
        <v>626</v>
      </c>
      <c r="D69" s="18">
        <v>1.0618E7</v>
      </c>
      <c r="E69" s="14">
        <v>0.2324</v>
      </c>
      <c r="F69" s="15">
        <v>628.76</v>
      </c>
      <c r="G69" s="16">
        <v>42916.0</v>
      </c>
      <c r="H69" s="1">
        <v>80.72</v>
      </c>
      <c r="I69" s="17">
        <v>42944.0</v>
      </c>
      <c r="J69" s="1">
        <v>79.6</v>
      </c>
      <c r="K69" s="14">
        <f t="shared" si="43"/>
        <v>-0.01387512389</v>
      </c>
      <c r="L69" s="1">
        <v>0.78</v>
      </c>
      <c r="M69" s="14">
        <f t="shared" si="44"/>
        <v>-0.006494224722</v>
      </c>
      <c r="N69" s="19">
        <f t="shared" si="45"/>
        <v>0.0407523511</v>
      </c>
      <c r="O69" s="19">
        <f t="shared" si="46"/>
        <v>0.02857696406</v>
      </c>
      <c r="P69" s="1">
        <v>0.8136</v>
      </c>
      <c r="Q69" s="1">
        <v>3.0</v>
      </c>
      <c r="R69" s="15">
        <v>3.4479783E11</v>
      </c>
      <c r="S69" s="1">
        <f t="shared" si="47"/>
        <v>4331631030</v>
      </c>
      <c r="T69" s="1" t="s">
        <v>615</v>
      </c>
      <c r="U69" s="1" t="s">
        <v>616</v>
      </c>
    </row>
    <row r="70">
      <c r="B70" s="1" t="s">
        <v>129</v>
      </c>
      <c r="C70" s="1" t="s">
        <v>626</v>
      </c>
      <c r="D70" s="18">
        <v>1672175.0</v>
      </c>
      <c r="E70" s="14">
        <v>0.3827</v>
      </c>
      <c r="F70" s="15">
        <v>-15.015</v>
      </c>
      <c r="G70" s="16">
        <v>42916.0</v>
      </c>
      <c r="H70" s="1">
        <v>27.77</v>
      </c>
      <c r="I70" s="17">
        <v>42956.0</v>
      </c>
      <c r="J70" s="1">
        <v>27.06</v>
      </c>
      <c r="K70" s="14">
        <f t="shared" si="43"/>
        <v>-0.0255671588</v>
      </c>
      <c r="L70" s="1">
        <v>-0.83</v>
      </c>
      <c r="M70" s="14">
        <f t="shared" si="44"/>
        <v>-3.539320142</v>
      </c>
      <c r="N70" s="19">
        <f t="shared" si="45"/>
        <v>-0.005974025974</v>
      </c>
      <c r="O70" s="19">
        <f t="shared" si="46"/>
        <v>-0.5305201556</v>
      </c>
      <c r="P70" s="1">
        <v>0.9391</v>
      </c>
      <c r="Q70" s="1">
        <v>3.33</v>
      </c>
      <c r="R70" s="15">
        <v>2.694562E9</v>
      </c>
      <c r="S70" s="1">
        <f t="shared" si="47"/>
        <v>99577309.68</v>
      </c>
      <c r="T70" s="1" t="s">
        <v>615</v>
      </c>
      <c r="U70" s="1" t="s">
        <v>616</v>
      </c>
    </row>
    <row r="71">
      <c r="C71" s="18"/>
      <c r="D71" s="18"/>
      <c r="J71" s="1"/>
      <c r="K71" s="14"/>
    </row>
    <row r="72">
      <c r="C72" s="18"/>
      <c r="D72" s="18"/>
      <c r="E72" s="1"/>
      <c r="F72" s="1"/>
      <c r="G72" s="1" t="s">
        <v>598</v>
      </c>
      <c r="H72" s="1" t="s">
        <v>599</v>
      </c>
      <c r="I72" s="1" t="s">
        <v>600</v>
      </c>
      <c r="J72" s="1" t="s">
        <v>601</v>
      </c>
      <c r="K72" s="1" t="s">
        <v>602</v>
      </c>
      <c r="L72" s="1" t="s">
        <v>603</v>
      </c>
      <c r="M72" s="1" t="s">
        <v>604</v>
      </c>
      <c r="N72" s="1" t="s">
        <v>605</v>
      </c>
      <c r="O72" s="1" t="s">
        <v>606</v>
      </c>
      <c r="P72" s="1" t="s">
        <v>607</v>
      </c>
      <c r="Q72" s="1" t="s">
        <v>608</v>
      </c>
      <c r="R72" s="1" t="s">
        <v>609</v>
      </c>
      <c r="S72" s="1" t="s">
        <v>610</v>
      </c>
      <c r="T72" s="1" t="s">
        <v>611</v>
      </c>
      <c r="U72" s="1" t="s">
        <v>612</v>
      </c>
    </row>
    <row r="73">
      <c r="A73" s="1" t="s">
        <v>627</v>
      </c>
      <c r="B73" s="1" t="s">
        <v>407</v>
      </c>
      <c r="C73" s="1" t="s">
        <v>627</v>
      </c>
      <c r="D73" s="18">
        <v>4.1766799E7</v>
      </c>
      <c r="E73" s="14">
        <v>0.2063</v>
      </c>
      <c r="F73" s="15">
        <v>29.84675</v>
      </c>
      <c r="G73" s="16">
        <v>43008.0</v>
      </c>
      <c r="H73" s="1">
        <v>68.2</v>
      </c>
      <c r="I73" s="17">
        <v>43041.0</v>
      </c>
      <c r="J73" s="1">
        <v>59.85</v>
      </c>
      <c r="K73" s="14">
        <f t="shared" ref="K73:K76" si="48">(J73-H73)/H73</f>
        <v>-0.1224340176</v>
      </c>
      <c r="L73" s="1">
        <v>-2.03</v>
      </c>
      <c r="M73" s="14">
        <f t="shared" ref="M73:M75" si="49">(F73-F67)/F67</f>
        <v>0.06994587313</v>
      </c>
      <c r="N73" s="19">
        <f t="shared" ref="N73:N76" si="50">(E73-E67)/E67</f>
        <v>-0.1371810958</v>
      </c>
      <c r="O73" s="19">
        <f t="shared" ref="O73:O76" si="51">(D73-D67)/D67</f>
        <v>-0.02936201585</v>
      </c>
      <c r="P73" s="1">
        <v>0.9485</v>
      </c>
      <c r="Q73" s="1">
        <v>3.0</v>
      </c>
      <c r="R73" s="15">
        <v>8.7148224E11</v>
      </c>
      <c r="S73" s="1">
        <f t="shared" ref="S73:S76" si="52">R73/J73</f>
        <v>14561106767</v>
      </c>
      <c r="T73" s="1" t="s">
        <v>615</v>
      </c>
      <c r="U73" s="1" t="s">
        <v>616</v>
      </c>
    </row>
    <row r="74">
      <c r="B74" s="1" t="s">
        <v>267</v>
      </c>
      <c r="C74" s="1" t="s">
        <v>627</v>
      </c>
      <c r="D74" s="18">
        <v>2137991.0</v>
      </c>
      <c r="E74" s="14">
        <v>0.1873</v>
      </c>
      <c r="F74" s="15">
        <v>6.03</v>
      </c>
      <c r="G74" s="16">
        <v>43008.0</v>
      </c>
      <c r="H74" s="1">
        <v>42.13</v>
      </c>
      <c r="I74" s="17">
        <v>43041.0</v>
      </c>
      <c r="J74" s="1">
        <v>42.18</v>
      </c>
      <c r="K74" s="14">
        <f t="shared" si="48"/>
        <v>0.001186802753</v>
      </c>
      <c r="L74" s="15">
        <v>1.34</v>
      </c>
      <c r="M74" s="14">
        <f t="shared" si="49"/>
        <v>0.05813792293</v>
      </c>
      <c r="N74" s="19">
        <f t="shared" si="50"/>
        <v>-0.0290305858</v>
      </c>
      <c r="O74" s="19">
        <f t="shared" si="51"/>
        <v>0.1093486104</v>
      </c>
      <c r="P74" s="1">
        <v>0.3291</v>
      </c>
      <c r="Q74" s="1">
        <v>3.0</v>
      </c>
      <c r="R74" s="15">
        <v>2.121287E9</v>
      </c>
      <c r="S74" s="1">
        <f t="shared" si="52"/>
        <v>50291299.19</v>
      </c>
      <c r="T74" s="1" t="s">
        <v>615</v>
      </c>
      <c r="U74" s="1" t="s">
        <v>616</v>
      </c>
    </row>
    <row r="75">
      <c r="B75" s="1" t="s">
        <v>165</v>
      </c>
      <c r="C75" s="1" t="s">
        <v>627</v>
      </c>
      <c r="D75" s="18">
        <v>9535000.0</v>
      </c>
      <c r="E75" s="14">
        <v>0.2433</v>
      </c>
      <c r="F75" s="15">
        <v>661.65</v>
      </c>
      <c r="G75" s="16">
        <v>43008.0</v>
      </c>
      <c r="H75" s="1">
        <v>81.98</v>
      </c>
      <c r="I75" s="17">
        <v>43035.0</v>
      </c>
      <c r="J75" s="1">
        <v>83.71</v>
      </c>
      <c r="K75" s="14">
        <f t="shared" si="48"/>
        <v>0.02110270798</v>
      </c>
      <c r="L75" s="1">
        <v>0.93</v>
      </c>
      <c r="M75" s="14">
        <f t="shared" si="49"/>
        <v>0.05230930721</v>
      </c>
      <c r="N75" s="19">
        <f t="shared" si="50"/>
        <v>0.04690189329</v>
      </c>
      <c r="O75" s="19">
        <f t="shared" si="51"/>
        <v>-0.1019966095</v>
      </c>
      <c r="P75" s="1">
        <v>0.8367</v>
      </c>
      <c r="Q75" s="1">
        <v>3.0</v>
      </c>
      <c r="R75" s="15">
        <v>3.5013658E11</v>
      </c>
      <c r="S75" s="1">
        <f t="shared" si="52"/>
        <v>4182733007</v>
      </c>
      <c r="T75" s="1" t="s">
        <v>615</v>
      </c>
      <c r="U75" s="1" t="s">
        <v>616</v>
      </c>
    </row>
    <row r="76">
      <c r="B76" s="1" t="s">
        <v>129</v>
      </c>
      <c r="C76" s="1" t="s">
        <v>627</v>
      </c>
      <c r="D76" s="18">
        <v>2303278.0</v>
      </c>
      <c r="E76" s="14">
        <v>0.3894</v>
      </c>
      <c r="F76" s="15">
        <v>5.813</v>
      </c>
      <c r="G76" s="16">
        <v>43008.0</v>
      </c>
      <c r="H76" s="1">
        <v>28.86</v>
      </c>
      <c r="I76" s="17">
        <v>43047.0</v>
      </c>
      <c r="J76" s="1">
        <v>28.02</v>
      </c>
      <c r="K76" s="14">
        <f t="shared" si="48"/>
        <v>-0.02910602911</v>
      </c>
      <c r="L76" s="1">
        <v>0.24</v>
      </c>
      <c r="M76" s="14">
        <f>-(F76-F70)/F70</f>
        <v>1.387146187</v>
      </c>
      <c r="N76" s="19">
        <f t="shared" si="50"/>
        <v>0.01750718579</v>
      </c>
      <c r="O76" s="19">
        <f t="shared" si="51"/>
        <v>0.3774144453</v>
      </c>
      <c r="P76" s="1">
        <v>0.9561</v>
      </c>
      <c r="Q76" s="1">
        <v>3.67</v>
      </c>
      <c r="R76" s="15">
        <v>2.76383E9</v>
      </c>
      <c r="S76" s="1">
        <f t="shared" si="52"/>
        <v>98637758.74</v>
      </c>
      <c r="T76" s="1" t="s">
        <v>615</v>
      </c>
      <c r="U76" s="1" t="s">
        <v>616</v>
      </c>
    </row>
    <row r="77">
      <c r="C77" s="18"/>
      <c r="D77" s="18"/>
      <c r="J77" s="1"/>
      <c r="K77" s="14"/>
    </row>
    <row r="78">
      <c r="C78" s="18"/>
      <c r="D78" s="18"/>
      <c r="E78" s="1"/>
      <c r="F78" s="15"/>
      <c r="G78" s="1" t="s">
        <v>598</v>
      </c>
      <c r="H78" s="1" t="s">
        <v>599</v>
      </c>
      <c r="I78" s="1" t="s">
        <v>600</v>
      </c>
      <c r="J78" s="1" t="s">
        <v>601</v>
      </c>
      <c r="K78" s="1" t="s">
        <v>602</v>
      </c>
      <c r="L78" s="1" t="s">
        <v>603</v>
      </c>
      <c r="M78" s="1" t="s">
        <v>604</v>
      </c>
      <c r="N78" s="1" t="s">
        <v>605</v>
      </c>
      <c r="O78" s="1" t="s">
        <v>606</v>
      </c>
      <c r="P78" s="1" t="s">
        <v>607</v>
      </c>
      <c r="Q78" s="1" t="s">
        <v>608</v>
      </c>
      <c r="R78" s="1" t="s">
        <v>609</v>
      </c>
      <c r="S78" s="1" t="s">
        <v>610</v>
      </c>
      <c r="T78" s="1" t="s">
        <v>611</v>
      </c>
      <c r="U78" s="1" t="s">
        <v>612</v>
      </c>
    </row>
    <row r="79">
      <c r="A79" s="1" t="s">
        <v>628</v>
      </c>
      <c r="B79" s="1" t="s">
        <v>407</v>
      </c>
      <c r="C79" s="1" t="s">
        <v>628</v>
      </c>
      <c r="D79" s="18">
        <v>2.902162143E7</v>
      </c>
      <c r="E79" s="14">
        <v>0.189</v>
      </c>
      <c r="F79" s="15">
        <v>32.88248999999999</v>
      </c>
      <c r="G79" s="17">
        <v>43100.0</v>
      </c>
      <c r="H79" s="1">
        <v>62.27</v>
      </c>
      <c r="I79" s="17">
        <v>43139.0</v>
      </c>
      <c r="J79" s="1">
        <v>63.04</v>
      </c>
      <c r="K79" s="14">
        <f t="shared" ref="K79:K82" si="53">(J79-H79)/H79</f>
        <v>0.01236550506</v>
      </c>
      <c r="L79" s="1">
        <v>-2.03</v>
      </c>
      <c r="M79" s="14">
        <f t="shared" ref="M79:M82" si="54">(F79-F73)/F73</f>
        <v>0.1017109065</v>
      </c>
      <c r="N79" s="19">
        <f t="shared" ref="N79:N82" si="55">(E79-E73)/E73</f>
        <v>-0.08385845856</v>
      </c>
      <c r="O79" s="19">
        <f t="shared" ref="O79:O82" si="56">(D79-D73)/D73</f>
        <v>-0.3051509303</v>
      </c>
      <c r="P79" s="1">
        <v>1.013</v>
      </c>
      <c r="Q79" s="1">
        <v>4.0</v>
      </c>
      <c r="R79" s="15">
        <v>8.002637E11</v>
      </c>
      <c r="S79" s="1">
        <f t="shared" ref="S79:S82" si="57">R79/J79</f>
        <v>12694538388</v>
      </c>
      <c r="T79" s="1" t="s">
        <v>615</v>
      </c>
      <c r="U79" s="1" t="s">
        <v>616</v>
      </c>
    </row>
    <row r="80">
      <c r="B80" s="1" t="s">
        <v>267</v>
      </c>
      <c r="C80" s="1" t="s">
        <v>628</v>
      </c>
      <c r="D80" s="18">
        <v>1522179.0</v>
      </c>
      <c r="E80" s="14">
        <v>0.1819</v>
      </c>
      <c r="F80" s="15">
        <v>5.71</v>
      </c>
      <c r="G80" s="17">
        <v>43100.0</v>
      </c>
      <c r="H80" s="1">
        <v>48.18</v>
      </c>
      <c r="I80" s="17">
        <v>43153.0</v>
      </c>
      <c r="J80" s="1">
        <v>47.93</v>
      </c>
      <c r="K80" s="14">
        <f t="shared" si="53"/>
        <v>-0.005188875052</v>
      </c>
      <c r="L80" s="15">
        <v>3.27</v>
      </c>
      <c r="M80" s="14">
        <f t="shared" si="54"/>
        <v>-0.05306799337</v>
      </c>
      <c r="N80" s="19">
        <f t="shared" si="55"/>
        <v>-0.0288307528</v>
      </c>
      <c r="O80" s="19">
        <f t="shared" si="56"/>
        <v>-0.2880330179</v>
      </c>
      <c r="P80" s="1">
        <v>0.3744</v>
      </c>
      <c r="Q80" s="1">
        <v>3.0</v>
      </c>
      <c r="R80" s="15">
        <v>2.166434E9</v>
      </c>
      <c r="S80" s="1">
        <f t="shared" si="57"/>
        <v>45199958.27</v>
      </c>
      <c r="T80" s="1" t="s">
        <v>615</v>
      </c>
      <c r="U80" s="1" t="s">
        <v>616</v>
      </c>
    </row>
    <row r="81">
      <c r="B81" s="1" t="s">
        <v>165</v>
      </c>
      <c r="C81" s="1" t="s">
        <v>628</v>
      </c>
      <c r="D81" s="18">
        <v>1.3404E7</v>
      </c>
      <c r="E81" s="14">
        <v>0.2183</v>
      </c>
      <c r="F81" s="15">
        <v>840.0</v>
      </c>
      <c r="G81" s="17">
        <v>43100.0</v>
      </c>
      <c r="H81" s="1">
        <v>83.83</v>
      </c>
      <c r="I81" s="17">
        <v>43134.0</v>
      </c>
      <c r="J81" s="1">
        <v>84.53</v>
      </c>
      <c r="K81" s="14">
        <f t="shared" si="53"/>
        <v>0.008350232614</v>
      </c>
      <c r="L81" s="1">
        <f>2.75-L75-L69-L62</f>
        <v>0.09</v>
      </c>
      <c r="M81" s="14">
        <f t="shared" si="54"/>
        <v>0.2695533893</v>
      </c>
      <c r="N81" s="19">
        <f t="shared" si="55"/>
        <v>-0.1027538019</v>
      </c>
      <c r="O81" s="19">
        <f t="shared" si="56"/>
        <v>0.4057682223</v>
      </c>
      <c r="P81" s="1">
        <v>0.8278</v>
      </c>
      <c r="Q81" s="1">
        <v>3.0</v>
      </c>
      <c r="R81" s="15">
        <v>3.5697552E11</v>
      </c>
      <c r="S81" s="1">
        <f t="shared" si="57"/>
        <v>4223063055</v>
      </c>
      <c r="T81" s="1" t="s">
        <v>615</v>
      </c>
      <c r="U81" s="1" t="s">
        <v>616</v>
      </c>
    </row>
    <row r="82">
      <c r="B82" s="1" t="s">
        <v>129</v>
      </c>
      <c r="C82" s="1" t="s">
        <v>628</v>
      </c>
      <c r="D82" s="18">
        <v>1760934.0</v>
      </c>
      <c r="E82" s="14">
        <v>0.3894</v>
      </c>
      <c r="F82" s="15">
        <f>-1.446</f>
        <v>-1.446</v>
      </c>
      <c r="G82" s="17">
        <v>43100.0</v>
      </c>
      <c r="H82" s="1">
        <v>31.89</v>
      </c>
      <c r="I82" s="17">
        <v>43152.0</v>
      </c>
      <c r="J82" s="1">
        <v>29.51</v>
      </c>
      <c r="K82" s="14">
        <f t="shared" si="53"/>
        <v>-0.07463154594</v>
      </c>
      <c r="L82" s="1">
        <v>-0.09</v>
      </c>
      <c r="M82" s="14">
        <f t="shared" si="54"/>
        <v>-1.248752795</v>
      </c>
      <c r="N82" s="19">
        <f t="shared" si="55"/>
        <v>0</v>
      </c>
      <c r="O82" s="19">
        <f t="shared" si="56"/>
        <v>-0.2354661487</v>
      </c>
      <c r="P82" s="1">
        <v>1.002</v>
      </c>
      <c r="Q82" s="1">
        <v>3.67</v>
      </c>
      <c r="R82" s="15">
        <v>2.920208E9</v>
      </c>
      <c r="S82" s="1">
        <f t="shared" si="57"/>
        <v>98956557.1</v>
      </c>
      <c r="T82" s="1" t="s">
        <v>615</v>
      </c>
      <c r="U82" s="1" t="s">
        <v>616</v>
      </c>
    </row>
    <row r="83">
      <c r="C83" s="18"/>
      <c r="D83" s="18"/>
    </row>
    <row r="84">
      <c r="C84" s="18"/>
      <c r="D84" s="18"/>
    </row>
    <row r="85">
      <c r="C85" s="18"/>
      <c r="D85" s="18"/>
    </row>
    <row r="86">
      <c r="C86" s="18"/>
      <c r="D86" s="18"/>
    </row>
    <row r="87">
      <c r="C87" s="18"/>
      <c r="D87" s="18"/>
    </row>
    <row r="88">
      <c r="C88" s="18"/>
      <c r="D88" s="18"/>
    </row>
    <row r="89">
      <c r="C89" s="18"/>
      <c r="D89" s="18"/>
      <c r="G89" s="23"/>
      <c r="H89" s="23"/>
      <c r="I89" s="23"/>
      <c r="J89" s="24"/>
    </row>
    <row r="90">
      <c r="C90" s="18"/>
      <c r="D90" s="18"/>
      <c r="G90" s="23"/>
      <c r="H90" s="23"/>
      <c r="I90" s="23"/>
      <c r="J90" s="24"/>
    </row>
    <row r="91">
      <c r="C91" s="18"/>
      <c r="D91" s="18"/>
      <c r="G91" s="23"/>
      <c r="H91" s="23"/>
      <c r="I91" s="23"/>
      <c r="J91" s="24"/>
    </row>
    <row r="92">
      <c r="C92" s="18"/>
      <c r="D92" s="18"/>
      <c r="G92" s="23"/>
      <c r="H92" s="23"/>
      <c r="I92" s="23"/>
      <c r="J92" s="24"/>
    </row>
    <row r="93">
      <c r="C93" s="18"/>
      <c r="D93" s="18"/>
      <c r="G93" s="23"/>
      <c r="H93" s="23"/>
      <c r="I93" s="23"/>
      <c r="J93" s="24"/>
    </row>
    <row r="94">
      <c r="G94" s="23"/>
      <c r="H94" s="23"/>
      <c r="I94" s="23"/>
      <c r="J94" s="24"/>
    </row>
    <row r="95">
      <c r="G95" s="23"/>
      <c r="H95" s="23"/>
      <c r="I95" s="23"/>
      <c r="J95" s="24"/>
    </row>
    <row r="96">
      <c r="G96" s="23"/>
      <c r="H96" s="23"/>
      <c r="I96" s="23"/>
      <c r="J96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B4" s="12" t="s">
        <v>612</v>
      </c>
    </row>
    <row r="5">
      <c r="C5" s="1" t="s">
        <v>613</v>
      </c>
      <c r="D5" s="1" t="s">
        <v>618</v>
      </c>
      <c r="E5" s="1" t="s">
        <v>619</v>
      </c>
      <c r="F5" s="1" t="s">
        <v>620</v>
      </c>
      <c r="G5" s="1" t="s">
        <v>621</v>
      </c>
      <c r="H5" s="1" t="s">
        <v>622</v>
      </c>
      <c r="I5" s="1" t="s">
        <v>623</v>
      </c>
      <c r="J5" s="1" t="s">
        <v>629</v>
      </c>
      <c r="K5" s="1" t="s">
        <v>630</v>
      </c>
      <c r="L5" s="1" t="s">
        <v>631</v>
      </c>
      <c r="M5" s="1" t="s">
        <v>627</v>
      </c>
      <c r="N5" s="1" t="s">
        <v>628</v>
      </c>
    </row>
    <row r="6">
      <c r="B6" s="1" t="s">
        <v>407</v>
      </c>
      <c r="C6" s="1" t="s">
        <v>632</v>
      </c>
      <c r="D6" s="1" t="s">
        <v>632</v>
      </c>
      <c r="E6" s="1" t="s">
        <v>632</v>
      </c>
      <c r="F6" s="1" t="s">
        <v>632</v>
      </c>
      <c r="G6" s="1" t="s">
        <v>632</v>
      </c>
      <c r="H6" s="1" t="s">
        <v>632</v>
      </c>
      <c r="I6" s="1" t="s">
        <v>632</v>
      </c>
      <c r="J6" s="1" t="s">
        <v>632</v>
      </c>
      <c r="K6" s="1" t="s">
        <v>632</v>
      </c>
      <c r="L6" s="1" t="s">
        <v>632</v>
      </c>
      <c r="M6" s="1" t="s">
        <v>632</v>
      </c>
      <c r="N6" s="1" t="s">
        <v>632</v>
      </c>
    </row>
    <row r="7">
      <c r="B7" s="1" t="s">
        <v>633</v>
      </c>
      <c r="C7" s="1" t="s">
        <v>632</v>
      </c>
      <c r="D7" s="1" t="s">
        <v>632</v>
      </c>
      <c r="E7" s="1" t="s">
        <v>632</v>
      </c>
      <c r="F7" s="1" t="s">
        <v>632</v>
      </c>
      <c r="G7" s="1" t="s">
        <v>632</v>
      </c>
      <c r="H7" s="1" t="s">
        <v>632</v>
      </c>
      <c r="I7" s="1" t="s">
        <v>632</v>
      </c>
      <c r="J7" s="1" t="s">
        <v>632</v>
      </c>
      <c r="K7" s="1" t="s">
        <v>632</v>
      </c>
      <c r="L7" s="1" t="s">
        <v>632</v>
      </c>
      <c r="M7" s="1" t="s">
        <v>632</v>
      </c>
      <c r="N7" s="1" t="s">
        <v>632</v>
      </c>
    </row>
    <row r="8">
      <c r="B8" s="1" t="s">
        <v>165</v>
      </c>
      <c r="C8" s="1" t="s">
        <v>632</v>
      </c>
      <c r="D8" s="1" t="s">
        <v>632</v>
      </c>
      <c r="E8" s="1" t="s">
        <v>632</v>
      </c>
      <c r="F8" s="1" t="s">
        <v>632</v>
      </c>
      <c r="G8" s="1" t="s">
        <v>632</v>
      </c>
      <c r="H8" s="1" t="s">
        <v>632</v>
      </c>
      <c r="I8" s="1" t="s">
        <v>632</v>
      </c>
      <c r="J8" s="1" t="s">
        <v>632</v>
      </c>
      <c r="K8" s="1" t="s">
        <v>632</v>
      </c>
      <c r="L8" s="1" t="s">
        <v>632</v>
      </c>
      <c r="M8" s="1" t="s">
        <v>632</v>
      </c>
      <c r="N8" s="1" t="s">
        <v>632</v>
      </c>
    </row>
    <row r="9">
      <c r="B9" s="1" t="s">
        <v>129</v>
      </c>
      <c r="C9" s="1" t="s">
        <v>632</v>
      </c>
      <c r="D9" s="1" t="s">
        <v>632</v>
      </c>
      <c r="E9" s="1" t="s">
        <v>632</v>
      </c>
      <c r="F9" s="1" t="s">
        <v>632</v>
      </c>
      <c r="G9" s="1" t="s">
        <v>632</v>
      </c>
      <c r="H9" s="1" t="s">
        <v>632</v>
      </c>
      <c r="I9" s="1" t="s">
        <v>632</v>
      </c>
      <c r="J9" s="1" t="s">
        <v>632</v>
      </c>
      <c r="K9" s="1" t="s">
        <v>632</v>
      </c>
      <c r="L9" s="1" t="s">
        <v>632</v>
      </c>
      <c r="M9" s="1" t="s">
        <v>632</v>
      </c>
      <c r="N9" s="1" t="s">
        <v>632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" t="s">
        <v>634</v>
      </c>
    </row>
    <row r="2">
      <c r="A2" s="25" t="s">
        <v>635</v>
      </c>
      <c r="B2" s="2" t="str">
        <f>IFERROR(__xludf.DUMMYFUNCTION("GOOGLEFINANCE(A2,""price"",Sheet3!G2,Sheet3!G2996)"),"Date")</f>
        <v>Date</v>
      </c>
      <c r="C2" s="2" t="str">
        <f>IFERROR(__xludf.DUMMYFUNCTION("""COMPUTED_VALUE"""),"Close")</f>
        <v>Close</v>
      </c>
      <c r="E2" s="26">
        <f>-(MAX(E4:E252))</f>
        <v>-0.0408844811</v>
      </c>
    </row>
    <row r="3">
      <c r="B3" s="27">
        <f>IFERROR(__xludf.DUMMYFUNCTION("""COMPUTED_VALUE"""),42061.66666666667)</f>
        <v>42061.66667</v>
      </c>
      <c r="C3" s="2">
        <f>IFERROR(__xludf.DUMMYFUNCTION("""COMPUTED_VALUE"""),211.38)</f>
        <v>211.38</v>
      </c>
      <c r="D3" s="28" t="s">
        <v>636</v>
      </c>
      <c r="E3" s="28" t="s">
        <v>637</v>
      </c>
    </row>
    <row r="4">
      <c r="B4" s="27">
        <f>IFERROR(__xludf.DUMMYFUNCTION("""COMPUTED_VALUE"""),42062.66666666667)</f>
        <v>42062.66667</v>
      </c>
      <c r="C4" s="2">
        <f>IFERROR(__xludf.DUMMYFUNCTION("""COMPUTED_VALUE"""),210.66)</f>
        <v>210.66</v>
      </c>
      <c r="D4" s="26">
        <f t="shared" ref="D4:D252" si="1">(C4-C3)/C3</f>
        <v>-0.003406187908</v>
      </c>
      <c r="E4" s="26">
        <f t="shared" ref="E4:E252" si="2">ABS(D4)</f>
        <v>0.003406187908</v>
      </c>
    </row>
    <row r="5">
      <c r="B5" s="27">
        <f>IFERROR(__xludf.DUMMYFUNCTION("""COMPUTED_VALUE"""),42065.66666666667)</f>
        <v>42065.66667</v>
      </c>
      <c r="C5" s="2">
        <f>IFERROR(__xludf.DUMMYFUNCTION("""COMPUTED_VALUE"""),211.99)</f>
        <v>211.99</v>
      </c>
      <c r="D5" s="26">
        <f t="shared" si="1"/>
        <v>0.006313490933</v>
      </c>
      <c r="E5" s="26">
        <f t="shared" si="2"/>
        <v>0.006313490933</v>
      </c>
    </row>
    <row r="6">
      <c r="B6" s="27">
        <f>IFERROR(__xludf.DUMMYFUNCTION("""COMPUTED_VALUE"""),42066.66666666667)</f>
        <v>42066.66667</v>
      </c>
      <c r="C6" s="2">
        <f>IFERROR(__xludf.DUMMYFUNCTION("""COMPUTED_VALUE"""),211.12)</f>
        <v>211.12</v>
      </c>
      <c r="D6" s="26">
        <f t="shared" si="1"/>
        <v>-0.004103967168</v>
      </c>
      <c r="E6" s="26">
        <f t="shared" si="2"/>
        <v>0.004103967168</v>
      </c>
    </row>
    <row r="7">
      <c r="B7" s="27">
        <f>IFERROR(__xludf.DUMMYFUNCTION("""COMPUTED_VALUE"""),42067.66666666667)</f>
        <v>42067.66667</v>
      </c>
      <c r="C7" s="2">
        <f>IFERROR(__xludf.DUMMYFUNCTION("""COMPUTED_VALUE"""),210.23)</f>
        <v>210.23</v>
      </c>
      <c r="D7" s="26">
        <f t="shared" si="1"/>
        <v>-0.004215611974</v>
      </c>
      <c r="E7" s="26">
        <f t="shared" si="2"/>
        <v>0.004215611974</v>
      </c>
    </row>
    <row r="8">
      <c r="B8" s="27">
        <f>IFERROR(__xludf.DUMMYFUNCTION("""COMPUTED_VALUE"""),42068.66666666667)</f>
        <v>42068.66667</v>
      </c>
      <c r="C8" s="2">
        <f>IFERROR(__xludf.DUMMYFUNCTION("""COMPUTED_VALUE"""),210.46)</f>
        <v>210.46</v>
      </c>
      <c r="D8" s="26">
        <f t="shared" si="1"/>
        <v>0.001094039861</v>
      </c>
      <c r="E8" s="26">
        <f t="shared" si="2"/>
        <v>0.001094039861</v>
      </c>
    </row>
    <row r="9">
      <c r="B9" s="27">
        <f>IFERROR(__xludf.DUMMYFUNCTION("""COMPUTED_VALUE"""),42069.66666666667)</f>
        <v>42069.66667</v>
      </c>
      <c r="C9" s="2">
        <f>IFERROR(__xludf.DUMMYFUNCTION("""COMPUTED_VALUE"""),207.5)</f>
        <v>207.5</v>
      </c>
      <c r="D9" s="26">
        <f t="shared" si="1"/>
        <v>-0.0140644303</v>
      </c>
      <c r="E9" s="26">
        <f t="shared" si="2"/>
        <v>0.0140644303</v>
      </c>
    </row>
    <row r="10">
      <c r="B10" s="27">
        <f>IFERROR(__xludf.DUMMYFUNCTION("""COMPUTED_VALUE"""),42072.66666666667)</f>
        <v>42072.66667</v>
      </c>
      <c r="C10" s="2">
        <f>IFERROR(__xludf.DUMMYFUNCTION("""COMPUTED_VALUE"""),208.36)</f>
        <v>208.36</v>
      </c>
      <c r="D10" s="26">
        <f t="shared" si="1"/>
        <v>0.004144578313</v>
      </c>
      <c r="E10" s="26">
        <f t="shared" si="2"/>
        <v>0.004144578313</v>
      </c>
    </row>
    <row r="11">
      <c r="B11" s="27">
        <f>IFERROR(__xludf.DUMMYFUNCTION("""COMPUTED_VALUE"""),42073.66666666667)</f>
        <v>42073.66667</v>
      </c>
      <c r="C11" s="2">
        <f>IFERROR(__xludf.DUMMYFUNCTION("""COMPUTED_VALUE"""),204.98)</f>
        <v>204.98</v>
      </c>
      <c r="D11" s="26">
        <f t="shared" si="1"/>
        <v>-0.01622192359</v>
      </c>
      <c r="E11" s="26">
        <f t="shared" si="2"/>
        <v>0.01622192359</v>
      </c>
    </row>
    <row r="12">
      <c r="B12" s="27">
        <f>IFERROR(__xludf.DUMMYFUNCTION("""COMPUTED_VALUE"""),42074.66666666667)</f>
        <v>42074.66667</v>
      </c>
      <c r="C12" s="2">
        <f>IFERROR(__xludf.DUMMYFUNCTION("""COMPUTED_VALUE"""),204.5)</f>
        <v>204.5</v>
      </c>
      <c r="D12" s="26">
        <f t="shared" si="1"/>
        <v>-0.002341691872</v>
      </c>
      <c r="E12" s="26">
        <f t="shared" si="2"/>
        <v>0.002341691872</v>
      </c>
    </row>
    <row r="13">
      <c r="B13" s="27">
        <f>IFERROR(__xludf.DUMMYFUNCTION("""COMPUTED_VALUE"""),42075.66666666667)</f>
        <v>42075.66667</v>
      </c>
      <c r="C13" s="2">
        <f>IFERROR(__xludf.DUMMYFUNCTION("""COMPUTED_VALUE"""),207.1)</f>
        <v>207.1</v>
      </c>
      <c r="D13" s="26">
        <f t="shared" si="1"/>
        <v>0.01271393643</v>
      </c>
      <c r="E13" s="26">
        <f t="shared" si="2"/>
        <v>0.01271393643</v>
      </c>
    </row>
    <row r="14">
      <c r="B14" s="27">
        <f>IFERROR(__xludf.DUMMYFUNCTION("""COMPUTED_VALUE"""),42076.66666666667)</f>
        <v>42076.66667</v>
      </c>
      <c r="C14" s="2">
        <f>IFERROR(__xludf.DUMMYFUNCTION("""COMPUTED_VALUE"""),205.83)</f>
        <v>205.83</v>
      </c>
      <c r="D14" s="26">
        <f t="shared" si="1"/>
        <v>-0.006132303235</v>
      </c>
      <c r="E14" s="26">
        <f t="shared" si="2"/>
        <v>0.006132303235</v>
      </c>
    </row>
    <row r="15">
      <c r="B15" s="27">
        <f>IFERROR(__xludf.DUMMYFUNCTION("""COMPUTED_VALUE"""),42079.66666666667)</f>
        <v>42079.66667</v>
      </c>
      <c r="C15" s="2">
        <f>IFERROR(__xludf.DUMMYFUNCTION("""COMPUTED_VALUE"""),208.58)</f>
        <v>208.58</v>
      </c>
      <c r="D15" s="26">
        <f t="shared" si="1"/>
        <v>0.01336054025</v>
      </c>
      <c r="E15" s="26">
        <f t="shared" si="2"/>
        <v>0.01336054025</v>
      </c>
    </row>
    <row r="16">
      <c r="B16" s="27">
        <f>IFERROR(__xludf.DUMMYFUNCTION("""COMPUTED_VALUE"""),42080.66666666667)</f>
        <v>42080.66667</v>
      </c>
      <c r="C16" s="2">
        <f>IFERROR(__xludf.DUMMYFUNCTION("""COMPUTED_VALUE"""),207.96)</f>
        <v>207.96</v>
      </c>
      <c r="D16" s="26">
        <f t="shared" si="1"/>
        <v>-0.002972480583</v>
      </c>
      <c r="E16" s="26">
        <f t="shared" si="2"/>
        <v>0.002972480583</v>
      </c>
    </row>
    <row r="17">
      <c r="B17" s="27">
        <f>IFERROR(__xludf.DUMMYFUNCTION("""COMPUTED_VALUE"""),42081.66666666667)</f>
        <v>42081.66667</v>
      </c>
      <c r="C17" s="2">
        <f>IFERROR(__xludf.DUMMYFUNCTION("""COMPUTED_VALUE"""),210.46)</f>
        <v>210.46</v>
      </c>
      <c r="D17" s="26">
        <f t="shared" si="1"/>
        <v>0.0120215426</v>
      </c>
      <c r="E17" s="26">
        <f t="shared" si="2"/>
        <v>0.0120215426</v>
      </c>
    </row>
    <row r="18">
      <c r="B18" s="27">
        <f>IFERROR(__xludf.DUMMYFUNCTION("""COMPUTED_VALUE"""),42082.66666666667)</f>
        <v>42082.66667</v>
      </c>
      <c r="C18" s="2">
        <f>IFERROR(__xludf.DUMMYFUNCTION("""COMPUTED_VALUE"""),209.5)</f>
        <v>209.5</v>
      </c>
      <c r="D18" s="26">
        <f t="shared" si="1"/>
        <v>-0.004561436853</v>
      </c>
      <c r="E18" s="26">
        <f t="shared" si="2"/>
        <v>0.004561436853</v>
      </c>
    </row>
    <row r="19">
      <c r="B19" s="27">
        <f>IFERROR(__xludf.DUMMYFUNCTION("""COMPUTED_VALUE"""),42083.66666666667)</f>
        <v>42083.66667</v>
      </c>
      <c r="C19" s="2">
        <f>IFERROR(__xludf.DUMMYFUNCTION("""COMPUTED_VALUE"""),210.41)</f>
        <v>210.41</v>
      </c>
      <c r="D19" s="26">
        <f t="shared" si="1"/>
        <v>0.004343675418</v>
      </c>
      <c r="E19" s="26">
        <f t="shared" si="2"/>
        <v>0.004343675418</v>
      </c>
    </row>
    <row r="20">
      <c r="B20" s="27">
        <f>IFERROR(__xludf.DUMMYFUNCTION("""COMPUTED_VALUE"""),42086.66666666667)</f>
        <v>42086.66667</v>
      </c>
      <c r="C20" s="2">
        <f>IFERROR(__xludf.DUMMYFUNCTION("""COMPUTED_VALUE"""),210.0)</f>
        <v>210</v>
      </c>
      <c r="D20" s="26">
        <f t="shared" si="1"/>
        <v>-0.001948576589</v>
      </c>
      <c r="E20" s="26">
        <f t="shared" si="2"/>
        <v>0.001948576589</v>
      </c>
    </row>
    <row r="21">
      <c r="B21" s="27">
        <f>IFERROR(__xludf.DUMMYFUNCTION("""COMPUTED_VALUE"""),42087.66666666667)</f>
        <v>42087.66667</v>
      </c>
      <c r="C21" s="2">
        <f>IFERROR(__xludf.DUMMYFUNCTION("""COMPUTED_VALUE"""),208.82)</f>
        <v>208.82</v>
      </c>
      <c r="D21" s="26">
        <f t="shared" si="1"/>
        <v>-0.005619047619</v>
      </c>
      <c r="E21" s="26">
        <f t="shared" si="2"/>
        <v>0.005619047619</v>
      </c>
    </row>
    <row r="22">
      <c r="B22" s="27">
        <f>IFERROR(__xludf.DUMMYFUNCTION("""COMPUTED_VALUE"""),42088.66666666667)</f>
        <v>42088.66667</v>
      </c>
      <c r="C22" s="2">
        <f>IFERROR(__xludf.DUMMYFUNCTION("""COMPUTED_VALUE"""),205.76)</f>
        <v>205.76</v>
      </c>
      <c r="D22" s="26">
        <f t="shared" si="1"/>
        <v>-0.0146537688</v>
      </c>
      <c r="E22" s="26">
        <f t="shared" si="2"/>
        <v>0.0146537688</v>
      </c>
    </row>
    <row r="23">
      <c r="B23" s="27">
        <f>IFERROR(__xludf.DUMMYFUNCTION("""COMPUTED_VALUE"""),42089.66666666667)</f>
        <v>42089.66667</v>
      </c>
      <c r="C23" s="2">
        <f>IFERROR(__xludf.DUMMYFUNCTION("""COMPUTED_VALUE"""),205.27)</f>
        <v>205.27</v>
      </c>
      <c r="D23" s="26">
        <f t="shared" si="1"/>
        <v>-0.002381415241</v>
      </c>
      <c r="E23" s="26">
        <f t="shared" si="2"/>
        <v>0.002381415241</v>
      </c>
    </row>
    <row r="24">
      <c r="B24" s="27">
        <f>IFERROR(__xludf.DUMMYFUNCTION("""COMPUTED_VALUE"""),42090.66666666667)</f>
        <v>42090.66667</v>
      </c>
      <c r="C24" s="2">
        <f>IFERROR(__xludf.DUMMYFUNCTION("""COMPUTED_VALUE"""),205.74)</f>
        <v>205.74</v>
      </c>
      <c r="D24" s="26">
        <f t="shared" si="1"/>
        <v>0.002289667268</v>
      </c>
      <c r="E24" s="26">
        <f t="shared" si="2"/>
        <v>0.002289667268</v>
      </c>
    </row>
    <row r="25">
      <c r="B25" s="27">
        <f>IFERROR(__xludf.DUMMYFUNCTION("""COMPUTED_VALUE"""),42093.66666666667)</f>
        <v>42093.66667</v>
      </c>
      <c r="C25" s="2">
        <f>IFERROR(__xludf.DUMMYFUNCTION("""COMPUTED_VALUE"""),208.25)</f>
        <v>208.25</v>
      </c>
      <c r="D25" s="26">
        <f t="shared" si="1"/>
        <v>0.01219986391</v>
      </c>
      <c r="E25" s="26">
        <f t="shared" si="2"/>
        <v>0.01219986391</v>
      </c>
    </row>
    <row r="26">
      <c r="B26" s="27">
        <f>IFERROR(__xludf.DUMMYFUNCTION("""COMPUTED_VALUE"""),42094.66666666667)</f>
        <v>42094.66667</v>
      </c>
      <c r="C26" s="2">
        <f>IFERROR(__xludf.DUMMYFUNCTION("""COMPUTED_VALUE"""),206.43)</f>
        <v>206.43</v>
      </c>
      <c r="D26" s="26">
        <f t="shared" si="1"/>
        <v>-0.008739495798</v>
      </c>
      <c r="E26" s="26">
        <f t="shared" si="2"/>
        <v>0.008739495798</v>
      </c>
    </row>
    <row r="27">
      <c r="B27" s="27">
        <f>IFERROR(__xludf.DUMMYFUNCTION("""COMPUTED_VALUE"""),42095.66666666667)</f>
        <v>42095.66667</v>
      </c>
      <c r="C27" s="2">
        <f>IFERROR(__xludf.DUMMYFUNCTION("""COMPUTED_VALUE"""),205.7)</f>
        <v>205.7</v>
      </c>
      <c r="D27" s="26">
        <f t="shared" si="1"/>
        <v>-0.003536307707</v>
      </c>
      <c r="E27" s="26">
        <f t="shared" si="2"/>
        <v>0.003536307707</v>
      </c>
    </row>
    <row r="28">
      <c r="B28" s="27">
        <f>IFERROR(__xludf.DUMMYFUNCTION("""COMPUTED_VALUE"""),42096.66666666667)</f>
        <v>42096.66667</v>
      </c>
      <c r="C28" s="2">
        <f>IFERROR(__xludf.DUMMYFUNCTION("""COMPUTED_VALUE"""),206.44)</f>
        <v>206.44</v>
      </c>
      <c r="D28" s="26">
        <f t="shared" si="1"/>
        <v>0.003597472047</v>
      </c>
      <c r="E28" s="26">
        <f t="shared" si="2"/>
        <v>0.003597472047</v>
      </c>
    </row>
    <row r="29">
      <c r="B29" s="27">
        <f>IFERROR(__xludf.DUMMYFUNCTION("""COMPUTED_VALUE"""),42100.66666666667)</f>
        <v>42100.66667</v>
      </c>
      <c r="C29" s="2">
        <f>IFERROR(__xludf.DUMMYFUNCTION("""COMPUTED_VALUE"""),207.83)</f>
        <v>207.83</v>
      </c>
      <c r="D29" s="26">
        <f t="shared" si="1"/>
        <v>0.006733191242</v>
      </c>
      <c r="E29" s="26">
        <f t="shared" si="2"/>
        <v>0.006733191242</v>
      </c>
    </row>
    <row r="30">
      <c r="B30" s="27">
        <f>IFERROR(__xludf.DUMMYFUNCTION("""COMPUTED_VALUE"""),42101.66666666667)</f>
        <v>42101.66667</v>
      </c>
      <c r="C30" s="2">
        <f>IFERROR(__xludf.DUMMYFUNCTION("""COMPUTED_VALUE"""),207.28)</f>
        <v>207.28</v>
      </c>
      <c r="D30" s="26">
        <f t="shared" si="1"/>
        <v>-0.002646393687</v>
      </c>
      <c r="E30" s="26">
        <f t="shared" si="2"/>
        <v>0.002646393687</v>
      </c>
    </row>
    <row r="31">
      <c r="B31" s="27">
        <f>IFERROR(__xludf.DUMMYFUNCTION("""COMPUTED_VALUE"""),42102.66666666667)</f>
        <v>42102.66667</v>
      </c>
      <c r="C31" s="2">
        <f>IFERROR(__xludf.DUMMYFUNCTION("""COMPUTED_VALUE"""),207.98)</f>
        <v>207.98</v>
      </c>
      <c r="D31" s="26">
        <f t="shared" si="1"/>
        <v>0.003377074489</v>
      </c>
      <c r="E31" s="26">
        <f t="shared" si="2"/>
        <v>0.003377074489</v>
      </c>
    </row>
    <row r="32">
      <c r="B32" s="27">
        <f>IFERROR(__xludf.DUMMYFUNCTION("""COMPUTED_VALUE"""),42103.66666666667)</f>
        <v>42103.66667</v>
      </c>
      <c r="C32" s="2">
        <f>IFERROR(__xludf.DUMMYFUNCTION("""COMPUTED_VALUE"""),208.9)</f>
        <v>208.9</v>
      </c>
      <c r="D32" s="26">
        <f t="shared" si="1"/>
        <v>0.00442350226</v>
      </c>
      <c r="E32" s="26">
        <f t="shared" si="2"/>
        <v>0.00442350226</v>
      </c>
    </row>
    <row r="33">
      <c r="B33" s="27">
        <f>IFERROR(__xludf.DUMMYFUNCTION("""COMPUTED_VALUE"""),42104.66666666667)</f>
        <v>42104.66667</v>
      </c>
      <c r="C33" s="2">
        <f>IFERROR(__xludf.DUMMYFUNCTION("""COMPUTED_VALUE"""),210.04)</f>
        <v>210.04</v>
      </c>
      <c r="D33" s="26">
        <f t="shared" si="1"/>
        <v>0.005457156534</v>
      </c>
      <c r="E33" s="26">
        <f t="shared" si="2"/>
        <v>0.005457156534</v>
      </c>
    </row>
    <row r="34">
      <c r="B34" s="27">
        <f>IFERROR(__xludf.DUMMYFUNCTION("""COMPUTED_VALUE"""),42107.66666666667)</f>
        <v>42107.66667</v>
      </c>
      <c r="C34" s="2">
        <f>IFERROR(__xludf.DUMMYFUNCTION("""COMPUTED_VALUE"""),209.09)</f>
        <v>209.09</v>
      </c>
      <c r="D34" s="26">
        <f t="shared" si="1"/>
        <v>-0.00452294801</v>
      </c>
      <c r="E34" s="26">
        <f t="shared" si="2"/>
        <v>0.00452294801</v>
      </c>
    </row>
    <row r="35">
      <c r="B35" s="27">
        <f>IFERROR(__xludf.DUMMYFUNCTION("""COMPUTED_VALUE"""),42108.66666666667)</f>
        <v>42108.66667</v>
      </c>
      <c r="C35" s="2">
        <f>IFERROR(__xludf.DUMMYFUNCTION("""COMPUTED_VALUE"""),209.49)</f>
        <v>209.49</v>
      </c>
      <c r="D35" s="26">
        <f t="shared" si="1"/>
        <v>0.001913051796</v>
      </c>
      <c r="E35" s="26">
        <f t="shared" si="2"/>
        <v>0.001913051796</v>
      </c>
    </row>
    <row r="36">
      <c r="B36" s="27">
        <f>IFERROR(__xludf.DUMMYFUNCTION("""COMPUTED_VALUE"""),42109.66666666667)</f>
        <v>42109.66667</v>
      </c>
      <c r="C36" s="2">
        <f>IFERROR(__xludf.DUMMYFUNCTION("""COMPUTED_VALUE"""),210.43)</f>
        <v>210.43</v>
      </c>
      <c r="D36" s="26">
        <f t="shared" si="1"/>
        <v>0.004487087689</v>
      </c>
      <c r="E36" s="26">
        <f t="shared" si="2"/>
        <v>0.004487087689</v>
      </c>
    </row>
    <row r="37">
      <c r="B37" s="27">
        <f>IFERROR(__xludf.DUMMYFUNCTION("""COMPUTED_VALUE"""),42110.66666666667)</f>
        <v>42110.66667</v>
      </c>
      <c r="C37" s="2">
        <f>IFERROR(__xludf.DUMMYFUNCTION("""COMPUTED_VALUE"""),210.37)</f>
        <v>210.37</v>
      </c>
      <c r="D37" s="26">
        <f t="shared" si="1"/>
        <v>-0.0002851304472</v>
      </c>
      <c r="E37" s="26">
        <f t="shared" si="2"/>
        <v>0.0002851304472</v>
      </c>
    </row>
    <row r="38">
      <c r="B38" s="27">
        <f>IFERROR(__xludf.DUMMYFUNCTION("""COMPUTED_VALUE"""),42111.66666666667)</f>
        <v>42111.66667</v>
      </c>
      <c r="C38" s="2">
        <f>IFERROR(__xludf.DUMMYFUNCTION("""COMPUTED_VALUE"""),207.95)</f>
        <v>207.95</v>
      </c>
      <c r="D38" s="26">
        <f t="shared" si="1"/>
        <v>-0.01150354138</v>
      </c>
      <c r="E38" s="26">
        <f t="shared" si="2"/>
        <v>0.01150354138</v>
      </c>
    </row>
    <row r="39">
      <c r="B39" s="27">
        <f>IFERROR(__xludf.DUMMYFUNCTION("""COMPUTED_VALUE"""),42114.66666666667)</f>
        <v>42114.66667</v>
      </c>
      <c r="C39" s="2">
        <f>IFERROR(__xludf.DUMMYFUNCTION("""COMPUTED_VALUE"""),209.85)</f>
        <v>209.85</v>
      </c>
      <c r="D39" s="26">
        <f t="shared" si="1"/>
        <v>0.009136811734</v>
      </c>
      <c r="E39" s="26">
        <f t="shared" si="2"/>
        <v>0.009136811734</v>
      </c>
    </row>
    <row r="40">
      <c r="B40" s="27">
        <f>IFERROR(__xludf.DUMMYFUNCTION("""COMPUTED_VALUE"""),42115.66666666667)</f>
        <v>42115.66667</v>
      </c>
      <c r="C40" s="2">
        <f>IFERROR(__xludf.DUMMYFUNCTION("""COMPUTED_VALUE"""),209.6)</f>
        <v>209.6</v>
      </c>
      <c r="D40" s="26">
        <f t="shared" si="1"/>
        <v>-0.001191327138</v>
      </c>
      <c r="E40" s="26">
        <f t="shared" si="2"/>
        <v>0.001191327138</v>
      </c>
    </row>
    <row r="41">
      <c r="B41" s="27">
        <f>IFERROR(__xludf.DUMMYFUNCTION("""COMPUTED_VALUE"""),42116.66666666667)</f>
        <v>42116.66667</v>
      </c>
      <c r="C41" s="2">
        <f>IFERROR(__xludf.DUMMYFUNCTION("""COMPUTED_VALUE"""),210.63)</f>
        <v>210.63</v>
      </c>
      <c r="D41" s="26">
        <f t="shared" si="1"/>
        <v>0.004914122137</v>
      </c>
      <c r="E41" s="26">
        <f t="shared" si="2"/>
        <v>0.004914122137</v>
      </c>
    </row>
    <row r="42">
      <c r="B42" s="27">
        <f>IFERROR(__xludf.DUMMYFUNCTION("""COMPUTED_VALUE"""),42117.66666666667)</f>
        <v>42117.66667</v>
      </c>
      <c r="C42" s="2">
        <f>IFERROR(__xludf.DUMMYFUNCTION("""COMPUTED_VALUE"""),211.16)</f>
        <v>211.16</v>
      </c>
      <c r="D42" s="26">
        <f t="shared" si="1"/>
        <v>0.002516260742</v>
      </c>
      <c r="E42" s="26">
        <f t="shared" si="2"/>
        <v>0.002516260742</v>
      </c>
    </row>
    <row r="43">
      <c r="B43" s="27">
        <f>IFERROR(__xludf.DUMMYFUNCTION("""COMPUTED_VALUE"""),42118.66666666667)</f>
        <v>42118.66667</v>
      </c>
      <c r="C43" s="2">
        <f>IFERROR(__xludf.DUMMYFUNCTION("""COMPUTED_VALUE"""),211.65)</f>
        <v>211.65</v>
      </c>
      <c r="D43" s="26">
        <f t="shared" si="1"/>
        <v>0.002320515249</v>
      </c>
      <c r="E43" s="26">
        <f t="shared" si="2"/>
        <v>0.002320515249</v>
      </c>
    </row>
    <row r="44">
      <c r="B44" s="27">
        <f>IFERROR(__xludf.DUMMYFUNCTION("""COMPUTED_VALUE"""),42121.66666666667)</f>
        <v>42121.66667</v>
      </c>
      <c r="C44" s="2">
        <f>IFERROR(__xludf.DUMMYFUNCTION("""COMPUTED_VALUE"""),210.77)</f>
        <v>210.77</v>
      </c>
      <c r="D44" s="26">
        <f t="shared" si="1"/>
        <v>-0.004157807701</v>
      </c>
      <c r="E44" s="26">
        <f t="shared" si="2"/>
        <v>0.004157807701</v>
      </c>
    </row>
    <row r="45">
      <c r="B45" s="27">
        <f>IFERROR(__xludf.DUMMYFUNCTION("""COMPUTED_VALUE"""),42122.66666666667)</f>
        <v>42122.66667</v>
      </c>
      <c r="C45" s="2">
        <f>IFERROR(__xludf.DUMMYFUNCTION("""COMPUTED_VALUE"""),211.44)</f>
        <v>211.44</v>
      </c>
      <c r="D45" s="26">
        <f t="shared" si="1"/>
        <v>0.003178820515</v>
      </c>
      <c r="E45" s="26">
        <f t="shared" si="2"/>
        <v>0.003178820515</v>
      </c>
    </row>
    <row r="46">
      <c r="B46" s="27">
        <f>IFERROR(__xludf.DUMMYFUNCTION("""COMPUTED_VALUE"""),42123.66666666667)</f>
        <v>42123.66667</v>
      </c>
      <c r="C46" s="2">
        <f>IFERROR(__xludf.DUMMYFUNCTION("""COMPUTED_VALUE"""),210.57)</f>
        <v>210.57</v>
      </c>
      <c r="D46" s="26">
        <f t="shared" si="1"/>
        <v>-0.004114642452</v>
      </c>
      <c r="E46" s="26">
        <f t="shared" si="2"/>
        <v>0.004114642452</v>
      </c>
    </row>
    <row r="47">
      <c r="B47" s="27">
        <f>IFERROR(__xludf.DUMMYFUNCTION("""COMPUTED_VALUE"""),42124.66666666667)</f>
        <v>42124.66667</v>
      </c>
      <c r="C47" s="2">
        <f>IFERROR(__xludf.DUMMYFUNCTION("""COMPUTED_VALUE"""),208.46)</f>
        <v>208.46</v>
      </c>
      <c r="D47" s="26">
        <f t="shared" si="1"/>
        <v>-0.01002042076</v>
      </c>
      <c r="E47" s="26">
        <f t="shared" si="2"/>
        <v>0.01002042076</v>
      </c>
    </row>
    <row r="48">
      <c r="B48" s="27">
        <f>IFERROR(__xludf.DUMMYFUNCTION("""COMPUTED_VALUE"""),42125.66666666667)</f>
        <v>42125.66667</v>
      </c>
      <c r="C48" s="2">
        <f>IFERROR(__xludf.DUMMYFUNCTION("""COMPUTED_VALUE"""),210.72)</f>
        <v>210.72</v>
      </c>
      <c r="D48" s="26">
        <f t="shared" si="1"/>
        <v>0.01084140842</v>
      </c>
      <c r="E48" s="26">
        <f t="shared" si="2"/>
        <v>0.01084140842</v>
      </c>
    </row>
    <row r="49">
      <c r="B49" s="27">
        <f>IFERROR(__xludf.DUMMYFUNCTION("""COMPUTED_VALUE"""),42128.66666666667)</f>
        <v>42128.66667</v>
      </c>
      <c r="C49" s="2">
        <f>IFERROR(__xludf.DUMMYFUNCTION("""COMPUTED_VALUE"""),211.32)</f>
        <v>211.32</v>
      </c>
      <c r="D49" s="26">
        <f t="shared" si="1"/>
        <v>0.00284738041</v>
      </c>
      <c r="E49" s="26">
        <f t="shared" si="2"/>
        <v>0.00284738041</v>
      </c>
    </row>
    <row r="50">
      <c r="B50" s="27">
        <f>IFERROR(__xludf.DUMMYFUNCTION("""COMPUTED_VALUE"""),42129.66666666667)</f>
        <v>42129.66667</v>
      </c>
      <c r="C50" s="2">
        <f>IFERROR(__xludf.DUMMYFUNCTION("""COMPUTED_VALUE"""),208.9)</f>
        <v>208.9</v>
      </c>
      <c r="D50" s="26">
        <f t="shared" si="1"/>
        <v>-0.01145182661</v>
      </c>
      <c r="E50" s="26">
        <f t="shared" si="2"/>
        <v>0.01145182661</v>
      </c>
    </row>
    <row r="51">
      <c r="B51" s="27">
        <f>IFERROR(__xludf.DUMMYFUNCTION("""COMPUTED_VALUE"""),42130.66666666667)</f>
        <v>42130.66667</v>
      </c>
      <c r="C51" s="2">
        <f>IFERROR(__xludf.DUMMYFUNCTION("""COMPUTED_VALUE"""),208.04)</f>
        <v>208.04</v>
      </c>
      <c r="D51" s="26">
        <f t="shared" si="1"/>
        <v>-0.004116802298</v>
      </c>
      <c r="E51" s="26">
        <f t="shared" si="2"/>
        <v>0.004116802298</v>
      </c>
    </row>
    <row r="52">
      <c r="B52" s="27">
        <f>IFERROR(__xludf.DUMMYFUNCTION("""COMPUTED_VALUE"""),42131.66666666667)</f>
        <v>42131.66667</v>
      </c>
      <c r="C52" s="2">
        <f>IFERROR(__xludf.DUMMYFUNCTION("""COMPUTED_VALUE"""),208.87)</f>
        <v>208.87</v>
      </c>
      <c r="D52" s="26">
        <f t="shared" si="1"/>
        <v>0.003989617381</v>
      </c>
      <c r="E52" s="26">
        <f t="shared" si="2"/>
        <v>0.003989617381</v>
      </c>
    </row>
    <row r="53">
      <c r="B53" s="27">
        <f>IFERROR(__xludf.DUMMYFUNCTION("""COMPUTED_VALUE"""),42132.66666666667)</f>
        <v>42132.66667</v>
      </c>
      <c r="C53" s="2">
        <f>IFERROR(__xludf.DUMMYFUNCTION("""COMPUTED_VALUE"""),211.62)</f>
        <v>211.62</v>
      </c>
      <c r="D53" s="26">
        <f t="shared" si="1"/>
        <v>0.01316608417</v>
      </c>
      <c r="E53" s="26">
        <f t="shared" si="2"/>
        <v>0.01316608417</v>
      </c>
    </row>
    <row r="54">
      <c r="B54" s="27">
        <f>IFERROR(__xludf.DUMMYFUNCTION("""COMPUTED_VALUE"""),42135.66666666667)</f>
        <v>42135.66667</v>
      </c>
      <c r="C54" s="2">
        <f>IFERROR(__xludf.DUMMYFUNCTION("""COMPUTED_VALUE"""),210.61)</f>
        <v>210.61</v>
      </c>
      <c r="D54" s="26">
        <f t="shared" si="1"/>
        <v>-0.004772705793</v>
      </c>
      <c r="E54" s="26">
        <f t="shared" si="2"/>
        <v>0.004772705793</v>
      </c>
    </row>
    <row r="55">
      <c r="B55" s="27">
        <f>IFERROR(__xludf.DUMMYFUNCTION("""COMPUTED_VALUE"""),42136.66666666667)</f>
        <v>42136.66667</v>
      </c>
      <c r="C55" s="2">
        <f>IFERROR(__xludf.DUMMYFUNCTION("""COMPUTED_VALUE"""),209.98)</f>
        <v>209.98</v>
      </c>
      <c r="D55" s="26">
        <f t="shared" si="1"/>
        <v>-0.002991310954</v>
      </c>
      <c r="E55" s="26">
        <f t="shared" si="2"/>
        <v>0.002991310954</v>
      </c>
    </row>
    <row r="56">
      <c r="B56" s="27">
        <f>IFERROR(__xludf.DUMMYFUNCTION("""COMPUTED_VALUE"""),42137.66666666667)</f>
        <v>42137.66667</v>
      </c>
      <c r="C56" s="2">
        <f>IFERROR(__xludf.DUMMYFUNCTION("""COMPUTED_VALUE"""),210.02)</f>
        <v>210.02</v>
      </c>
      <c r="D56" s="26">
        <f t="shared" si="1"/>
        <v>0.0001904943328</v>
      </c>
      <c r="E56" s="26">
        <f t="shared" si="2"/>
        <v>0.0001904943328</v>
      </c>
    </row>
    <row r="57">
      <c r="B57" s="27">
        <f>IFERROR(__xludf.DUMMYFUNCTION("""COMPUTED_VALUE"""),42138.66666666667)</f>
        <v>42138.66667</v>
      </c>
      <c r="C57" s="2">
        <f>IFERROR(__xludf.DUMMYFUNCTION("""COMPUTED_VALUE"""),212.21)</f>
        <v>212.21</v>
      </c>
      <c r="D57" s="26">
        <f t="shared" si="1"/>
        <v>0.01042757833</v>
      </c>
      <c r="E57" s="26">
        <f t="shared" si="2"/>
        <v>0.01042757833</v>
      </c>
    </row>
    <row r="58">
      <c r="B58" s="27">
        <f>IFERROR(__xludf.DUMMYFUNCTION("""COMPUTED_VALUE"""),42139.66666666667)</f>
        <v>42139.66667</v>
      </c>
      <c r="C58" s="2">
        <f>IFERROR(__xludf.DUMMYFUNCTION("""COMPUTED_VALUE"""),212.44)</f>
        <v>212.44</v>
      </c>
      <c r="D58" s="26">
        <f t="shared" si="1"/>
        <v>0.001083832053</v>
      </c>
      <c r="E58" s="26">
        <f t="shared" si="2"/>
        <v>0.001083832053</v>
      </c>
    </row>
    <row r="59">
      <c r="B59" s="27">
        <f>IFERROR(__xludf.DUMMYFUNCTION("""COMPUTED_VALUE"""),42142.66666666667)</f>
        <v>42142.66667</v>
      </c>
      <c r="C59" s="2">
        <f>IFERROR(__xludf.DUMMYFUNCTION("""COMPUTED_VALUE"""),213.1)</f>
        <v>213.1</v>
      </c>
      <c r="D59" s="26">
        <f t="shared" si="1"/>
        <v>0.003106759556</v>
      </c>
      <c r="E59" s="26">
        <f t="shared" si="2"/>
        <v>0.003106759556</v>
      </c>
    </row>
    <row r="60">
      <c r="B60" s="27">
        <f>IFERROR(__xludf.DUMMYFUNCTION("""COMPUTED_VALUE"""),42143.66666666667)</f>
        <v>42143.66667</v>
      </c>
      <c r="C60" s="2">
        <f>IFERROR(__xludf.DUMMYFUNCTION("""COMPUTED_VALUE"""),213.03)</f>
        <v>213.03</v>
      </c>
      <c r="D60" s="26">
        <f t="shared" si="1"/>
        <v>-0.0003284842797</v>
      </c>
      <c r="E60" s="26">
        <f t="shared" si="2"/>
        <v>0.0003284842797</v>
      </c>
    </row>
    <row r="61">
      <c r="B61" s="27">
        <f>IFERROR(__xludf.DUMMYFUNCTION("""COMPUTED_VALUE"""),42144.66666666667)</f>
        <v>42144.66667</v>
      </c>
      <c r="C61" s="2">
        <f>IFERROR(__xludf.DUMMYFUNCTION("""COMPUTED_VALUE"""),212.88)</f>
        <v>212.88</v>
      </c>
      <c r="D61" s="26">
        <f t="shared" si="1"/>
        <v>-0.0007041261794</v>
      </c>
      <c r="E61" s="26">
        <f t="shared" si="2"/>
        <v>0.0007041261794</v>
      </c>
    </row>
    <row r="62">
      <c r="B62" s="27">
        <f>IFERROR(__xludf.DUMMYFUNCTION("""COMPUTED_VALUE"""),42145.66666666667)</f>
        <v>42145.66667</v>
      </c>
      <c r="C62" s="2">
        <f>IFERROR(__xludf.DUMMYFUNCTION("""COMPUTED_VALUE"""),213.5)</f>
        <v>213.5</v>
      </c>
      <c r="D62" s="26">
        <f t="shared" si="1"/>
        <v>0.002912438933</v>
      </c>
      <c r="E62" s="26">
        <f t="shared" si="2"/>
        <v>0.002912438933</v>
      </c>
    </row>
    <row r="63">
      <c r="B63" s="27">
        <f>IFERROR(__xludf.DUMMYFUNCTION("""COMPUTED_VALUE"""),42146.66666666667)</f>
        <v>42146.66667</v>
      </c>
      <c r="C63" s="2">
        <f>IFERROR(__xludf.DUMMYFUNCTION("""COMPUTED_VALUE"""),212.99)</f>
        <v>212.99</v>
      </c>
      <c r="D63" s="26">
        <f t="shared" si="1"/>
        <v>-0.002388758782</v>
      </c>
      <c r="E63" s="26">
        <f t="shared" si="2"/>
        <v>0.002388758782</v>
      </c>
    </row>
    <row r="64">
      <c r="B64" s="27">
        <f>IFERROR(__xludf.DUMMYFUNCTION("""COMPUTED_VALUE"""),42150.66666666667)</f>
        <v>42150.66667</v>
      </c>
      <c r="C64" s="2">
        <f>IFERROR(__xludf.DUMMYFUNCTION("""COMPUTED_VALUE"""),210.7)</f>
        <v>210.7</v>
      </c>
      <c r="D64" s="26">
        <f t="shared" si="1"/>
        <v>-0.01075167848</v>
      </c>
      <c r="E64" s="26">
        <f t="shared" si="2"/>
        <v>0.01075167848</v>
      </c>
    </row>
    <row r="65">
      <c r="B65" s="27">
        <f>IFERROR(__xludf.DUMMYFUNCTION("""COMPUTED_VALUE"""),42151.66666666667)</f>
        <v>42151.66667</v>
      </c>
      <c r="C65" s="2">
        <f>IFERROR(__xludf.DUMMYFUNCTION("""COMPUTED_VALUE"""),212.7)</f>
        <v>212.7</v>
      </c>
      <c r="D65" s="26">
        <f t="shared" si="1"/>
        <v>0.009492168961</v>
      </c>
      <c r="E65" s="26">
        <f t="shared" si="2"/>
        <v>0.009492168961</v>
      </c>
    </row>
    <row r="66">
      <c r="B66" s="27">
        <f>IFERROR(__xludf.DUMMYFUNCTION("""COMPUTED_VALUE"""),42152.66666666667)</f>
        <v>42152.66667</v>
      </c>
      <c r="C66" s="2">
        <f>IFERROR(__xludf.DUMMYFUNCTION("""COMPUTED_VALUE"""),212.46)</f>
        <v>212.46</v>
      </c>
      <c r="D66" s="26">
        <f t="shared" si="1"/>
        <v>-0.001128349788</v>
      </c>
      <c r="E66" s="26">
        <f t="shared" si="2"/>
        <v>0.001128349788</v>
      </c>
    </row>
    <row r="67">
      <c r="B67" s="27">
        <f>IFERROR(__xludf.DUMMYFUNCTION("""COMPUTED_VALUE"""),42153.66666666667)</f>
        <v>42153.66667</v>
      </c>
      <c r="C67" s="2">
        <f>IFERROR(__xludf.DUMMYFUNCTION("""COMPUTED_VALUE"""),211.14)</f>
        <v>211.14</v>
      </c>
      <c r="D67" s="26">
        <f t="shared" si="1"/>
        <v>-0.006212934199</v>
      </c>
      <c r="E67" s="26">
        <f t="shared" si="2"/>
        <v>0.006212934199</v>
      </c>
    </row>
    <row r="68">
      <c r="B68" s="27">
        <f>IFERROR(__xludf.DUMMYFUNCTION("""COMPUTED_VALUE"""),42156.66666666667)</f>
        <v>42156.66667</v>
      </c>
      <c r="C68" s="2">
        <f>IFERROR(__xludf.DUMMYFUNCTION("""COMPUTED_VALUE"""),211.57)</f>
        <v>211.57</v>
      </c>
      <c r="D68" s="26">
        <f t="shared" si="1"/>
        <v>0.002036563418</v>
      </c>
      <c r="E68" s="26">
        <f t="shared" si="2"/>
        <v>0.002036563418</v>
      </c>
    </row>
    <row r="69">
      <c r="B69" s="27">
        <f>IFERROR(__xludf.DUMMYFUNCTION("""COMPUTED_VALUE"""),42157.66666666667)</f>
        <v>42157.66667</v>
      </c>
      <c r="C69" s="2">
        <f>IFERROR(__xludf.DUMMYFUNCTION("""COMPUTED_VALUE"""),211.36)</f>
        <v>211.36</v>
      </c>
      <c r="D69" s="26">
        <f t="shared" si="1"/>
        <v>-0.0009925792882</v>
      </c>
      <c r="E69" s="26">
        <f t="shared" si="2"/>
        <v>0.0009925792882</v>
      </c>
    </row>
    <row r="70">
      <c r="B70" s="27">
        <f>IFERROR(__xludf.DUMMYFUNCTION("""COMPUTED_VALUE"""),42158.66666666667)</f>
        <v>42158.66667</v>
      </c>
      <c r="C70" s="2">
        <f>IFERROR(__xludf.DUMMYFUNCTION("""COMPUTED_VALUE"""),211.92)</f>
        <v>211.92</v>
      </c>
      <c r="D70" s="26">
        <f t="shared" si="1"/>
        <v>0.002649507949</v>
      </c>
      <c r="E70" s="26">
        <f t="shared" si="2"/>
        <v>0.002649507949</v>
      </c>
    </row>
    <row r="71">
      <c r="B71" s="27">
        <f>IFERROR(__xludf.DUMMYFUNCTION("""COMPUTED_VALUE"""),42159.66666666667)</f>
        <v>42159.66667</v>
      </c>
      <c r="C71" s="2">
        <f>IFERROR(__xludf.DUMMYFUNCTION("""COMPUTED_VALUE"""),210.13)</f>
        <v>210.13</v>
      </c>
      <c r="D71" s="26">
        <f t="shared" si="1"/>
        <v>-0.008446583616</v>
      </c>
      <c r="E71" s="26">
        <f t="shared" si="2"/>
        <v>0.008446583616</v>
      </c>
    </row>
    <row r="72">
      <c r="B72" s="27">
        <f>IFERROR(__xludf.DUMMYFUNCTION("""COMPUTED_VALUE"""),42160.66666666667)</f>
        <v>42160.66667</v>
      </c>
      <c r="C72" s="2">
        <f>IFERROR(__xludf.DUMMYFUNCTION("""COMPUTED_VALUE"""),209.77)</f>
        <v>209.77</v>
      </c>
      <c r="D72" s="26">
        <f t="shared" si="1"/>
        <v>-0.001713225146</v>
      </c>
      <c r="E72" s="26">
        <f t="shared" si="2"/>
        <v>0.001713225146</v>
      </c>
    </row>
    <row r="73">
      <c r="B73" s="27">
        <f>IFERROR(__xludf.DUMMYFUNCTION("""COMPUTED_VALUE"""),42163.66666666667)</f>
        <v>42163.66667</v>
      </c>
      <c r="C73" s="2">
        <f>IFERROR(__xludf.DUMMYFUNCTION("""COMPUTED_VALUE"""),208.48)</f>
        <v>208.48</v>
      </c>
      <c r="D73" s="26">
        <f t="shared" si="1"/>
        <v>-0.006149592411</v>
      </c>
      <c r="E73" s="26">
        <f t="shared" si="2"/>
        <v>0.006149592411</v>
      </c>
    </row>
    <row r="74">
      <c r="B74" s="27">
        <f>IFERROR(__xludf.DUMMYFUNCTION("""COMPUTED_VALUE"""),42164.66666666667)</f>
        <v>42164.66667</v>
      </c>
      <c r="C74" s="2">
        <f>IFERROR(__xludf.DUMMYFUNCTION("""COMPUTED_VALUE"""),208.45)</f>
        <v>208.45</v>
      </c>
      <c r="D74" s="26">
        <f t="shared" si="1"/>
        <v>-0.0001438986953</v>
      </c>
      <c r="E74" s="26">
        <f t="shared" si="2"/>
        <v>0.0001438986953</v>
      </c>
    </row>
    <row r="75">
      <c r="B75" s="27">
        <f>IFERROR(__xludf.DUMMYFUNCTION("""COMPUTED_VALUE"""),42165.66666666667)</f>
        <v>42165.66667</v>
      </c>
      <c r="C75" s="2">
        <f>IFERROR(__xludf.DUMMYFUNCTION("""COMPUTED_VALUE"""),210.95)</f>
        <v>210.95</v>
      </c>
      <c r="D75" s="26">
        <f t="shared" si="1"/>
        <v>0.01199328376</v>
      </c>
      <c r="E75" s="26">
        <f t="shared" si="2"/>
        <v>0.01199328376</v>
      </c>
    </row>
    <row r="76">
      <c r="B76" s="27">
        <f>IFERROR(__xludf.DUMMYFUNCTION("""COMPUTED_VALUE"""),42166.66666666667)</f>
        <v>42166.66667</v>
      </c>
      <c r="C76" s="2">
        <f>IFERROR(__xludf.DUMMYFUNCTION("""COMPUTED_VALUE"""),211.63)</f>
        <v>211.63</v>
      </c>
      <c r="D76" s="26">
        <f t="shared" si="1"/>
        <v>0.003223512681</v>
      </c>
      <c r="E76" s="26">
        <f t="shared" si="2"/>
        <v>0.003223512681</v>
      </c>
    </row>
    <row r="77">
      <c r="B77" s="27">
        <f>IFERROR(__xludf.DUMMYFUNCTION("""COMPUTED_VALUE"""),42167.66666666667)</f>
        <v>42167.66667</v>
      </c>
      <c r="C77" s="2">
        <f>IFERROR(__xludf.DUMMYFUNCTION("""COMPUTED_VALUE"""),210.01)</f>
        <v>210.01</v>
      </c>
      <c r="D77" s="26">
        <f t="shared" si="1"/>
        <v>-0.007654869347</v>
      </c>
      <c r="E77" s="26">
        <f t="shared" si="2"/>
        <v>0.007654869347</v>
      </c>
    </row>
    <row r="78">
      <c r="B78" s="27">
        <f>IFERROR(__xludf.DUMMYFUNCTION("""COMPUTED_VALUE"""),42170.66666666667)</f>
        <v>42170.66667</v>
      </c>
      <c r="C78" s="2">
        <f>IFERROR(__xludf.DUMMYFUNCTION("""COMPUTED_VALUE"""),209.11)</f>
        <v>209.11</v>
      </c>
      <c r="D78" s="26">
        <f t="shared" si="1"/>
        <v>-0.004285510214</v>
      </c>
      <c r="E78" s="26">
        <f t="shared" si="2"/>
        <v>0.004285510214</v>
      </c>
    </row>
    <row r="79">
      <c r="B79" s="27">
        <f>IFERROR(__xludf.DUMMYFUNCTION("""COMPUTED_VALUE"""),42171.66666666667)</f>
        <v>42171.66667</v>
      </c>
      <c r="C79" s="2">
        <f>IFERROR(__xludf.DUMMYFUNCTION("""COMPUTED_VALUE"""),210.25)</f>
        <v>210.25</v>
      </c>
      <c r="D79" s="26">
        <f t="shared" si="1"/>
        <v>0.005451676151</v>
      </c>
      <c r="E79" s="26">
        <f t="shared" si="2"/>
        <v>0.005451676151</v>
      </c>
    </row>
    <row r="80">
      <c r="B80" s="27">
        <f>IFERROR(__xludf.DUMMYFUNCTION("""COMPUTED_VALUE"""),42172.66666666667)</f>
        <v>42172.66667</v>
      </c>
      <c r="C80" s="2">
        <f>IFERROR(__xludf.DUMMYFUNCTION("""COMPUTED_VALUE"""),210.59)</f>
        <v>210.59</v>
      </c>
      <c r="D80" s="26">
        <f t="shared" si="1"/>
        <v>0.001617122473</v>
      </c>
      <c r="E80" s="26">
        <f t="shared" si="2"/>
        <v>0.001617122473</v>
      </c>
    </row>
    <row r="81">
      <c r="B81" s="27">
        <f>IFERROR(__xludf.DUMMYFUNCTION("""COMPUTED_VALUE"""),42173.66666666667)</f>
        <v>42173.66667</v>
      </c>
      <c r="C81" s="2">
        <f>IFERROR(__xludf.DUMMYFUNCTION("""COMPUTED_VALUE"""),212.78)</f>
        <v>212.78</v>
      </c>
      <c r="D81" s="26">
        <f t="shared" si="1"/>
        <v>0.0103993542</v>
      </c>
      <c r="E81" s="26">
        <f t="shared" si="2"/>
        <v>0.0103993542</v>
      </c>
    </row>
    <row r="82">
      <c r="B82" s="27">
        <f>IFERROR(__xludf.DUMMYFUNCTION("""COMPUTED_VALUE"""),42174.66666666667)</f>
        <v>42174.66667</v>
      </c>
      <c r="C82" s="2">
        <f>IFERROR(__xludf.DUMMYFUNCTION("""COMPUTED_VALUE"""),210.81)</f>
        <v>210.81</v>
      </c>
      <c r="D82" s="26">
        <f t="shared" si="1"/>
        <v>-0.009258388946</v>
      </c>
      <c r="E82" s="26">
        <f t="shared" si="2"/>
        <v>0.009258388946</v>
      </c>
    </row>
    <row r="83">
      <c r="B83" s="27">
        <f>IFERROR(__xludf.DUMMYFUNCTION("""COMPUTED_VALUE"""),42177.66666666667)</f>
        <v>42177.66667</v>
      </c>
      <c r="C83" s="2">
        <f>IFERROR(__xludf.DUMMYFUNCTION("""COMPUTED_VALUE"""),211.89)</f>
        <v>211.89</v>
      </c>
      <c r="D83" s="26">
        <f t="shared" si="1"/>
        <v>0.005123096627</v>
      </c>
      <c r="E83" s="26">
        <f t="shared" si="2"/>
        <v>0.005123096627</v>
      </c>
    </row>
    <row r="84">
      <c r="B84" s="27">
        <f>IFERROR(__xludf.DUMMYFUNCTION("""COMPUTED_VALUE"""),42178.66666666667)</f>
        <v>42178.66667</v>
      </c>
      <c r="C84" s="2">
        <f>IFERROR(__xludf.DUMMYFUNCTION("""COMPUTED_VALUE"""),212.04)</f>
        <v>212.04</v>
      </c>
      <c r="D84" s="26">
        <f t="shared" si="1"/>
        <v>0.0007079144839</v>
      </c>
      <c r="E84" s="26">
        <f t="shared" si="2"/>
        <v>0.0007079144839</v>
      </c>
    </row>
    <row r="85">
      <c r="B85" s="27">
        <f>IFERROR(__xludf.DUMMYFUNCTION("""COMPUTED_VALUE"""),42179.66666666667)</f>
        <v>42179.66667</v>
      </c>
      <c r="C85" s="2">
        <f>IFERROR(__xludf.DUMMYFUNCTION("""COMPUTED_VALUE"""),210.5)</f>
        <v>210.5</v>
      </c>
      <c r="D85" s="26">
        <f t="shared" si="1"/>
        <v>-0.007262780607</v>
      </c>
      <c r="E85" s="26">
        <f t="shared" si="2"/>
        <v>0.007262780607</v>
      </c>
    </row>
    <row r="86">
      <c r="B86" s="27">
        <f>IFERROR(__xludf.DUMMYFUNCTION("""COMPUTED_VALUE"""),42180.66666666667)</f>
        <v>42180.66667</v>
      </c>
      <c r="C86" s="2">
        <f>IFERROR(__xludf.DUMMYFUNCTION("""COMPUTED_VALUE"""),209.86)</f>
        <v>209.86</v>
      </c>
      <c r="D86" s="26">
        <f t="shared" si="1"/>
        <v>-0.003040380048</v>
      </c>
      <c r="E86" s="26">
        <f t="shared" si="2"/>
        <v>0.003040380048</v>
      </c>
    </row>
    <row r="87">
      <c r="B87" s="27">
        <f>IFERROR(__xludf.DUMMYFUNCTION("""COMPUTED_VALUE"""),42181.66666666667)</f>
        <v>42181.66667</v>
      </c>
      <c r="C87" s="2">
        <f>IFERROR(__xludf.DUMMYFUNCTION("""COMPUTED_VALUE"""),209.82)</f>
        <v>209.82</v>
      </c>
      <c r="D87" s="26">
        <f t="shared" si="1"/>
        <v>-0.0001906032593</v>
      </c>
      <c r="E87" s="26">
        <f t="shared" si="2"/>
        <v>0.0001906032593</v>
      </c>
    </row>
    <row r="88">
      <c r="B88" s="27">
        <f>IFERROR(__xludf.DUMMYFUNCTION("""COMPUTED_VALUE"""),42184.66666666667)</f>
        <v>42184.66667</v>
      </c>
      <c r="C88" s="2">
        <f>IFERROR(__xludf.DUMMYFUNCTION("""COMPUTED_VALUE"""),205.42)</f>
        <v>205.42</v>
      </c>
      <c r="D88" s="26">
        <f t="shared" si="1"/>
        <v>-0.02097035554</v>
      </c>
      <c r="E88" s="26">
        <f t="shared" si="2"/>
        <v>0.02097035554</v>
      </c>
    </row>
    <row r="89">
      <c r="B89" s="27">
        <f>IFERROR(__xludf.DUMMYFUNCTION("""COMPUTED_VALUE"""),42185.66666666667)</f>
        <v>42185.66667</v>
      </c>
      <c r="C89" s="2">
        <f>IFERROR(__xludf.DUMMYFUNCTION("""COMPUTED_VALUE"""),205.85)</f>
        <v>205.85</v>
      </c>
      <c r="D89" s="26">
        <f t="shared" si="1"/>
        <v>0.00209327232</v>
      </c>
      <c r="E89" s="26">
        <f t="shared" si="2"/>
        <v>0.00209327232</v>
      </c>
    </row>
    <row r="90">
      <c r="B90" s="27">
        <f>IFERROR(__xludf.DUMMYFUNCTION("""COMPUTED_VALUE"""),42186.66666666667)</f>
        <v>42186.66667</v>
      </c>
      <c r="C90" s="2">
        <f>IFERROR(__xludf.DUMMYFUNCTION("""COMPUTED_VALUE"""),207.5)</f>
        <v>207.5</v>
      </c>
      <c r="D90" s="26">
        <f t="shared" si="1"/>
        <v>0.0080155453</v>
      </c>
      <c r="E90" s="26">
        <f t="shared" si="2"/>
        <v>0.0080155453</v>
      </c>
    </row>
    <row r="91">
      <c r="B91" s="27">
        <f>IFERROR(__xludf.DUMMYFUNCTION("""COMPUTED_VALUE"""),42187.66666666667)</f>
        <v>42187.66667</v>
      </c>
      <c r="C91" s="2">
        <f>IFERROR(__xludf.DUMMYFUNCTION("""COMPUTED_VALUE"""),207.31)</f>
        <v>207.31</v>
      </c>
      <c r="D91" s="26">
        <f t="shared" si="1"/>
        <v>-0.0009156626506</v>
      </c>
      <c r="E91" s="26">
        <f t="shared" si="2"/>
        <v>0.0009156626506</v>
      </c>
    </row>
    <row r="92">
      <c r="B92" s="27">
        <f>IFERROR(__xludf.DUMMYFUNCTION("""COMPUTED_VALUE"""),42191.66666666667)</f>
        <v>42191.66667</v>
      </c>
      <c r="C92" s="2">
        <f>IFERROR(__xludf.DUMMYFUNCTION("""COMPUTED_VALUE"""),206.72)</f>
        <v>206.72</v>
      </c>
      <c r="D92" s="26">
        <f t="shared" si="1"/>
        <v>-0.002845979451</v>
      </c>
      <c r="E92" s="26">
        <f t="shared" si="2"/>
        <v>0.002845979451</v>
      </c>
    </row>
    <row r="93">
      <c r="B93" s="27">
        <f>IFERROR(__xludf.DUMMYFUNCTION("""COMPUTED_VALUE"""),42192.66666666667)</f>
        <v>42192.66667</v>
      </c>
      <c r="C93" s="2">
        <f>IFERROR(__xludf.DUMMYFUNCTION("""COMPUTED_VALUE"""),208.02)</f>
        <v>208.02</v>
      </c>
      <c r="D93" s="26">
        <f t="shared" si="1"/>
        <v>0.00628869969</v>
      </c>
      <c r="E93" s="26">
        <f t="shared" si="2"/>
        <v>0.00628869969</v>
      </c>
    </row>
    <row r="94">
      <c r="B94" s="27">
        <f>IFERROR(__xludf.DUMMYFUNCTION("""COMPUTED_VALUE"""),42193.66666666667)</f>
        <v>42193.66667</v>
      </c>
      <c r="C94" s="2">
        <f>IFERROR(__xludf.DUMMYFUNCTION("""COMPUTED_VALUE"""),204.53)</f>
        <v>204.53</v>
      </c>
      <c r="D94" s="26">
        <f t="shared" si="1"/>
        <v>-0.01677723296</v>
      </c>
      <c r="E94" s="26">
        <f t="shared" si="2"/>
        <v>0.01677723296</v>
      </c>
    </row>
    <row r="95">
      <c r="B95" s="27">
        <f>IFERROR(__xludf.DUMMYFUNCTION("""COMPUTED_VALUE"""),42194.66666666667)</f>
        <v>42194.66667</v>
      </c>
      <c r="C95" s="2">
        <f>IFERROR(__xludf.DUMMYFUNCTION("""COMPUTED_VALUE"""),204.9)</f>
        <v>204.9</v>
      </c>
      <c r="D95" s="26">
        <f t="shared" si="1"/>
        <v>0.001809025571</v>
      </c>
      <c r="E95" s="26">
        <f t="shared" si="2"/>
        <v>0.001809025571</v>
      </c>
    </row>
    <row r="96">
      <c r="B96" s="27">
        <f>IFERROR(__xludf.DUMMYFUNCTION("""COMPUTED_VALUE"""),42195.66666666667)</f>
        <v>42195.66667</v>
      </c>
      <c r="C96" s="2">
        <f>IFERROR(__xludf.DUMMYFUNCTION("""COMPUTED_VALUE"""),207.48)</f>
        <v>207.48</v>
      </c>
      <c r="D96" s="26">
        <f t="shared" si="1"/>
        <v>0.01259150805</v>
      </c>
      <c r="E96" s="26">
        <f t="shared" si="2"/>
        <v>0.01259150805</v>
      </c>
    </row>
    <row r="97">
      <c r="B97" s="27">
        <f>IFERROR(__xludf.DUMMYFUNCTION("""COMPUTED_VALUE"""),42198.66666666667)</f>
        <v>42198.66667</v>
      </c>
      <c r="C97" s="2">
        <f>IFERROR(__xludf.DUMMYFUNCTION("""COMPUTED_VALUE"""),209.77)</f>
        <v>209.77</v>
      </c>
      <c r="D97" s="26">
        <f t="shared" si="1"/>
        <v>0.01103720841</v>
      </c>
      <c r="E97" s="26">
        <f t="shared" si="2"/>
        <v>0.01103720841</v>
      </c>
    </row>
    <row r="98">
      <c r="B98" s="27">
        <f>IFERROR(__xludf.DUMMYFUNCTION("""COMPUTED_VALUE"""),42199.66666666667)</f>
        <v>42199.66667</v>
      </c>
      <c r="C98" s="2">
        <f>IFERROR(__xludf.DUMMYFUNCTION("""COMPUTED_VALUE"""),210.68)</f>
        <v>210.68</v>
      </c>
      <c r="D98" s="26">
        <f t="shared" si="1"/>
        <v>0.004338084569</v>
      </c>
      <c r="E98" s="26">
        <f t="shared" si="2"/>
        <v>0.004338084569</v>
      </c>
    </row>
    <row r="99">
      <c r="B99" s="27">
        <f>IFERROR(__xludf.DUMMYFUNCTION("""COMPUTED_VALUE"""),42200.66666666667)</f>
        <v>42200.66667</v>
      </c>
      <c r="C99" s="2">
        <f>IFERROR(__xludf.DUMMYFUNCTION("""COMPUTED_VALUE"""),210.61)</f>
        <v>210.61</v>
      </c>
      <c r="D99" s="26">
        <f t="shared" si="1"/>
        <v>-0.0003322574521</v>
      </c>
      <c r="E99" s="26">
        <f t="shared" si="2"/>
        <v>0.0003322574521</v>
      </c>
    </row>
    <row r="100">
      <c r="B100" s="27">
        <f>IFERROR(__xludf.DUMMYFUNCTION("""COMPUTED_VALUE"""),42201.66666666667)</f>
        <v>42201.66667</v>
      </c>
      <c r="C100" s="2">
        <f>IFERROR(__xludf.DUMMYFUNCTION("""COMPUTED_VALUE"""),212.3)</f>
        <v>212.3</v>
      </c>
      <c r="D100" s="26">
        <f t="shared" si="1"/>
        <v>0.008024310337</v>
      </c>
      <c r="E100" s="26">
        <f t="shared" si="2"/>
        <v>0.008024310337</v>
      </c>
    </row>
    <row r="101">
      <c r="B101" s="27">
        <f>IFERROR(__xludf.DUMMYFUNCTION("""COMPUTED_VALUE"""),42202.66666666667)</f>
        <v>42202.66667</v>
      </c>
      <c r="C101" s="2">
        <f>IFERROR(__xludf.DUMMYFUNCTION("""COMPUTED_VALUE"""),212.48)</f>
        <v>212.48</v>
      </c>
      <c r="D101" s="26">
        <f t="shared" si="1"/>
        <v>0.0008478568064</v>
      </c>
      <c r="E101" s="26">
        <f t="shared" si="2"/>
        <v>0.0008478568064</v>
      </c>
    </row>
    <row r="102">
      <c r="B102" s="27">
        <f>IFERROR(__xludf.DUMMYFUNCTION("""COMPUTED_VALUE"""),42205.66666666667)</f>
        <v>42205.66667</v>
      </c>
      <c r="C102" s="2">
        <f>IFERROR(__xludf.DUMMYFUNCTION("""COMPUTED_VALUE"""),212.59)</f>
        <v>212.59</v>
      </c>
      <c r="D102" s="26">
        <f t="shared" si="1"/>
        <v>0.0005176957831</v>
      </c>
      <c r="E102" s="26">
        <f t="shared" si="2"/>
        <v>0.0005176957831</v>
      </c>
    </row>
    <row r="103">
      <c r="B103" s="27">
        <f>IFERROR(__xludf.DUMMYFUNCTION("""COMPUTED_VALUE"""),42206.66666666667)</f>
        <v>42206.66667</v>
      </c>
      <c r="C103" s="2">
        <f>IFERROR(__xludf.DUMMYFUNCTION("""COMPUTED_VALUE"""),211.75)</f>
        <v>211.75</v>
      </c>
      <c r="D103" s="26">
        <f t="shared" si="1"/>
        <v>-0.003951267698</v>
      </c>
      <c r="E103" s="26">
        <f t="shared" si="2"/>
        <v>0.003951267698</v>
      </c>
    </row>
    <row r="104">
      <c r="B104" s="27">
        <f>IFERROR(__xludf.DUMMYFUNCTION("""COMPUTED_VALUE"""),42207.66666666667)</f>
        <v>42207.66667</v>
      </c>
      <c r="C104" s="2">
        <f>IFERROR(__xludf.DUMMYFUNCTION("""COMPUTED_VALUE"""),211.37)</f>
        <v>211.37</v>
      </c>
      <c r="D104" s="26">
        <f t="shared" si="1"/>
        <v>-0.001794569067</v>
      </c>
      <c r="E104" s="26">
        <f t="shared" si="2"/>
        <v>0.001794569067</v>
      </c>
    </row>
    <row r="105">
      <c r="B105" s="27">
        <f>IFERROR(__xludf.DUMMYFUNCTION("""COMPUTED_VALUE"""),42208.66666666667)</f>
        <v>42208.66667</v>
      </c>
      <c r="C105" s="2">
        <f>IFERROR(__xludf.DUMMYFUNCTION("""COMPUTED_VALUE"""),210.18)</f>
        <v>210.18</v>
      </c>
      <c r="D105" s="26">
        <f t="shared" si="1"/>
        <v>-0.005629938023</v>
      </c>
      <c r="E105" s="26">
        <f t="shared" si="2"/>
        <v>0.005629938023</v>
      </c>
    </row>
    <row r="106">
      <c r="B106" s="27">
        <f>IFERROR(__xludf.DUMMYFUNCTION("""COMPUTED_VALUE"""),42209.66666666667)</f>
        <v>42209.66667</v>
      </c>
      <c r="C106" s="2">
        <f>IFERROR(__xludf.DUMMYFUNCTION("""COMPUTED_VALUE"""),208.0)</f>
        <v>208</v>
      </c>
      <c r="D106" s="26">
        <f t="shared" si="1"/>
        <v>-0.01037206204</v>
      </c>
      <c r="E106" s="26">
        <f t="shared" si="2"/>
        <v>0.01037206204</v>
      </c>
    </row>
    <row r="107">
      <c r="B107" s="27">
        <f>IFERROR(__xludf.DUMMYFUNCTION("""COMPUTED_VALUE"""),42212.66666666667)</f>
        <v>42212.66667</v>
      </c>
      <c r="C107" s="2">
        <f>IFERROR(__xludf.DUMMYFUNCTION("""COMPUTED_VALUE"""),206.79)</f>
        <v>206.79</v>
      </c>
      <c r="D107" s="26">
        <f t="shared" si="1"/>
        <v>-0.005817307692</v>
      </c>
      <c r="E107" s="26">
        <f t="shared" si="2"/>
        <v>0.005817307692</v>
      </c>
    </row>
    <row r="108">
      <c r="B108" s="27">
        <f>IFERROR(__xludf.DUMMYFUNCTION("""COMPUTED_VALUE"""),42213.66666666667)</f>
        <v>42213.66667</v>
      </c>
      <c r="C108" s="2">
        <f>IFERROR(__xludf.DUMMYFUNCTION("""COMPUTED_VALUE"""),209.33)</f>
        <v>209.33</v>
      </c>
      <c r="D108" s="26">
        <f t="shared" si="1"/>
        <v>0.01228299241</v>
      </c>
      <c r="E108" s="26">
        <f t="shared" si="2"/>
        <v>0.01228299241</v>
      </c>
    </row>
    <row r="109">
      <c r="B109" s="27">
        <f>IFERROR(__xludf.DUMMYFUNCTION("""COMPUTED_VALUE"""),42214.66666666667)</f>
        <v>42214.66667</v>
      </c>
      <c r="C109" s="2">
        <f>IFERROR(__xludf.DUMMYFUNCTION("""COMPUTED_VALUE"""),210.77)</f>
        <v>210.77</v>
      </c>
      <c r="D109" s="26">
        <f t="shared" si="1"/>
        <v>0.006879090431</v>
      </c>
      <c r="E109" s="26">
        <f t="shared" si="2"/>
        <v>0.006879090431</v>
      </c>
    </row>
    <row r="110">
      <c r="B110" s="27">
        <f>IFERROR(__xludf.DUMMYFUNCTION("""COMPUTED_VALUE"""),42215.66666666667)</f>
        <v>42215.66667</v>
      </c>
      <c r="C110" s="2">
        <f>IFERROR(__xludf.DUMMYFUNCTION("""COMPUTED_VALUE"""),210.82)</f>
        <v>210.82</v>
      </c>
      <c r="D110" s="26">
        <f t="shared" si="1"/>
        <v>0.0002372254116</v>
      </c>
      <c r="E110" s="26">
        <f t="shared" si="2"/>
        <v>0.0002372254116</v>
      </c>
    </row>
    <row r="111">
      <c r="B111" s="27">
        <f>IFERROR(__xludf.DUMMYFUNCTION("""COMPUTED_VALUE"""),42216.66666666667)</f>
        <v>42216.66667</v>
      </c>
      <c r="C111" s="2">
        <f>IFERROR(__xludf.DUMMYFUNCTION("""COMPUTED_VALUE"""),210.5)</f>
        <v>210.5</v>
      </c>
      <c r="D111" s="26">
        <f t="shared" si="1"/>
        <v>-0.001517882554</v>
      </c>
      <c r="E111" s="26">
        <f t="shared" si="2"/>
        <v>0.001517882554</v>
      </c>
    </row>
    <row r="112">
      <c r="B112" s="27">
        <f>IFERROR(__xludf.DUMMYFUNCTION("""COMPUTED_VALUE"""),42219.66666666667)</f>
        <v>42219.66667</v>
      </c>
      <c r="C112" s="2">
        <f>IFERROR(__xludf.DUMMYFUNCTION("""COMPUTED_VALUE"""),209.79)</f>
        <v>209.79</v>
      </c>
      <c r="D112" s="26">
        <f t="shared" si="1"/>
        <v>-0.003372921615</v>
      </c>
      <c r="E112" s="26">
        <f t="shared" si="2"/>
        <v>0.003372921615</v>
      </c>
    </row>
    <row r="113">
      <c r="B113" s="27">
        <f>IFERROR(__xludf.DUMMYFUNCTION("""COMPUTED_VALUE"""),42220.66666666667)</f>
        <v>42220.66667</v>
      </c>
      <c r="C113" s="2">
        <f>IFERROR(__xludf.DUMMYFUNCTION("""COMPUTED_VALUE"""),209.38)</f>
        <v>209.38</v>
      </c>
      <c r="D113" s="26">
        <f t="shared" si="1"/>
        <v>-0.001954335288</v>
      </c>
      <c r="E113" s="26">
        <f t="shared" si="2"/>
        <v>0.001954335288</v>
      </c>
    </row>
    <row r="114">
      <c r="B114" s="27">
        <f>IFERROR(__xludf.DUMMYFUNCTION("""COMPUTED_VALUE"""),42221.66666666667)</f>
        <v>42221.66667</v>
      </c>
      <c r="C114" s="2">
        <f>IFERROR(__xludf.DUMMYFUNCTION("""COMPUTED_VALUE"""),210.07)</f>
        <v>210.07</v>
      </c>
      <c r="D114" s="26">
        <f t="shared" si="1"/>
        <v>0.003295443691</v>
      </c>
      <c r="E114" s="26">
        <f t="shared" si="2"/>
        <v>0.003295443691</v>
      </c>
    </row>
    <row r="115">
      <c r="B115" s="27">
        <f>IFERROR(__xludf.DUMMYFUNCTION("""COMPUTED_VALUE"""),42222.66666666667)</f>
        <v>42222.66667</v>
      </c>
      <c r="C115" s="2">
        <f>IFERROR(__xludf.DUMMYFUNCTION("""COMPUTED_VALUE"""),208.35)</f>
        <v>208.35</v>
      </c>
      <c r="D115" s="26">
        <f t="shared" si="1"/>
        <v>-0.008187746941</v>
      </c>
      <c r="E115" s="26">
        <f t="shared" si="2"/>
        <v>0.008187746941</v>
      </c>
    </row>
    <row r="116">
      <c r="B116" s="27">
        <f>IFERROR(__xludf.DUMMYFUNCTION("""COMPUTED_VALUE"""),42223.66666666667)</f>
        <v>42223.66667</v>
      </c>
      <c r="C116" s="2">
        <f>IFERROR(__xludf.DUMMYFUNCTION("""COMPUTED_VALUE"""),207.95)</f>
        <v>207.95</v>
      </c>
      <c r="D116" s="26">
        <f t="shared" si="1"/>
        <v>-0.001919846412</v>
      </c>
      <c r="E116" s="26">
        <f t="shared" si="2"/>
        <v>0.001919846412</v>
      </c>
    </row>
    <row r="117">
      <c r="B117" s="27">
        <f>IFERROR(__xludf.DUMMYFUNCTION("""COMPUTED_VALUE"""),42226.66666666667)</f>
        <v>42226.66667</v>
      </c>
      <c r="C117" s="2">
        <f>IFERROR(__xludf.DUMMYFUNCTION("""COMPUTED_VALUE"""),210.57)</f>
        <v>210.57</v>
      </c>
      <c r="D117" s="26">
        <f t="shared" si="1"/>
        <v>0.0125991825</v>
      </c>
      <c r="E117" s="26">
        <f t="shared" si="2"/>
        <v>0.0125991825</v>
      </c>
    </row>
    <row r="118">
      <c r="B118" s="27">
        <f>IFERROR(__xludf.DUMMYFUNCTION("""COMPUTED_VALUE"""),42227.66666666667)</f>
        <v>42227.66667</v>
      </c>
      <c r="C118" s="2">
        <f>IFERROR(__xludf.DUMMYFUNCTION("""COMPUTED_VALUE"""),208.67)</f>
        <v>208.67</v>
      </c>
      <c r="D118" s="26">
        <f t="shared" si="1"/>
        <v>-0.009023127701</v>
      </c>
      <c r="E118" s="26">
        <f t="shared" si="2"/>
        <v>0.009023127701</v>
      </c>
    </row>
    <row r="119">
      <c r="B119" s="27">
        <f>IFERROR(__xludf.DUMMYFUNCTION("""COMPUTED_VALUE"""),42228.66666666667)</f>
        <v>42228.66667</v>
      </c>
      <c r="C119" s="2">
        <f>IFERROR(__xludf.DUMMYFUNCTION("""COMPUTED_VALUE"""),208.92)</f>
        <v>208.92</v>
      </c>
      <c r="D119" s="26">
        <f t="shared" si="1"/>
        <v>0.001198063929</v>
      </c>
      <c r="E119" s="26">
        <f t="shared" si="2"/>
        <v>0.001198063929</v>
      </c>
    </row>
    <row r="120">
      <c r="B120" s="27">
        <f>IFERROR(__xludf.DUMMYFUNCTION("""COMPUTED_VALUE"""),42229.66666666667)</f>
        <v>42229.66667</v>
      </c>
      <c r="C120" s="2">
        <f>IFERROR(__xludf.DUMMYFUNCTION("""COMPUTED_VALUE"""),208.66)</f>
        <v>208.66</v>
      </c>
      <c r="D120" s="26">
        <f t="shared" si="1"/>
        <v>-0.001244495501</v>
      </c>
      <c r="E120" s="26">
        <f t="shared" si="2"/>
        <v>0.001244495501</v>
      </c>
    </row>
    <row r="121">
      <c r="B121" s="27">
        <f>IFERROR(__xludf.DUMMYFUNCTION("""COMPUTED_VALUE"""),42230.66666666667)</f>
        <v>42230.66667</v>
      </c>
      <c r="C121" s="2">
        <f>IFERROR(__xludf.DUMMYFUNCTION("""COMPUTED_VALUE"""),209.42)</f>
        <v>209.42</v>
      </c>
      <c r="D121" s="26">
        <f t="shared" si="1"/>
        <v>0.003642288891</v>
      </c>
      <c r="E121" s="26">
        <f t="shared" si="2"/>
        <v>0.003642288891</v>
      </c>
    </row>
    <row r="122">
      <c r="B122" s="27">
        <f>IFERROR(__xludf.DUMMYFUNCTION("""COMPUTED_VALUE"""),42233.66666666667)</f>
        <v>42233.66667</v>
      </c>
      <c r="C122" s="2">
        <f>IFERROR(__xludf.DUMMYFUNCTION("""COMPUTED_VALUE"""),210.59)</f>
        <v>210.59</v>
      </c>
      <c r="D122" s="26">
        <f t="shared" si="1"/>
        <v>0.005586858944</v>
      </c>
      <c r="E122" s="26">
        <f t="shared" si="2"/>
        <v>0.005586858944</v>
      </c>
    </row>
    <row r="123">
      <c r="B123" s="27">
        <f>IFERROR(__xludf.DUMMYFUNCTION("""COMPUTED_VALUE"""),42234.66666666667)</f>
        <v>42234.66667</v>
      </c>
      <c r="C123" s="2">
        <f>IFERROR(__xludf.DUMMYFUNCTION("""COMPUTED_VALUE"""),209.98)</f>
        <v>209.98</v>
      </c>
      <c r="D123" s="26">
        <f t="shared" si="1"/>
        <v>-0.002896623771</v>
      </c>
      <c r="E123" s="26">
        <f t="shared" si="2"/>
        <v>0.002896623771</v>
      </c>
    </row>
    <row r="124">
      <c r="B124" s="27">
        <f>IFERROR(__xludf.DUMMYFUNCTION("""COMPUTED_VALUE"""),42235.66666666667)</f>
        <v>42235.66667</v>
      </c>
      <c r="C124" s="2">
        <f>IFERROR(__xludf.DUMMYFUNCTION("""COMPUTED_VALUE"""),208.32)</f>
        <v>208.32</v>
      </c>
      <c r="D124" s="26">
        <f t="shared" si="1"/>
        <v>-0.007905514811</v>
      </c>
      <c r="E124" s="26">
        <f t="shared" si="2"/>
        <v>0.007905514811</v>
      </c>
    </row>
    <row r="125">
      <c r="B125" s="27">
        <f>IFERROR(__xludf.DUMMYFUNCTION("""COMPUTED_VALUE"""),42236.66666666667)</f>
        <v>42236.66667</v>
      </c>
      <c r="C125" s="2">
        <f>IFERROR(__xludf.DUMMYFUNCTION("""COMPUTED_VALUE"""),203.97)</f>
        <v>203.97</v>
      </c>
      <c r="D125" s="26">
        <f t="shared" si="1"/>
        <v>-0.02088133641</v>
      </c>
      <c r="E125" s="26">
        <f t="shared" si="2"/>
        <v>0.02088133641</v>
      </c>
    </row>
    <row r="126">
      <c r="B126" s="27">
        <f>IFERROR(__xludf.DUMMYFUNCTION("""COMPUTED_VALUE"""),42237.66666666667)</f>
        <v>42237.66667</v>
      </c>
      <c r="C126" s="2">
        <f>IFERROR(__xludf.DUMMYFUNCTION("""COMPUTED_VALUE"""),197.63)</f>
        <v>197.63</v>
      </c>
      <c r="D126" s="26">
        <f t="shared" si="1"/>
        <v>-0.0310830024</v>
      </c>
      <c r="E126" s="26">
        <f t="shared" si="2"/>
        <v>0.0310830024</v>
      </c>
    </row>
    <row r="127">
      <c r="B127" s="27">
        <f>IFERROR(__xludf.DUMMYFUNCTION("""COMPUTED_VALUE"""),42240.66666666667)</f>
        <v>42240.66667</v>
      </c>
      <c r="C127" s="2">
        <f>IFERROR(__xludf.DUMMYFUNCTION("""COMPUTED_VALUE"""),189.55)</f>
        <v>189.55</v>
      </c>
      <c r="D127" s="26">
        <f t="shared" si="1"/>
        <v>-0.0408844811</v>
      </c>
      <c r="E127" s="26">
        <f t="shared" si="2"/>
        <v>0.0408844811</v>
      </c>
    </row>
    <row r="128">
      <c r="B128" s="27">
        <f>IFERROR(__xludf.DUMMYFUNCTION("""COMPUTED_VALUE"""),42241.66666666667)</f>
        <v>42241.66667</v>
      </c>
      <c r="C128" s="2">
        <f>IFERROR(__xludf.DUMMYFUNCTION("""COMPUTED_VALUE"""),187.27)</f>
        <v>187.27</v>
      </c>
      <c r="D128" s="26">
        <f t="shared" si="1"/>
        <v>-0.01202848853</v>
      </c>
      <c r="E128" s="26">
        <f t="shared" si="2"/>
        <v>0.01202848853</v>
      </c>
    </row>
    <row r="129">
      <c r="B129" s="27">
        <f>IFERROR(__xludf.DUMMYFUNCTION("""COMPUTED_VALUE"""),42242.66666666667)</f>
        <v>42242.66667</v>
      </c>
      <c r="C129" s="2">
        <f>IFERROR(__xludf.DUMMYFUNCTION("""COMPUTED_VALUE"""),194.46)</f>
        <v>194.46</v>
      </c>
      <c r="D129" s="26">
        <f t="shared" si="1"/>
        <v>0.03839376302</v>
      </c>
      <c r="E129" s="26">
        <f t="shared" si="2"/>
        <v>0.03839376302</v>
      </c>
    </row>
    <row r="130">
      <c r="B130" s="27">
        <f>IFERROR(__xludf.DUMMYFUNCTION("""COMPUTED_VALUE"""),42243.66666666667)</f>
        <v>42243.66667</v>
      </c>
      <c r="C130" s="2">
        <f>IFERROR(__xludf.DUMMYFUNCTION("""COMPUTED_VALUE"""),199.27)</f>
        <v>199.27</v>
      </c>
      <c r="D130" s="26">
        <f t="shared" si="1"/>
        <v>0.02473516404</v>
      </c>
      <c r="E130" s="26">
        <f t="shared" si="2"/>
        <v>0.02473516404</v>
      </c>
    </row>
    <row r="131">
      <c r="B131" s="27">
        <f>IFERROR(__xludf.DUMMYFUNCTION("""COMPUTED_VALUE"""),42244.66666666667)</f>
        <v>42244.66667</v>
      </c>
      <c r="C131" s="2">
        <f>IFERROR(__xludf.DUMMYFUNCTION("""COMPUTED_VALUE"""),199.28)</f>
        <v>199.28</v>
      </c>
      <c r="D131" s="26">
        <f t="shared" si="1"/>
        <v>0.00005018316857</v>
      </c>
      <c r="E131" s="26">
        <f t="shared" si="2"/>
        <v>0.00005018316857</v>
      </c>
    </row>
    <row r="132">
      <c r="B132" s="27">
        <f>IFERROR(__xludf.DUMMYFUNCTION("""COMPUTED_VALUE"""),42247.66666666667)</f>
        <v>42247.66667</v>
      </c>
      <c r="C132" s="2">
        <f>IFERROR(__xludf.DUMMYFUNCTION("""COMPUTED_VALUE"""),197.67)</f>
        <v>197.67</v>
      </c>
      <c r="D132" s="26">
        <f t="shared" si="1"/>
        <v>-0.008079084705</v>
      </c>
      <c r="E132" s="26">
        <f t="shared" si="2"/>
        <v>0.008079084705</v>
      </c>
    </row>
    <row r="133">
      <c r="B133" s="27">
        <f>IFERROR(__xludf.DUMMYFUNCTION("""COMPUTED_VALUE"""),42248.66666666667)</f>
        <v>42248.66667</v>
      </c>
      <c r="C133" s="2">
        <f>IFERROR(__xludf.DUMMYFUNCTION("""COMPUTED_VALUE"""),191.77)</f>
        <v>191.77</v>
      </c>
      <c r="D133" s="26">
        <f t="shared" si="1"/>
        <v>-0.02984772601</v>
      </c>
      <c r="E133" s="26">
        <f t="shared" si="2"/>
        <v>0.02984772601</v>
      </c>
    </row>
    <row r="134">
      <c r="B134" s="27">
        <f>IFERROR(__xludf.DUMMYFUNCTION("""COMPUTED_VALUE"""),42249.66666666667)</f>
        <v>42249.66667</v>
      </c>
      <c r="C134" s="2">
        <f>IFERROR(__xludf.DUMMYFUNCTION("""COMPUTED_VALUE"""),195.41)</f>
        <v>195.41</v>
      </c>
      <c r="D134" s="26">
        <f t="shared" si="1"/>
        <v>0.01898107107</v>
      </c>
      <c r="E134" s="26">
        <f t="shared" si="2"/>
        <v>0.01898107107</v>
      </c>
    </row>
    <row r="135">
      <c r="B135" s="27">
        <f>IFERROR(__xludf.DUMMYFUNCTION("""COMPUTED_VALUE"""),42250.66666666667)</f>
        <v>42250.66667</v>
      </c>
      <c r="C135" s="2">
        <f>IFERROR(__xludf.DUMMYFUNCTION("""COMPUTED_VALUE"""),195.55)</f>
        <v>195.55</v>
      </c>
      <c r="D135" s="26">
        <f t="shared" si="1"/>
        <v>0.000716442352</v>
      </c>
      <c r="E135" s="26">
        <f t="shared" si="2"/>
        <v>0.000716442352</v>
      </c>
    </row>
    <row r="136">
      <c r="B136" s="27">
        <f>IFERROR(__xludf.DUMMYFUNCTION("""COMPUTED_VALUE"""),42251.66666666667)</f>
        <v>42251.66667</v>
      </c>
      <c r="C136" s="2">
        <f>IFERROR(__xludf.DUMMYFUNCTION("""COMPUTED_VALUE"""),192.59)</f>
        <v>192.59</v>
      </c>
      <c r="D136" s="26">
        <f t="shared" si="1"/>
        <v>-0.01513679366</v>
      </c>
      <c r="E136" s="26">
        <f t="shared" si="2"/>
        <v>0.01513679366</v>
      </c>
    </row>
    <row r="137">
      <c r="B137" s="27">
        <f>IFERROR(__xludf.DUMMYFUNCTION("""COMPUTED_VALUE"""),42255.66666666667)</f>
        <v>42255.66667</v>
      </c>
      <c r="C137" s="2">
        <f>IFERROR(__xludf.DUMMYFUNCTION("""COMPUTED_VALUE"""),197.43)</f>
        <v>197.43</v>
      </c>
      <c r="D137" s="26">
        <f t="shared" si="1"/>
        <v>0.02513110753</v>
      </c>
      <c r="E137" s="26">
        <f t="shared" si="2"/>
        <v>0.02513110753</v>
      </c>
    </row>
    <row r="138">
      <c r="B138" s="27">
        <f>IFERROR(__xludf.DUMMYFUNCTION("""COMPUTED_VALUE"""),42256.66666666667)</f>
        <v>42256.66667</v>
      </c>
      <c r="C138" s="2">
        <f>IFERROR(__xludf.DUMMYFUNCTION("""COMPUTED_VALUE"""),194.79)</f>
        <v>194.79</v>
      </c>
      <c r="D138" s="26">
        <f t="shared" si="1"/>
        <v>-0.01337182799</v>
      </c>
      <c r="E138" s="26">
        <f t="shared" si="2"/>
        <v>0.01337182799</v>
      </c>
    </row>
    <row r="139">
      <c r="B139" s="27">
        <f>IFERROR(__xludf.DUMMYFUNCTION("""COMPUTED_VALUE"""),42257.66666666667)</f>
        <v>42257.66667</v>
      </c>
      <c r="C139" s="2">
        <f>IFERROR(__xludf.DUMMYFUNCTION("""COMPUTED_VALUE"""),195.85)</f>
        <v>195.85</v>
      </c>
      <c r="D139" s="26">
        <f t="shared" si="1"/>
        <v>0.00544175779</v>
      </c>
      <c r="E139" s="26">
        <f t="shared" si="2"/>
        <v>0.00544175779</v>
      </c>
    </row>
    <row r="140">
      <c r="B140" s="27">
        <f>IFERROR(__xludf.DUMMYFUNCTION("""COMPUTED_VALUE"""),42258.66666666667)</f>
        <v>42258.66667</v>
      </c>
      <c r="C140" s="2">
        <f>IFERROR(__xludf.DUMMYFUNCTION("""COMPUTED_VALUE"""),196.74)</f>
        <v>196.74</v>
      </c>
      <c r="D140" s="26">
        <f t="shared" si="1"/>
        <v>0.004544294103</v>
      </c>
      <c r="E140" s="26">
        <f t="shared" si="2"/>
        <v>0.004544294103</v>
      </c>
    </row>
    <row r="141">
      <c r="B141" s="27">
        <f>IFERROR(__xludf.DUMMYFUNCTION("""COMPUTED_VALUE"""),42261.66666666667)</f>
        <v>42261.66667</v>
      </c>
      <c r="C141" s="2">
        <f>IFERROR(__xludf.DUMMYFUNCTION("""COMPUTED_VALUE"""),196.01)</f>
        <v>196.01</v>
      </c>
      <c r="D141" s="26">
        <f t="shared" si="1"/>
        <v>-0.003710480838</v>
      </c>
      <c r="E141" s="26">
        <f t="shared" si="2"/>
        <v>0.003710480838</v>
      </c>
    </row>
    <row r="142">
      <c r="B142" s="27">
        <f>IFERROR(__xludf.DUMMYFUNCTION("""COMPUTED_VALUE"""),42262.66666666667)</f>
        <v>42262.66667</v>
      </c>
      <c r="C142" s="2">
        <f>IFERROR(__xludf.DUMMYFUNCTION("""COMPUTED_VALUE"""),198.46)</f>
        <v>198.46</v>
      </c>
      <c r="D142" s="26">
        <f t="shared" si="1"/>
        <v>0.01249936228</v>
      </c>
      <c r="E142" s="26">
        <f t="shared" si="2"/>
        <v>0.01249936228</v>
      </c>
    </row>
    <row r="143">
      <c r="B143" s="27">
        <f>IFERROR(__xludf.DUMMYFUNCTION("""COMPUTED_VALUE"""),42263.66666666667)</f>
        <v>42263.66667</v>
      </c>
      <c r="C143" s="2">
        <f>IFERROR(__xludf.DUMMYFUNCTION("""COMPUTED_VALUE"""),200.18)</f>
        <v>200.18</v>
      </c>
      <c r="D143" s="26">
        <f t="shared" si="1"/>
        <v>0.008666733851</v>
      </c>
      <c r="E143" s="26">
        <f t="shared" si="2"/>
        <v>0.008666733851</v>
      </c>
    </row>
    <row r="144">
      <c r="B144" s="27">
        <f>IFERROR(__xludf.DUMMYFUNCTION("""COMPUTED_VALUE"""),42264.66666666667)</f>
        <v>42264.66667</v>
      </c>
      <c r="C144" s="2">
        <f>IFERROR(__xludf.DUMMYFUNCTION("""COMPUTED_VALUE"""),199.73)</f>
        <v>199.73</v>
      </c>
      <c r="D144" s="26">
        <f t="shared" si="1"/>
        <v>-0.002247976821</v>
      </c>
      <c r="E144" s="26">
        <f t="shared" si="2"/>
        <v>0.002247976821</v>
      </c>
    </row>
    <row r="145">
      <c r="B145" s="27">
        <f>IFERROR(__xludf.DUMMYFUNCTION("""COMPUTED_VALUE"""),42265.66666666667)</f>
        <v>42265.66667</v>
      </c>
      <c r="C145" s="2">
        <f>IFERROR(__xludf.DUMMYFUNCTION("""COMPUTED_VALUE"""),195.45)</f>
        <v>195.45</v>
      </c>
      <c r="D145" s="26">
        <f t="shared" si="1"/>
        <v>-0.02142892905</v>
      </c>
      <c r="E145" s="26">
        <f t="shared" si="2"/>
        <v>0.02142892905</v>
      </c>
    </row>
    <row r="146">
      <c r="B146" s="27">
        <f>IFERROR(__xludf.DUMMYFUNCTION("""COMPUTED_VALUE"""),42268.66666666667)</f>
        <v>42268.66667</v>
      </c>
      <c r="C146" s="2">
        <f>IFERROR(__xludf.DUMMYFUNCTION("""COMPUTED_VALUE"""),196.46)</f>
        <v>196.46</v>
      </c>
      <c r="D146" s="26">
        <f t="shared" si="1"/>
        <v>0.005167562036</v>
      </c>
      <c r="E146" s="26">
        <f t="shared" si="2"/>
        <v>0.005167562036</v>
      </c>
    </row>
    <row r="147">
      <c r="B147" s="27">
        <f>IFERROR(__xludf.DUMMYFUNCTION("""COMPUTED_VALUE"""),42269.66666666667)</f>
        <v>42269.66667</v>
      </c>
      <c r="C147" s="2">
        <f>IFERROR(__xludf.DUMMYFUNCTION("""COMPUTED_VALUE"""),193.91)</f>
        <v>193.91</v>
      </c>
      <c r="D147" s="26">
        <f t="shared" si="1"/>
        <v>-0.01297974142</v>
      </c>
      <c r="E147" s="26">
        <f t="shared" si="2"/>
        <v>0.01297974142</v>
      </c>
    </row>
    <row r="148">
      <c r="B148" s="27">
        <f>IFERROR(__xludf.DUMMYFUNCTION("""COMPUTED_VALUE"""),42270.66666666667)</f>
        <v>42270.66667</v>
      </c>
      <c r="C148" s="2">
        <f>IFERROR(__xludf.DUMMYFUNCTION("""COMPUTED_VALUE"""),193.6)</f>
        <v>193.6</v>
      </c>
      <c r="D148" s="26">
        <f t="shared" si="1"/>
        <v>-0.0015986798</v>
      </c>
      <c r="E148" s="26">
        <f t="shared" si="2"/>
        <v>0.0015986798</v>
      </c>
    </row>
    <row r="149">
      <c r="B149" s="27">
        <f>IFERROR(__xludf.DUMMYFUNCTION("""COMPUTED_VALUE"""),42271.66666666667)</f>
        <v>42271.66667</v>
      </c>
      <c r="C149" s="2">
        <f>IFERROR(__xludf.DUMMYFUNCTION("""COMPUTED_VALUE"""),192.9)</f>
        <v>192.9</v>
      </c>
      <c r="D149" s="26">
        <f t="shared" si="1"/>
        <v>-0.003615702479</v>
      </c>
      <c r="E149" s="26">
        <f t="shared" si="2"/>
        <v>0.003615702479</v>
      </c>
    </row>
    <row r="150">
      <c r="B150" s="27">
        <f>IFERROR(__xludf.DUMMYFUNCTION("""COMPUTED_VALUE"""),42272.66666666667)</f>
        <v>42272.66667</v>
      </c>
      <c r="C150" s="2">
        <f>IFERROR(__xludf.DUMMYFUNCTION("""COMPUTED_VALUE"""),192.85)</f>
        <v>192.85</v>
      </c>
      <c r="D150" s="26">
        <f t="shared" si="1"/>
        <v>-0.0002592016589</v>
      </c>
      <c r="E150" s="26">
        <f t="shared" si="2"/>
        <v>0.0002592016589</v>
      </c>
    </row>
    <row r="151">
      <c r="B151" s="27">
        <f>IFERROR(__xludf.DUMMYFUNCTION("""COMPUTED_VALUE"""),42275.66666666667)</f>
        <v>42275.66667</v>
      </c>
      <c r="C151" s="2">
        <f>IFERROR(__xludf.DUMMYFUNCTION("""COMPUTED_VALUE"""),188.01)</f>
        <v>188.01</v>
      </c>
      <c r="D151" s="26">
        <f t="shared" si="1"/>
        <v>-0.02509722582</v>
      </c>
      <c r="E151" s="26">
        <f t="shared" si="2"/>
        <v>0.02509722582</v>
      </c>
    </row>
    <row r="152">
      <c r="B152" s="27">
        <f>IFERROR(__xludf.DUMMYFUNCTION("""COMPUTED_VALUE"""),42276.66666666667)</f>
        <v>42276.66667</v>
      </c>
      <c r="C152" s="2">
        <f>IFERROR(__xludf.DUMMYFUNCTION("""COMPUTED_VALUE"""),188.12)</f>
        <v>188.12</v>
      </c>
      <c r="D152" s="26">
        <f t="shared" si="1"/>
        <v>0.000585075262</v>
      </c>
      <c r="E152" s="26">
        <f t="shared" si="2"/>
        <v>0.000585075262</v>
      </c>
    </row>
    <row r="153">
      <c r="B153" s="27">
        <f>IFERROR(__xludf.DUMMYFUNCTION("""COMPUTED_VALUE"""),42277.66666666667)</f>
        <v>42277.66667</v>
      </c>
      <c r="C153" s="2">
        <f>IFERROR(__xludf.DUMMYFUNCTION("""COMPUTED_VALUE"""),191.63)</f>
        <v>191.63</v>
      </c>
      <c r="D153" s="26">
        <f t="shared" si="1"/>
        <v>0.01865830321</v>
      </c>
      <c r="E153" s="26">
        <f t="shared" si="2"/>
        <v>0.01865830321</v>
      </c>
    </row>
    <row r="154">
      <c r="B154" s="27">
        <f>IFERROR(__xludf.DUMMYFUNCTION("""COMPUTED_VALUE"""),42278.66666666667)</f>
        <v>42278.66667</v>
      </c>
      <c r="C154" s="2">
        <f>IFERROR(__xludf.DUMMYFUNCTION("""COMPUTED_VALUE"""),192.13)</f>
        <v>192.13</v>
      </c>
      <c r="D154" s="26">
        <f t="shared" si="1"/>
        <v>0.002609194802</v>
      </c>
      <c r="E154" s="26">
        <f t="shared" si="2"/>
        <v>0.002609194802</v>
      </c>
    </row>
    <row r="155">
      <c r="B155" s="27">
        <f>IFERROR(__xludf.DUMMYFUNCTION("""COMPUTED_VALUE"""),42279.66666666667)</f>
        <v>42279.66667</v>
      </c>
      <c r="C155" s="2">
        <f>IFERROR(__xludf.DUMMYFUNCTION("""COMPUTED_VALUE"""),195.0)</f>
        <v>195</v>
      </c>
      <c r="D155" s="26">
        <f t="shared" si="1"/>
        <v>0.01493780253</v>
      </c>
      <c r="E155" s="26">
        <f t="shared" si="2"/>
        <v>0.01493780253</v>
      </c>
    </row>
    <row r="156">
      <c r="B156" s="27">
        <f>IFERROR(__xludf.DUMMYFUNCTION("""COMPUTED_VALUE"""),42282.66666666667)</f>
        <v>42282.66667</v>
      </c>
      <c r="C156" s="2">
        <f>IFERROR(__xludf.DUMMYFUNCTION("""COMPUTED_VALUE"""),198.47)</f>
        <v>198.47</v>
      </c>
      <c r="D156" s="26">
        <f t="shared" si="1"/>
        <v>0.01779487179</v>
      </c>
      <c r="E156" s="26">
        <f t="shared" si="2"/>
        <v>0.01779487179</v>
      </c>
    </row>
    <row r="157">
      <c r="B157" s="27">
        <f>IFERROR(__xludf.DUMMYFUNCTION("""COMPUTED_VALUE"""),42283.66666666667)</f>
        <v>42283.66667</v>
      </c>
      <c r="C157" s="2">
        <f>IFERROR(__xludf.DUMMYFUNCTION("""COMPUTED_VALUE"""),197.79)</f>
        <v>197.79</v>
      </c>
      <c r="D157" s="26">
        <f t="shared" si="1"/>
        <v>-0.00342621051</v>
      </c>
      <c r="E157" s="26">
        <f t="shared" si="2"/>
        <v>0.00342621051</v>
      </c>
    </row>
    <row r="158">
      <c r="B158" s="27">
        <f>IFERROR(__xludf.DUMMYFUNCTION("""COMPUTED_VALUE"""),42284.66666666667)</f>
        <v>42284.66667</v>
      </c>
      <c r="C158" s="2">
        <f>IFERROR(__xludf.DUMMYFUNCTION("""COMPUTED_VALUE"""),199.41)</f>
        <v>199.41</v>
      </c>
      <c r="D158" s="26">
        <f t="shared" si="1"/>
        <v>0.008190505081</v>
      </c>
      <c r="E158" s="26">
        <f t="shared" si="2"/>
        <v>0.008190505081</v>
      </c>
    </row>
    <row r="159">
      <c r="B159" s="27">
        <f>IFERROR(__xludf.DUMMYFUNCTION("""COMPUTED_VALUE"""),42285.66666666667)</f>
        <v>42285.66667</v>
      </c>
      <c r="C159" s="2">
        <f>IFERROR(__xludf.DUMMYFUNCTION("""COMPUTED_VALUE"""),201.21)</f>
        <v>201.21</v>
      </c>
      <c r="D159" s="26">
        <f t="shared" si="1"/>
        <v>0.009026628554</v>
      </c>
      <c r="E159" s="26">
        <f t="shared" si="2"/>
        <v>0.009026628554</v>
      </c>
    </row>
    <row r="160">
      <c r="B160" s="27">
        <f>IFERROR(__xludf.DUMMYFUNCTION("""COMPUTED_VALUE"""),42286.66666666667)</f>
        <v>42286.66667</v>
      </c>
      <c r="C160" s="2">
        <f>IFERROR(__xludf.DUMMYFUNCTION("""COMPUTED_VALUE"""),201.33)</f>
        <v>201.33</v>
      </c>
      <c r="D160" s="26">
        <f t="shared" si="1"/>
        <v>0.0005963918294</v>
      </c>
      <c r="E160" s="26">
        <f t="shared" si="2"/>
        <v>0.0005963918294</v>
      </c>
    </row>
    <row r="161">
      <c r="B161" s="27">
        <f>IFERROR(__xludf.DUMMYFUNCTION("""COMPUTED_VALUE"""),42289.66666666667)</f>
        <v>42289.66667</v>
      </c>
      <c r="C161" s="2">
        <f>IFERROR(__xludf.DUMMYFUNCTION("""COMPUTED_VALUE"""),201.52)</f>
        <v>201.52</v>
      </c>
      <c r="D161" s="26">
        <f t="shared" si="1"/>
        <v>0.0009437242338</v>
      </c>
      <c r="E161" s="26">
        <f t="shared" si="2"/>
        <v>0.0009437242338</v>
      </c>
    </row>
    <row r="162">
      <c r="B162" s="27">
        <f>IFERROR(__xludf.DUMMYFUNCTION("""COMPUTED_VALUE"""),42290.66666666667)</f>
        <v>42290.66667</v>
      </c>
      <c r="C162" s="2">
        <f>IFERROR(__xludf.DUMMYFUNCTION("""COMPUTED_VALUE"""),200.25)</f>
        <v>200.25</v>
      </c>
      <c r="D162" s="26">
        <f t="shared" si="1"/>
        <v>-0.00630210401</v>
      </c>
      <c r="E162" s="26">
        <f t="shared" si="2"/>
        <v>0.00630210401</v>
      </c>
    </row>
    <row r="163">
      <c r="B163" s="27">
        <f>IFERROR(__xludf.DUMMYFUNCTION("""COMPUTED_VALUE"""),42291.66666666667)</f>
        <v>42291.66667</v>
      </c>
      <c r="C163" s="2">
        <f>IFERROR(__xludf.DUMMYFUNCTION("""COMPUTED_VALUE"""),199.29)</f>
        <v>199.29</v>
      </c>
      <c r="D163" s="26">
        <f t="shared" si="1"/>
        <v>-0.004794007491</v>
      </c>
      <c r="E163" s="26">
        <f t="shared" si="2"/>
        <v>0.004794007491</v>
      </c>
    </row>
    <row r="164">
      <c r="B164" s="27">
        <f>IFERROR(__xludf.DUMMYFUNCTION("""COMPUTED_VALUE"""),42292.66666666667)</f>
        <v>42292.66667</v>
      </c>
      <c r="C164" s="2">
        <f>IFERROR(__xludf.DUMMYFUNCTION("""COMPUTED_VALUE"""),202.35)</f>
        <v>202.35</v>
      </c>
      <c r="D164" s="26">
        <f t="shared" si="1"/>
        <v>0.01535450851</v>
      </c>
      <c r="E164" s="26">
        <f t="shared" si="2"/>
        <v>0.01535450851</v>
      </c>
    </row>
    <row r="165">
      <c r="B165" s="27">
        <f>IFERROR(__xludf.DUMMYFUNCTION("""COMPUTED_VALUE"""),42293.66666666667)</f>
        <v>42293.66667</v>
      </c>
      <c r="C165" s="2">
        <f>IFERROR(__xludf.DUMMYFUNCTION("""COMPUTED_VALUE"""),203.27)</f>
        <v>203.27</v>
      </c>
      <c r="D165" s="26">
        <f t="shared" si="1"/>
        <v>0.004546577712</v>
      </c>
      <c r="E165" s="26">
        <f t="shared" si="2"/>
        <v>0.004546577712</v>
      </c>
    </row>
    <row r="166">
      <c r="B166" s="27">
        <f>IFERROR(__xludf.DUMMYFUNCTION("""COMPUTED_VALUE"""),42296.66666666667)</f>
        <v>42296.66667</v>
      </c>
      <c r="C166" s="2">
        <f>IFERROR(__xludf.DUMMYFUNCTION("""COMPUTED_VALUE"""),203.37)</f>
        <v>203.37</v>
      </c>
      <c r="D166" s="26">
        <f t="shared" si="1"/>
        <v>0.000491956511</v>
      </c>
      <c r="E166" s="26">
        <f t="shared" si="2"/>
        <v>0.000491956511</v>
      </c>
    </row>
    <row r="167">
      <c r="B167" s="27">
        <f>IFERROR(__xludf.DUMMYFUNCTION("""COMPUTED_VALUE"""),42297.66666666667)</f>
        <v>42297.66667</v>
      </c>
      <c r="C167" s="2">
        <f>IFERROR(__xludf.DUMMYFUNCTION("""COMPUTED_VALUE"""),203.09)</f>
        <v>203.09</v>
      </c>
      <c r="D167" s="26">
        <f t="shared" si="1"/>
        <v>-0.001376800905</v>
      </c>
      <c r="E167" s="26">
        <f t="shared" si="2"/>
        <v>0.001376800905</v>
      </c>
    </row>
    <row r="168">
      <c r="B168" s="27">
        <f>IFERROR(__xludf.DUMMYFUNCTION("""COMPUTED_VALUE"""),42298.66666666667)</f>
        <v>42298.66667</v>
      </c>
      <c r="C168" s="2">
        <f>IFERROR(__xludf.DUMMYFUNCTION("""COMPUTED_VALUE"""),201.85)</f>
        <v>201.85</v>
      </c>
      <c r="D168" s="26">
        <f t="shared" si="1"/>
        <v>-0.006105667438</v>
      </c>
      <c r="E168" s="26">
        <f t="shared" si="2"/>
        <v>0.006105667438</v>
      </c>
    </row>
    <row r="169">
      <c r="B169" s="27">
        <f>IFERROR(__xludf.DUMMYFUNCTION("""COMPUTED_VALUE"""),42299.66666666667)</f>
        <v>42299.66667</v>
      </c>
      <c r="C169" s="2">
        <f>IFERROR(__xludf.DUMMYFUNCTION("""COMPUTED_VALUE"""),205.26)</f>
        <v>205.26</v>
      </c>
      <c r="D169" s="26">
        <f t="shared" si="1"/>
        <v>0.01689373297</v>
      </c>
      <c r="E169" s="26">
        <f t="shared" si="2"/>
        <v>0.01689373297</v>
      </c>
    </row>
    <row r="170">
      <c r="B170" s="27">
        <f>IFERROR(__xludf.DUMMYFUNCTION("""COMPUTED_VALUE"""),42300.66666666667)</f>
        <v>42300.66667</v>
      </c>
      <c r="C170" s="2">
        <f>IFERROR(__xludf.DUMMYFUNCTION("""COMPUTED_VALUE"""),207.51)</f>
        <v>207.51</v>
      </c>
      <c r="D170" s="26">
        <f t="shared" si="1"/>
        <v>0.0109617071</v>
      </c>
      <c r="E170" s="26">
        <f t="shared" si="2"/>
        <v>0.0109617071</v>
      </c>
    </row>
    <row r="171">
      <c r="B171" s="27">
        <f>IFERROR(__xludf.DUMMYFUNCTION("""COMPUTED_VALUE"""),42303.66666666667)</f>
        <v>42303.66667</v>
      </c>
      <c r="C171" s="2">
        <f>IFERROR(__xludf.DUMMYFUNCTION("""COMPUTED_VALUE"""),207.0)</f>
        <v>207</v>
      </c>
      <c r="D171" s="26">
        <f t="shared" si="1"/>
        <v>-0.002457712881</v>
      </c>
      <c r="E171" s="26">
        <f t="shared" si="2"/>
        <v>0.002457712881</v>
      </c>
    </row>
    <row r="172">
      <c r="B172" s="27">
        <f>IFERROR(__xludf.DUMMYFUNCTION("""COMPUTED_VALUE"""),42304.66666666667)</f>
        <v>42304.66667</v>
      </c>
      <c r="C172" s="2">
        <f>IFERROR(__xludf.DUMMYFUNCTION("""COMPUTED_VALUE"""),206.6)</f>
        <v>206.6</v>
      </c>
      <c r="D172" s="26">
        <f t="shared" si="1"/>
        <v>-0.00193236715</v>
      </c>
      <c r="E172" s="26">
        <f t="shared" si="2"/>
        <v>0.00193236715</v>
      </c>
    </row>
    <row r="173">
      <c r="B173" s="27">
        <f>IFERROR(__xludf.DUMMYFUNCTION("""COMPUTED_VALUE"""),42305.66666666667)</f>
        <v>42305.66667</v>
      </c>
      <c r="C173" s="2">
        <f>IFERROR(__xludf.DUMMYFUNCTION("""COMPUTED_VALUE"""),208.95)</f>
        <v>208.95</v>
      </c>
      <c r="D173" s="26">
        <f t="shared" si="1"/>
        <v>0.01137463698</v>
      </c>
      <c r="E173" s="26">
        <f t="shared" si="2"/>
        <v>0.01137463698</v>
      </c>
    </row>
    <row r="174">
      <c r="B174" s="27">
        <f>IFERROR(__xludf.DUMMYFUNCTION("""COMPUTED_VALUE"""),42306.66666666667)</f>
        <v>42306.66667</v>
      </c>
      <c r="C174" s="2">
        <f>IFERROR(__xludf.DUMMYFUNCTION("""COMPUTED_VALUE"""),208.83)</f>
        <v>208.83</v>
      </c>
      <c r="D174" s="26">
        <f t="shared" si="1"/>
        <v>-0.0005743000718</v>
      </c>
      <c r="E174" s="26">
        <f t="shared" si="2"/>
        <v>0.0005743000718</v>
      </c>
    </row>
    <row r="175">
      <c r="B175" s="27">
        <f>IFERROR(__xludf.DUMMYFUNCTION("""COMPUTED_VALUE"""),42307.66666666667)</f>
        <v>42307.66667</v>
      </c>
      <c r="C175" s="2">
        <f>IFERROR(__xludf.DUMMYFUNCTION("""COMPUTED_VALUE"""),207.93)</f>
        <v>207.93</v>
      </c>
      <c r="D175" s="26">
        <f t="shared" si="1"/>
        <v>-0.004309725614</v>
      </c>
      <c r="E175" s="26">
        <f t="shared" si="2"/>
        <v>0.004309725614</v>
      </c>
    </row>
    <row r="176">
      <c r="B176" s="27">
        <f>IFERROR(__xludf.DUMMYFUNCTION("""COMPUTED_VALUE"""),42310.66666666667)</f>
        <v>42310.66667</v>
      </c>
      <c r="C176" s="2">
        <f>IFERROR(__xludf.DUMMYFUNCTION("""COMPUTED_VALUE"""),210.39)</f>
        <v>210.39</v>
      </c>
      <c r="D176" s="26">
        <f t="shared" si="1"/>
        <v>0.01183090463</v>
      </c>
      <c r="E176" s="26">
        <f t="shared" si="2"/>
        <v>0.01183090463</v>
      </c>
    </row>
    <row r="177">
      <c r="B177" s="27">
        <f>IFERROR(__xludf.DUMMYFUNCTION("""COMPUTED_VALUE"""),42311.66666666667)</f>
        <v>42311.66667</v>
      </c>
      <c r="C177" s="2">
        <f>IFERROR(__xludf.DUMMYFUNCTION("""COMPUTED_VALUE"""),211.0)</f>
        <v>211</v>
      </c>
      <c r="D177" s="26">
        <f t="shared" si="1"/>
        <v>0.002899377347</v>
      </c>
      <c r="E177" s="26">
        <f t="shared" si="2"/>
        <v>0.002899377347</v>
      </c>
    </row>
    <row r="178">
      <c r="B178" s="27">
        <f>IFERROR(__xludf.DUMMYFUNCTION("""COMPUTED_VALUE"""),42312.66666666667)</f>
        <v>42312.66667</v>
      </c>
      <c r="C178" s="2">
        <f>IFERROR(__xludf.DUMMYFUNCTION("""COMPUTED_VALUE"""),210.36)</f>
        <v>210.36</v>
      </c>
      <c r="D178" s="26">
        <f t="shared" si="1"/>
        <v>-0.003033175355</v>
      </c>
      <c r="E178" s="26">
        <f t="shared" si="2"/>
        <v>0.003033175355</v>
      </c>
    </row>
    <row r="179">
      <c r="B179" s="27">
        <f>IFERROR(__xludf.DUMMYFUNCTION("""COMPUTED_VALUE"""),42313.66666666667)</f>
        <v>42313.66667</v>
      </c>
      <c r="C179" s="2">
        <f>IFERROR(__xludf.DUMMYFUNCTION("""COMPUTED_VALUE"""),210.15)</f>
        <v>210.15</v>
      </c>
      <c r="D179" s="26">
        <f t="shared" si="1"/>
        <v>-0.000998288648</v>
      </c>
      <c r="E179" s="26">
        <f t="shared" si="2"/>
        <v>0.000998288648</v>
      </c>
    </row>
    <row r="180">
      <c r="B180" s="27">
        <f>IFERROR(__xludf.DUMMYFUNCTION("""COMPUTED_VALUE"""),42314.66666666667)</f>
        <v>42314.66667</v>
      </c>
      <c r="C180" s="2">
        <f>IFERROR(__xludf.DUMMYFUNCTION("""COMPUTED_VALUE"""),210.04)</f>
        <v>210.04</v>
      </c>
      <c r="D180" s="26">
        <f t="shared" si="1"/>
        <v>-0.0005234356412</v>
      </c>
      <c r="E180" s="26">
        <f t="shared" si="2"/>
        <v>0.0005234356412</v>
      </c>
    </row>
    <row r="181">
      <c r="B181" s="27">
        <f>IFERROR(__xludf.DUMMYFUNCTION("""COMPUTED_VALUE"""),42317.66666666667)</f>
        <v>42317.66667</v>
      </c>
      <c r="C181" s="2">
        <f>IFERROR(__xludf.DUMMYFUNCTION("""COMPUTED_VALUE"""),208.08)</f>
        <v>208.08</v>
      </c>
      <c r="D181" s="26">
        <f t="shared" si="1"/>
        <v>-0.009331555894</v>
      </c>
      <c r="E181" s="26">
        <f t="shared" si="2"/>
        <v>0.009331555894</v>
      </c>
    </row>
    <row r="182">
      <c r="B182" s="27">
        <f>IFERROR(__xludf.DUMMYFUNCTION("""COMPUTED_VALUE"""),42318.66666666667)</f>
        <v>42318.66667</v>
      </c>
      <c r="C182" s="2">
        <f>IFERROR(__xludf.DUMMYFUNCTION("""COMPUTED_VALUE"""),208.56)</f>
        <v>208.56</v>
      </c>
      <c r="D182" s="26">
        <f t="shared" si="1"/>
        <v>0.002306805075</v>
      </c>
      <c r="E182" s="26">
        <f t="shared" si="2"/>
        <v>0.002306805075</v>
      </c>
    </row>
    <row r="183">
      <c r="B183" s="27">
        <f>IFERROR(__xludf.DUMMYFUNCTION("""COMPUTED_VALUE"""),42319.66666666667)</f>
        <v>42319.66667</v>
      </c>
      <c r="C183" s="2">
        <f>IFERROR(__xludf.DUMMYFUNCTION("""COMPUTED_VALUE"""),207.74)</f>
        <v>207.74</v>
      </c>
      <c r="D183" s="26">
        <f t="shared" si="1"/>
        <v>-0.003931722286</v>
      </c>
      <c r="E183" s="26">
        <f t="shared" si="2"/>
        <v>0.003931722286</v>
      </c>
    </row>
    <row r="184">
      <c r="B184" s="27">
        <f>IFERROR(__xludf.DUMMYFUNCTION("""COMPUTED_VALUE"""),42320.66666666667)</f>
        <v>42320.66667</v>
      </c>
      <c r="C184" s="2">
        <f>IFERROR(__xludf.DUMMYFUNCTION("""COMPUTED_VALUE"""),204.84)</f>
        <v>204.84</v>
      </c>
      <c r="D184" s="26">
        <f t="shared" si="1"/>
        <v>-0.01395975739</v>
      </c>
      <c r="E184" s="26">
        <f t="shared" si="2"/>
        <v>0.01395975739</v>
      </c>
    </row>
    <row r="185">
      <c r="B185" s="27">
        <f>IFERROR(__xludf.DUMMYFUNCTION("""COMPUTED_VALUE"""),42321.66666666667)</f>
        <v>42321.66667</v>
      </c>
      <c r="C185" s="2">
        <f>IFERROR(__xludf.DUMMYFUNCTION("""COMPUTED_VALUE"""),202.54)</f>
        <v>202.54</v>
      </c>
      <c r="D185" s="26">
        <f t="shared" si="1"/>
        <v>-0.01122827573</v>
      </c>
      <c r="E185" s="26">
        <f t="shared" si="2"/>
        <v>0.01122827573</v>
      </c>
    </row>
    <row r="186">
      <c r="B186" s="27">
        <f>IFERROR(__xludf.DUMMYFUNCTION("""COMPUTED_VALUE"""),42324.66666666667)</f>
        <v>42324.66667</v>
      </c>
      <c r="C186" s="2">
        <f>IFERROR(__xludf.DUMMYFUNCTION("""COMPUTED_VALUE"""),205.62)</f>
        <v>205.62</v>
      </c>
      <c r="D186" s="26">
        <f t="shared" si="1"/>
        <v>0.01520687272</v>
      </c>
      <c r="E186" s="26">
        <f t="shared" si="2"/>
        <v>0.01520687272</v>
      </c>
    </row>
    <row r="187">
      <c r="B187" s="27">
        <f>IFERROR(__xludf.DUMMYFUNCTION("""COMPUTED_VALUE"""),42325.66666666667)</f>
        <v>42325.66667</v>
      </c>
      <c r="C187" s="2">
        <f>IFERROR(__xludf.DUMMYFUNCTION("""COMPUTED_VALUE"""),205.47)</f>
        <v>205.47</v>
      </c>
      <c r="D187" s="26">
        <f t="shared" si="1"/>
        <v>-0.0007295010213</v>
      </c>
      <c r="E187" s="26">
        <f t="shared" si="2"/>
        <v>0.0007295010213</v>
      </c>
    </row>
    <row r="188">
      <c r="B188" s="27">
        <f>IFERROR(__xludf.DUMMYFUNCTION("""COMPUTED_VALUE"""),42326.66666666667)</f>
        <v>42326.66667</v>
      </c>
      <c r="C188" s="2">
        <f>IFERROR(__xludf.DUMMYFUNCTION("""COMPUTED_VALUE"""),208.73)</f>
        <v>208.73</v>
      </c>
      <c r="D188" s="26">
        <f t="shared" si="1"/>
        <v>0.01586606317</v>
      </c>
      <c r="E188" s="26">
        <f t="shared" si="2"/>
        <v>0.01586606317</v>
      </c>
    </row>
    <row r="189">
      <c r="B189" s="27">
        <f>IFERROR(__xludf.DUMMYFUNCTION("""COMPUTED_VALUE"""),42327.66666666667)</f>
        <v>42327.66667</v>
      </c>
      <c r="C189" s="2">
        <f>IFERROR(__xludf.DUMMYFUNCTION("""COMPUTED_VALUE"""),208.55)</f>
        <v>208.55</v>
      </c>
      <c r="D189" s="26">
        <f t="shared" si="1"/>
        <v>-0.0008623580702</v>
      </c>
      <c r="E189" s="26">
        <f t="shared" si="2"/>
        <v>0.0008623580702</v>
      </c>
    </row>
    <row r="190">
      <c r="B190" s="27">
        <f>IFERROR(__xludf.DUMMYFUNCTION("""COMPUTED_VALUE"""),42328.66666666667)</f>
        <v>42328.66667</v>
      </c>
      <c r="C190" s="2">
        <f>IFERROR(__xludf.DUMMYFUNCTION("""COMPUTED_VALUE"""),209.31)</f>
        <v>209.31</v>
      </c>
      <c r="D190" s="26">
        <f t="shared" si="1"/>
        <v>0.003644210022</v>
      </c>
      <c r="E190" s="26">
        <f t="shared" si="2"/>
        <v>0.003644210022</v>
      </c>
    </row>
    <row r="191">
      <c r="B191" s="27">
        <f>IFERROR(__xludf.DUMMYFUNCTION("""COMPUTED_VALUE"""),42331.66666666667)</f>
        <v>42331.66667</v>
      </c>
      <c r="C191" s="2">
        <f>IFERROR(__xludf.DUMMYFUNCTION("""COMPUTED_VALUE"""),209.07)</f>
        <v>209.07</v>
      </c>
      <c r="D191" s="26">
        <f t="shared" si="1"/>
        <v>-0.001146624624</v>
      </c>
      <c r="E191" s="26">
        <f t="shared" si="2"/>
        <v>0.001146624624</v>
      </c>
    </row>
    <row r="192">
      <c r="B192" s="27">
        <f>IFERROR(__xludf.DUMMYFUNCTION("""COMPUTED_VALUE"""),42332.66666666667)</f>
        <v>42332.66667</v>
      </c>
      <c r="C192" s="2">
        <f>IFERROR(__xludf.DUMMYFUNCTION("""COMPUTED_VALUE"""),209.35)</f>
        <v>209.35</v>
      </c>
      <c r="D192" s="26">
        <f t="shared" si="1"/>
        <v>0.001339264361</v>
      </c>
      <c r="E192" s="26">
        <f t="shared" si="2"/>
        <v>0.001339264361</v>
      </c>
    </row>
    <row r="193">
      <c r="B193" s="27">
        <f>IFERROR(__xludf.DUMMYFUNCTION("""COMPUTED_VALUE"""),42333.66666666667)</f>
        <v>42333.66667</v>
      </c>
      <c r="C193" s="2">
        <f>IFERROR(__xludf.DUMMYFUNCTION("""COMPUTED_VALUE"""),209.32)</f>
        <v>209.32</v>
      </c>
      <c r="D193" s="26">
        <f t="shared" si="1"/>
        <v>-0.0001433006926</v>
      </c>
      <c r="E193" s="26">
        <f t="shared" si="2"/>
        <v>0.0001433006926</v>
      </c>
    </row>
    <row r="194">
      <c r="B194" s="27">
        <f>IFERROR(__xludf.DUMMYFUNCTION("""COMPUTED_VALUE"""),42335.66666666667)</f>
        <v>42335.66667</v>
      </c>
      <c r="C194" s="2">
        <f>IFERROR(__xludf.DUMMYFUNCTION("""COMPUTED_VALUE"""),209.56)</f>
        <v>209.56</v>
      </c>
      <c r="D194" s="26">
        <f t="shared" si="1"/>
        <v>0.001146569845</v>
      </c>
      <c r="E194" s="26">
        <f t="shared" si="2"/>
        <v>0.001146569845</v>
      </c>
    </row>
    <row r="195">
      <c r="B195" s="27">
        <f>IFERROR(__xludf.DUMMYFUNCTION("""COMPUTED_VALUE"""),42338.66666666667)</f>
        <v>42338.66667</v>
      </c>
      <c r="C195" s="2">
        <f>IFERROR(__xludf.DUMMYFUNCTION("""COMPUTED_VALUE"""),208.69)</f>
        <v>208.69</v>
      </c>
      <c r="D195" s="26">
        <f t="shared" si="1"/>
        <v>-0.00415155564</v>
      </c>
      <c r="E195" s="26">
        <f t="shared" si="2"/>
        <v>0.00415155564</v>
      </c>
    </row>
    <row r="196">
      <c r="B196" s="27">
        <f>IFERROR(__xludf.DUMMYFUNCTION("""COMPUTED_VALUE"""),42339.66666666667)</f>
        <v>42339.66667</v>
      </c>
      <c r="C196" s="2">
        <f>IFERROR(__xludf.DUMMYFUNCTION("""COMPUTED_VALUE"""),210.68)</f>
        <v>210.68</v>
      </c>
      <c r="D196" s="26">
        <f t="shared" si="1"/>
        <v>0.009535674925</v>
      </c>
      <c r="E196" s="26">
        <f t="shared" si="2"/>
        <v>0.009535674925</v>
      </c>
    </row>
    <row r="197">
      <c r="B197" s="27">
        <f>IFERROR(__xludf.DUMMYFUNCTION("""COMPUTED_VALUE"""),42340.66666666667)</f>
        <v>42340.66667</v>
      </c>
      <c r="C197" s="2">
        <f>IFERROR(__xludf.DUMMYFUNCTION("""COMPUTED_VALUE"""),208.53)</f>
        <v>208.53</v>
      </c>
      <c r="D197" s="26">
        <f t="shared" si="1"/>
        <v>-0.01020505031</v>
      </c>
      <c r="E197" s="26">
        <f t="shared" si="2"/>
        <v>0.01020505031</v>
      </c>
    </row>
    <row r="198">
      <c r="B198" s="27">
        <f>IFERROR(__xludf.DUMMYFUNCTION("""COMPUTED_VALUE"""),42341.66666666667)</f>
        <v>42341.66667</v>
      </c>
      <c r="C198" s="2">
        <f>IFERROR(__xludf.DUMMYFUNCTION("""COMPUTED_VALUE"""),205.61)</f>
        <v>205.61</v>
      </c>
      <c r="D198" s="26">
        <f t="shared" si="1"/>
        <v>-0.01400278137</v>
      </c>
      <c r="E198" s="26">
        <f t="shared" si="2"/>
        <v>0.01400278137</v>
      </c>
    </row>
    <row r="199">
      <c r="B199" s="27">
        <f>IFERROR(__xludf.DUMMYFUNCTION("""COMPUTED_VALUE"""),42342.66666666667)</f>
        <v>42342.66667</v>
      </c>
      <c r="C199" s="2">
        <f>IFERROR(__xludf.DUMMYFUNCTION("""COMPUTED_VALUE"""),209.62)</f>
        <v>209.62</v>
      </c>
      <c r="D199" s="26">
        <f t="shared" si="1"/>
        <v>0.01950294246</v>
      </c>
      <c r="E199" s="26">
        <f t="shared" si="2"/>
        <v>0.01950294246</v>
      </c>
    </row>
    <row r="200">
      <c r="B200" s="27">
        <f>IFERROR(__xludf.DUMMYFUNCTION("""COMPUTED_VALUE"""),42345.66666666667)</f>
        <v>42345.66667</v>
      </c>
      <c r="C200" s="2">
        <f>IFERROR(__xludf.DUMMYFUNCTION("""COMPUTED_VALUE"""),208.35)</f>
        <v>208.35</v>
      </c>
      <c r="D200" s="26">
        <f t="shared" si="1"/>
        <v>-0.006058582196</v>
      </c>
      <c r="E200" s="26">
        <f t="shared" si="2"/>
        <v>0.006058582196</v>
      </c>
    </row>
    <row r="201">
      <c r="B201" s="27">
        <f>IFERROR(__xludf.DUMMYFUNCTION("""COMPUTED_VALUE"""),42346.66666666667)</f>
        <v>42346.66667</v>
      </c>
      <c r="C201" s="2">
        <f>IFERROR(__xludf.DUMMYFUNCTION("""COMPUTED_VALUE"""),206.95)</f>
        <v>206.95</v>
      </c>
      <c r="D201" s="26">
        <f t="shared" si="1"/>
        <v>-0.006719462443</v>
      </c>
      <c r="E201" s="26">
        <f t="shared" si="2"/>
        <v>0.006719462443</v>
      </c>
    </row>
    <row r="202">
      <c r="B202" s="27">
        <f>IFERROR(__xludf.DUMMYFUNCTION("""COMPUTED_VALUE"""),42347.66666666667)</f>
        <v>42347.66667</v>
      </c>
      <c r="C202" s="2">
        <f>IFERROR(__xludf.DUMMYFUNCTION("""COMPUTED_VALUE"""),205.34)</f>
        <v>205.34</v>
      </c>
      <c r="D202" s="26">
        <f t="shared" si="1"/>
        <v>-0.007779656922</v>
      </c>
      <c r="E202" s="26">
        <f t="shared" si="2"/>
        <v>0.007779656922</v>
      </c>
    </row>
    <row r="203">
      <c r="B203" s="27">
        <f>IFERROR(__xludf.DUMMYFUNCTION("""COMPUTED_VALUE"""),42348.66666666667)</f>
        <v>42348.66667</v>
      </c>
      <c r="C203" s="2">
        <f>IFERROR(__xludf.DUMMYFUNCTION("""COMPUTED_VALUE"""),205.87)</f>
        <v>205.87</v>
      </c>
      <c r="D203" s="26">
        <f t="shared" si="1"/>
        <v>0.00258108503</v>
      </c>
      <c r="E203" s="26">
        <f t="shared" si="2"/>
        <v>0.00258108503</v>
      </c>
    </row>
    <row r="204">
      <c r="B204" s="27">
        <f>IFERROR(__xludf.DUMMYFUNCTION("""COMPUTED_VALUE"""),42349.66666666667)</f>
        <v>42349.66667</v>
      </c>
      <c r="C204" s="2">
        <f>IFERROR(__xludf.DUMMYFUNCTION("""COMPUTED_VALUE"""),201.88)</f>
        <v>201.88</v>
      </c>
      <c r="D204" s="26">
        <f t="shared" si="1"/>
        <v>-0.01938116287</v>
      </c>
      <c r="E204" s="26">
        <f t="shared" si="2"/>
        <v>0.01938116287</v>
      </c>
    </row>
    <row r="205">
      <c r="B205" s="27">
        <f>IFERROR(__xludf.DUMMYFUNCTION("""COMPUTED_VALUE"""),42352.66666666667)</f>
        <v>42352.66667</v>
      </c>
      <c r="C205" s="2">
        <f>IFERROR(__xludf.DUMMYFUNCTION("""COMPUTED_VALUE"""),202.9)</f>
        <v>202.9</v>
      </c>
      <c r="D205" s="26">
        <f t="shared" si="1"/>
        <v>0.005052506439</v>
      </c>
      <c r="E205" s="26">
        <f t="shared" si="2"/>
        <v>0.005052506439</v>
      </c>
    </row>
    <row r="206">
      <c r="B206" s="27">
        <f>IFERROR(__xludf.DUMMYFUNCTION("""COMPUTED_VALUE"""),42353.66666666667)</f>
        <v>42353.66667</v>
      </c>
      <c r="C206" s="2">
        <f>IFERROR(__xludf.DUMMYFUNCTION("""COMPUTED_VALUE"""),205.03)</f>
        <v>205.03</v>
      </c>
      <c r="D206" s="26">
        <f t="shared" si="1"/>
        <v>0.01049778216</v>
      </c>
      <c r="E206" s="26">
        <f t="shared" si="2"/>
        <v>0.01049778216</v>
      </c>
    </row>
    <row r="207">
      <c r="B207" s="27">
        <f>IFERROR(__xludf.DUMMYFUNCTION("""COMPUTED_VALUE"""),42354.66666666667)</f>
        <v>42354.66667</v>
      </c>
      <c r="C207" s="2">
        <f>IFERROR(__xludf.DUMMYFUNCTION("""COMPUTED_VALUE"""),208.03)</f>
        <v>208.03</v>
      </c>
      <c r="D207" s="26">
        <f t="shared" si="1"/>
        <v>0.01463200507</v>
      </c>
      <c r="E207" s="26">
        <f t="shared" si="2"/>
        <v>0.01463200507</v>
      </c>
    </row>
    <row r="208">
      <c r="B208" s="27">
        <f>IFERROR(__xludf.DUMMYFUNCTION("""COMPUTED_VALUE"""),42355.66666666667)</f>
        <v>42355.66667</v>
      </c>
      <c r="C208" s="2">
        <f>IFERROR(__xludf.DUMMYFUNCTION("""COMPUTED_VALUE"""),204.86)</f>
        <v>204.86</v>
      </c>
      <c r="D208" s="26">
        <f t="shared" si="1"/>
        <v>-0.0152381868</v>
      </c>
      <c r="E208" s="26">
        <f t="shared" si="2"/>
        <v>0.0152381868</v>
      </c>
    </row>
    <row r="209">
      <c r="B209" s="27">
        <f>IFERROR(__xludf.DUMMYFUNCTION("""COMPUTED_VALUE"""),42356.66666666667)</f>
        <v>42356.66667</v>
      </c>
      <c r="C209" s="2">
        <f>IFERROR(__xludf.DUMMYFUNCTION("""COMPUTED_VALUE"""),200.02)</f>
        <v>200.02</v>
      </c>
      <c r="D209" s="26">
        <f t="shared" si="1"/>
        <v>-0.02362589085</v>
      </c>
      <c r="E209" s="26">
        <f t="shared" si="2"/>
        <v>0.02362589085</v>
      </c>
    </row>
    <row r="210">
      <c r="B210" s="27">
        <f>IFERROR(__xludf.DUMMYFUNCTION("""COMPUTED_VALUE"""),42359.66666666667)</f>
        <v>42359.66667</v>
      </c>
      <c r="C210" s="2">
        <f>IFERROR(__xludf.DUMMYFUNCTION("""COMPUTED_VALUE"""),201.67)</f>
        <v>201.67</v>
      </c>
      <c r="D210" s="26">
        <f t="shared" si="1"/>
        <v>0.008249175082</v>
      </c>
      <c r="E210" s="26">
        <f t="shared" si="2"/>
        <v>0.008249175082</v>
      </c>
    </row>
    <row r="211">
      <c r="B211" s="27">
        <f>IFERROR(__xludf.DUMMYFUNCTION("""COMPUTED_VALUE"""),42360.66666666667)</f>
        <v>42360.66667</v>
      </c>
      <c r="C211" s="2">
        <f>IFERROR(__xludf.DUMMYFUNCTION("""COMPUTED_VALUE"""),203.5)</f>
        <v>203.5</v>
      </c>
      <c r="D211" s="26">
        <f t="shared" si="1"/>
        <v>0.009074230178</v>
      </c>
      <c r="E211" s="26">
        <f t="shared" si="2"/>
        <v>0.009074230178</v>
      </c>
    </row>
    <row r="212">
      <c r="B212" s="27">
        <f>IFERROR(__xludf.DUMMYFUNCTION("""COMPUTED_VALUE"""),42361.66666666667)</f>
        <v>42361.66667</v>
      </c>
      <c r="C212" s="2">
        <f>IFERROR(__xludf.DUMMYFUNCTION("""COMPUTED_VALUE"""),206.02)</f>
        <v>206.02</v>
      </c>
      <c r="D212" s="26">
        <f t="shared" si="1"/>
        <v>0.01238329238</v>
      </c>
      <c r="E212" s="26">
        <f t="shared" si="2"/>
        <v>0.01238329238</v>
      </c>
    </row>
    <row r="213">
      <c r="B213" s="27">
        <f>IFERROR(__xludf.DUMMYFUNCTION("""COMPUTED_VALUE"""),42362.66666666667)</f>
        <v>42362.66667</v>
      </c>
      <c r="C213" s="2">
        <f>IFERROR(__xludf.DUMMYFUNCTION("""COMPUTED_VALUE"""),205.68)</f>
        <v>205.68</v>
      </c>
      <c r="D213" s="26">
        <f t="shared" si="1"/>
        <v>-0.001650325211</v>
      </c>
      <c r="E213" s="26">
        <f t="shared" si="2"/>
        <v>0.001650325211</v>
      </c>
    </row>
    <row r="214">
      <c r="B214" s="27">
        <f>IFERROR(__xludf.DUMMYFUNCTION("""COMPUTED_VALUE"""),42366.66666666667)</f>
        <v>42366.66667</v>
      </c>
      <c r="C214" s="2">
        <f>IFERROR(__xludf.DUMMYFUNCTION("""COMPUTED_VALUE"""),205.21)</f>
        <v>205.21</v>
      </c>
      <c r="D214" s="26">
        <f t="shared" si="1"/>
        <v>-0.002285103073</v>
      </c>
      <c r="E214" s="26">
        <f t="shared" si="2"/>
        <v>0.002285103073</v>
      </c>
    </row>
    <row r="215">
      <c r="B215" s="27">
        <f>IFERROR(__xludf.DUMMYFUNCTION("""COMPUTED_VALUE"""),42367.66666666667)</f>
        <v>42367.66667</v>
      </c>
      <c r="C215" s="2">
        <f>IFERROR(__xludf.DUMMYFUNCTION("""COMPUTED_VALUE"""),207.4)</f>
        <v>207.4</v>
      </c>
      <c r="D215" s="26">
        <f t="shared" si="1"/>
        <v>0.01067199454</v>
      </c>
      <c r="E215" s="26">
        <f t="shared" si="2"/>
        <v>0.01067199454</v>
      </c>
    </row>
    <row r="216">
      <c r="B216" s="27">
        <f>IFERROR(__xludf.DUMMYFUNCTION("""COMPUTED_VALUE"""),42368.66666666667)</f>
        <v>42368.66667</v>
      </c>
      <c r="C216" s="2">
        <f>IFERROR(__xludf.DUMMYFUNCTION("""COMPUTED_VALUE"""),205.93)</f>
        <v>205.93</v>
      </c>
      <c r="D216" s="26">
        <f t="shared" si="1"/>
        <v>-0.007087753134</v>
      </c>
      <c r="E216" s="26">
        <f t="shared" si="2"/>
        <v>0.007087753134</v>
      </c>
    </row>
    <row r="217">
      <c r="B217" s="27">
        <f>IFERROR(__xludf.DUMMYFUNCTION("""COMPUTED_VALUE"""),42369.66666666667)</f>
        <v>42369.66667</v>
      </c>
      <c r="C217" s="2">
        <f>IFERROR(__xludf.DUMMYFUNCTION("""COMPUTED_VALUE"""),203.87)</f>
        <v>203.87</v>
      </c>
      <c r="D217" s="26">
        <f t="shared" si="1"/>
        <v>-0.01000339921</v>
      </c>
      <c r="E217" s="26">
        <f t="shared" si="2"/>
        <v>0.01000339921</v>
      </c>
    </row>
    <row r="218">
      <c r="B218" s="27">
        <f>IFERROR(__xludf.DUMMYFUNCTION("""COMPUTED_VALUE"""),42373.66666666667)</f>
        <v>42373.66667</v>
      </c>
      <c r="C218" s="2">
        <f>IFERROR(__xludf.DUMMYFUNCTION("""COMPUTED_VALUE"""),201.02)</f>
        <v>201.02</v>
      </c>
      <c r="D218" s="26">
        <f t="shared" si="1"/>
        <v>-0.01397949674</v>
      </c>
      <c r="E218" s="26">
        <f t="shared" si="2"/>
        <v>0.01397949674</v>
      </c>
    </row>
    <row r="219">
      <c r="B219" s="27">
        <f>IFERROR(__xludf.DUMMYFUNCTION("""COMPUTED_VALUE"""),42374.66666666667)</f>
        <v>42374.66667</v>
      </c>
      <c r="C219" s="2">
        <f>IFERROR(__xludf.DUMMYFUNCTION("""COMPUTED_VALUE"""),201.36)</f>
        <v>201.36</v>
      </c>
      <c r="D219" s="26">
        <f t="shared" si="1"/>
        <v>0.001691373993</v>
      </c>
      <c r="E219" s="26">
        <f t="shared" si="2"/>
        <v>0.001691373993</v>
      </c>
    </row>
    <row r="220">
      <c r="B220" s="27">
        <f>IFERROR(__xludf.DUMMYFUNCTION("""COMPUTED_VALUE"""),42375.66666666667)</f>
        <v>42375.66667</v>
      </c>
      <c r="C220" s="2">
        <f>IFERROR(__xludf.DUMMYFUNCTION("""COMPUTED_VALUE"""),198.82)</f>
        <v>198.82</v>
      </c>
      <c r="D220" s="26">
        <f t="shared" si="1"/>
        <v>-0.01261422328</v>
      </c>
      <c r="E220" s="26">
        <f t="shared" si="2"/>
        <v>0.01261422328</v>
      </c>
    </row>
    <row r="221">
      <c r="B221" s="27">
        <f>IFERROR(__xludf.DUMMYFUNCTION("""COMPUTED_VALUE"""),42376.66666666667)</f>
        <v>42376.66667</v>
      </c>
      <c r="C221" s="2">
        <f>IFERROR(__xludf.DUMMYFUNCTION("""COMPUTED_VALUE"""),194.05)</f>
        <v>194.05</v>
      </c>
      <c r="D221" s="26">
        <f t="shared" si="1"/>
        <v>-0.02399155015</v>
      </c>
      <c r="E221" s="26">
        <f t="shared" si="2"/>
        <v>0.02399155015</v>
      </c>
    </row>
    <row r="222">
      <c r="B222" s="27">
        <f>IFERROR(__xludf.DUMMYFUNCTION("""COMPUTED_VALUE"""),42377.66666666667)</f>
        <v>42377.66667</v>
      </c>
      <c r="C222" s="2">
        <f>IFERROR(__xludf.DUMMYFUNCTION("""COMPUTED_VALUE"""),191.92)</f>
        <v>191.92</v>
      </c>
      <c r="D222" s="26">
        <f t="shared" si="1"/>
        <v>-0.01097655243</v>
      </c>
      <c r="E222" s="26">
        <f t="shared" si="2"/>
        <v>0.01097655243</v>
      </c>
    </row>
    <row r="223">
      <c r="B223" s="27">
        <f>IFERROR(__xludf.DUMMYFUNCTION("""COMPUTED_VALUE"""),42380.66666666667)</f>
        <v>42380.66667</v>
      </c>
      <c r="C223" s="2">
        <f>IFERROR(__xludf.DUMMYFUNCTION("""COMPUTED_VALUE"""),192.11)</f>
        <v>192.11</v>
      </c>
      <c r="D223" s="26">
        <f t="shared" si="1"/>
        <v>0.0009899958316</v>
      </c>
      <c r="E223" s="26">
        <f t="shared" si="2"/>
        <v>0.0009899958316</v>
      </c>
    </row>
    <row r="224">
      <c r="B224" s="27">
        <f>IFERROR(__xludf.DUMMYFUNCTION("""COMPUTED_VALUE"""),42381.66666666667)</f>
        <v>42381.66667</v>
      </c>
      <c r="C224" s="2">
        <f>IFERROR(__xludf.DUMMYFUNCTION("""COMPUTED_VALUE"""),193.66)</f>
        <v>193.66</v>
      </c>
      <c r="D224" s="26">
        <f t="shared" si="1"/>
        <v>0.008068294206</v>
      </c>
      <c r="E224" s="26">
        <f t="shared" si="2"/>
        <v>0.008068294206</v>
      </c>
    </row>
    <row r="225">
      <c r="B225" s="27">
        <f>IFERROR(__xludf.DUMMYFUNCTION("""COMPUTED_VALUE"""),42382.66666666667)</f>
        <v>42382.66667</v>
      </c>
      <c r="C225" s="2">
        <f>IFERROR(__xludf.DUMMYFUNCTION("""COMPUTED_VALUE"""),188.83)</f>
        <v>188.83</v>
      </c>
      <c r="D225" s="26">
        <f t="shared" si="1"/>
        <v>-0.02494061758</v>
      </c>
      <c r="E225" s="26">
        <f t="shared" si="2"/>
        <v>0.02494061758</v>
      </c>
    </row>
    <row r="226">
      <c r="B226" s="27">
        <f>IFERROR(__xludf.DUMMYFUNCTION("""COMPUTED_VALUE"""),42383.66666666667)</f>
        <v>42383.66667</v>
      </c>
      <c r="C226" s="2">
        <f>IFERROR(__xludf.DUMMYFUNCTION("""COMPUTED_VALUE"""),191.93)</f>
        <v>191.93</v>
      </c>
      <c r="D226" s="26">
        <f t="shared" si="1"/>
        <v>0.01641688291</v>
      </c>
      <c r="E226" s="26">
        <f t="shared" si="2"/>
        <v>0.01641688291</v>
      </c>
    </row>
    <row r="227">
      <c r="B227" s="27">
        <f>IFERROR(__xludf.DUMMYFUNCTION("""COMPUTED_VALUE"""),42384.66666666667)</f>
        <v>42384.66667</v>
      </c>
      <c r="C227" s="2">
        <f>IFERROR(__xludf.DUMMYFUNCTION("""COMPUTED_VALUE"""),187.81)</f>
        <v>187.81</v>
      </c>
      <c r="D227" s="26">
        <f t="shared" si="1"/>
        <v>-0.02146615954</v>
      </c>
      <c r="E227" s="26">
        <f t="shared" si="2"/>
        <v>0.02146615954</v>
      </c>
    </row>
    <row r="228">
      <c r="B228" s="27">
        <f>IFERROR(__xludf.DUMMYFUNCTION("""COMPUTED_VALUE"""),42388.66666666667)</f>
        <v>42388.66667</v>
      </c>
      <c r="C228" s="2">
        <f>IFERROR(__xludf.DUMMYFUNCTION("""COMPUTED_VALUE"""),188.06)</f>
        <v>188.06</v>
      </c>
      <c r="D228" s="26">
        <f t="shared" si="1"/>
        <v>0.001331132528</v>
      </c>
      <c r="E228" s="26">
        <f t="shared" si="2"/>
        <v>0.001331132528</v>
      </c>
    </row>
    <row r="229">
      <c r="B229" s="27">
        <f>IFERROR(__xludf.DUMMYFUNCTION("""COMPUTED_VALUE"""),42389.66666666667)</f>
        <v>42389.66667</v>
      </c>
      <c r="C229" s="2">
        <f>IFERROR(__xludf.DUMMYFUNCTION("""COMPUTED_VALUE"""),185.65)</f>
        <v>185.65</v>
      </c>
      <c r="D229" s="26">
        <f t="shared" si="1"/>
        <v>-0.01281505902</v>
      </c>
      <c r="E229" s="26">
        <f t="shared" si="2"/>
        <v>0.01281505902</v>
      </c>
    </row>
    <row r="230">
      <c r="B230" s="27">
        <f>IFERROR(__xludf.DUMMYFUNCTION("""COMPUTED_VALUE"""),42390.66666666667)</f>
        <v>42390.66667</v>
      </c>
      <c r="C230" s="2">
        <f>IFERROR(__xludf.DUMMYFUNCTION("""COMPUTED_VALUE"""),186.69)</f>
        <v>186.69</v>
      </c>
      <c r="D230" s="26">
        <f t="shared" si="1"/>
        <v>0.005601939133</v>
      </c>
      <c r="E230" s="26">
        <f t="shared" si="2"/>
        <v>0.005601939133</v>
      </c>
    </row>
    <row r="231">
      <c r="B231" s="27">
        <f>IFERROR(__xludf.DUMMYFUNCTION("""COMPUTED_VALUE"""),42391.66666666667)</f>
        <v>42391.66667</v>
      </c>
      <c r="C231" s="2">
        <f>IFERROR(__xludf.DUMMYFUNCTION("""COMPUTED_VALUE"""),190.52)</f>
        <v>190.52</v>
      </c>
      <c r="D231" s="26">
        <f t="shared" si="1"/>
        <v>0.02051529273</v>
      </c>
      <c r="E231" s="26">
        <f t="shared" si="2"/>
        <v>0.02051529273</v>
      </c>
    </row>
    <row r="232">
      <c r="B232" s="27">
        <f>IFERROR(__xludf.DUMMYFUNCTION("""COMPUTED_VALUE"""),42394.66666666667)</f>
        <v>42394.66667</v>
      </c>
      <c r="C232" s="2">
        <f>IFERROR(__xludf.DUMMYFUNCTION("""COMPUTED_VALUE"""),187.64)</f>
        <v>187.64</v>
      </c>
      <c r="D232" s="26">
        <f t="shared" si="1"/>
        <v>-0.0151165232</v>
      </c>
      <c r="E232" s="26">
        <f t="shared" si="2"/>
        <v>0.0151165232</v>
      </c>
    </row>
    <row r="233">
      <c r="B233" s="27">
        <f>IFERROR(__xludf.DUMMYFUNCTION("""COMPUTED_VALUE"""),42395.66666666667)</f>
        <v>42395.66667</v>
      </c>
      <c r="C233" s="2">
        <f>IFERROR(__xludf.DUMMYFUNCTION("""COMPUTED_VALUE"""),190.2)</f>
        <v>190.2</v>
      </c>
      <c r="D233" s="26">
        <f t="shared" si="1"/>
        <v>0.01364314645</v>
      </c>
      <c r="E233" s="26">
        <f t="shared" si="2"/>
        <v>0.01364314645</v>
      </c>
    </row>
    <row r="234">
      <c r="B234" s="27">
        <f>IFERROR(__xludf.DUMMYFUNCTION("""COMPUTED_VALUE"""),42396.66666666667)</f>
        <v>42396.66667</v>
      </c>
      <c r="C234" s="2">
        <f>IFERROR(__xludf.DUMMYFUNCTION("""COMPUTED_VALUE"""),188.13)</f>
        <v>188.13</v>
      </c>
      <c r="D234" s="26">
        <f t="shared" si="1"/>
        <v>-0.01088328076</v>
      </c>
      <c r="E234" s="26">
        <f t="shared" si="2"/>
        <v>0.01088328076</v>
      </c>
    </row>
    <row r="235">
      <c r="B235" s="27">
        <f>IFERROR(__xludf.DUMMYFUNCTION("""COMPUTED_VALUE"""),42397.66666666667)</f>
        <v>42397.66667</v>
      </c>
      <c r="C235" s="2">
        <f>IFERROR(__xludf.DUMMYFUNCTION("""COMPUTED_VALUE"""),189.11)</f>
        <v>189.11</v>
      </c>
      <c r="D235" s="26">
        <f t="shared" si="1"/>
        <v>0.005209163876</v>
      </c>
      <c r="E235" s="26">
        <f t="shared" si="2"/>
        <v>0.005209163876</v>
      </c>
    </row>
    <row r="236">
      <c r="B236" s="27">
        <f>IFERROR(__xludf.DUMMYFUNCTION("""COMPUTED_VALUE"""),42398.66666666667)</f>
        <v>42398.66667</v>
      </c>
      <c r="C236" s="2">
        <f>IFERROR(__xludf.DUMMYFUNCTION("""COMPUTED_VALUE"""),193.72)</f>
        <v>193.72</v>
      </c>
      <c r="D236" s="26">
        <f t="shared" si="1"/>
        <v>0.02437734652</v>
      </c>
      <c r="E236" s="26">
        <f t="shared" si="2"/>
        <v>0.02437734652</v>
      </c>
    </row>
    <row r="237">
      <c r="B237" s="27">
        <f>IFERROR(__xludf.DUMMYFUNCTION("""COMPUTED_VALUE"""),42401.66666666667)</f>
        <v>42401.66667</v>
      </c>
      <c r="C237" s="2">
        <f>IFERROR(__xludf.DUMMYFUNCTION("""COMPUTED_VALUE"""),193.65)</f>
        <v>193.65</v>
      </c>
      <c r="D237" s="26">
        <f t="shared" si="1"/>
        <v>-0.000361346273</v>
      </c>
      <c r="E237" s="26">
        <f t="shared" si="2"/>
        <v>0.000361346273</v>
      </c>
    </row>
    <row r="238">
      <c r="B238" s="27">
        <f>IFERROR(__xludf.DUMMYFUNCTION("""COMPUTED_VALUE"""),42402.66666666667)</f>
        <v>42402.66667</v>
      </c>
      <c r="C238" s="2">
        <f>IFERROR(__xludf.DUMMYFUNCTION("""COMPUTED_VALUE"""),190.16)</f>
        <v>190.16</v>
      </c>
      <c r="D238" s="26">
        <f t="shared" si="1"/>
        <v>-0.01802220501</v>
      </c>
      <c r="E238" s="26">
        <f t="shared" si="2"/>
        <v>0.01802220501</v>
      </c>
    </row>
    <row r="239">
      <c r="B239" s="27">
        <f>IFERROR(__xludf.DUMMYFUNCTION("""COMPUTED_VALUE"""),42403.66666666667)</f>
        <v>42403.66667</v>
      </c>
      <c r="C239" s="2">
        <f>IFERROR(__xludf.DUMMYFUNCTION("""COMPUTED_VALUE"""),191.3)</f>
        <v>191.3</v>
      </c>
      <c r="D239" s="26">
        <f t="shared" si="1"/>
        <v>0.00599495162</v>
      </c>
      <c r="E239" s="26">
        <f t="shared" si="2"/>
        <v>0.00599495162</v>
      </c>
    </row>
    <row r="240">
      <c r="B240" s="27">
        <f>IFERROR(__xludf.DUMMYFUNCTION("""COMPUTED_VALUE"""),42404.66666666667)</f>
        <v>42404.66667</v>
      </c>
      <c r="C240" s="2">
        <f>IFERROR(__xludf.DUMMYFUNCTION("""COMPUTED_VALUE"""),191.6)</f>
        <v>191.6</v>
      </c>
      <c r="D240" s="26">
        <f t="shared" si="1"/>
        <v>0.001568217459</v>
      </c>
      <c r="E240" s="26">
        <f t="shared" si="2"/>
        <v>0.001568217459</v>
      </c>
    </row>
    <row r="241">
      <c r="B241" s="27">
        <f>IFERROR(__xludf.DUMMYFUNCTION("""COMPUTED_VALUE"""),42405.66666666667)</f>
        <v>42405.66667</v>
      </c>
      <c r="C241" s="2">
        <f>IFERROR(__xludf.DUMMYFUNCTION("""COMPUTED_VALUE"""),187.95)</f>
        <v>187.95</v>
      </c>
      <c r="D241" s="26">
        <f t="shared" si="1"/>
        <v>-0.01905010438</v>
      </c>
      <c r="E241" s="26">
        <f t="shared" si="2"/>
        <v>0.01905010438</v>
      </c>
    </row>
    <row r="242">
      <c r="B242" s="27">
        <f>IFERROR(__xludf.DUMMYFUNCTION("""COMPUTED_VALUE"""),42408.66666666667)</f>
        <v>42408.66667</v>
      </c>
      <c r="C242" s="2">
        <f>IFERROR(__xludf.DUMMYFUNCTION("""COMPUTED_VALUE"""),185.42)</f>
        <v>185.42</v>
      </c>
      <c r="D242" s="26">
        <f t="shared" si="1"/>
        <v>-0.01346102687</v>
      </c>
      <c r="E242" s="26">
        <f t="shared" si="2"/>
        <v>0.01346102687</v>
      </c>
    </row>
    <row r="243">
      <c r="B243" s="27">
        <f>IFERROR(__xludf.DUMMYFUNCTION("""COMPUTED_VALUE"""),42409.66666666667)</f>
        <v>42409.66667</v>
      </c>
      <c r="C243" s="2">
        <f>IFERROR(__xludf.DUMMYFUNCTION("""COMPUTED_VALUE"""),185.43)</f>
        <v>185.43</v>
      </c>
      <c r="D243" s="26">
        <f t="shared" si="1"/>
        <v>0.00005393161471</v>
      </c>
      <c r="E243" s="26">
        <f t="shared" si="2"/>
        <v>0.00005393161471</v>
      </c>
    </row>
    <row r="244">
      <c r="B244" s="27">
        <f>IFERROR(__xludf.DUMMYFUNCTION("""COMPUTED_VALUE"""),42410.66666666667)</f>
        <v>42410.66667</v>
      </c>
      <c r="C244" s="2">
        <f>IFERROR(__xludf.DUMMYFUNCTION("""COMPUTED_VALUE"""),185.27)</f>
        <v>185.27</v>
      </c>
      <c r="D244" s="26">
        <f t="shared" si="1"/>
        <v>-0.0008628593</v>
      </c>
      <c r="E244" s="26">
        <f t="shared" si="2"/>
        <v>0.0008628593</v>
      </c>
    </row>
    <row r="245">
      <c r="B245" s="27">
        <f>IFERROR(__xludf.DUMMYFUNCTION("""COMPUTED_VALUE"""),42411.66666666667)</f>
        <v>42411.66667</v>
      </c>
      <c r="C245" s="2">
        <f>IFERROR(__xludf.DUMMYFUNCTION("""COMPUTED_VALUE"""),182.86)</f>
        <v>182.86</v>
      </c>
      <c r="D245" s="26">
        <f t="shared" si="1"/>
        <v>-0.01300804232</v>
      </c>
      <c r="E245" s="26">
        <f t="shared" si="2"/>
        <v>0.01300804232</v>
      </c>
    </row>
    <row r="246">
      <c r="B246" s="27">
        <f>IFERROR(__xludf.DUMMYFUNCTION("""COMPUTED_VALUE"""),42412.66666666667)</f>
        <v>42412.66667</v>
      </c>
      <c r="C246" s="2">
        <f>IFERROR(__xludf.DUMMYFUNCTION("""COMPUTED_VALUE"""),186.63)</f>
        <v>186.63</v>
      </c>
      <c r="D246" s="26">
        <f t="shared" si="1"/>
        <v>0.02061686536</v>
      </c>
      <c r="E246" s="26">
        <f t="shared" si="2"/>
        <v>0.02061686536</v>
      </c>
    </row>
    <row r="247">
      <c r="B247" s="27">
        <f>IFERROR(__xludf.DUMMYFUNCTION("""COMPUTED_VALUE"""),42416.66666666667)</f>
        <v>42416.66667</v>
      </c>
      <c r="C247" s="2">
        <f>IFERROR(__xludf.DUMMYFUNCTION("""COMPUTED_VALUE"""),189.78)</f>
        <v>189.78</v>
      </c>
      <c r="D247" s="26">
        <f t="shared" si="1"/>
        <v>0.01687831538</v>
      </c>
      <c r="E247" s="26">
        <f t="shared" si="2"/>
        <v>0.01687831538</v>
      </c>
    </row>
    <row r="248">
      <c r="B248" s="27">
        <f>IFERROR(__xludf.DUMMYFUNCTION("""COMPUTED_VALUE"""),42417.66666666667)</f>
        <v>42417.66667</v>
      </c>
      <c r="C248" s="2">
        <f>IFERROR(__xludf.DUMMYFUNCTION("""COMPUTED_VALUE"""),192.88)</f>
        <v>192.88</v>
      </c>
      <c r="D248" s="26">
        <f t="shared" si="1"/>
        <v>0.01633470334</v>
      </c>
      <c r="E248" s="26">
        <f t="shared" si="2"/>
        <v>0.01633470334</v>
      </c>
    </row>
    <row r="249">
      <c r="B249" s="27">
        <f>IFERROR(__xludf.DUMMYFUNCTION("""COMPUTED_VALUE"""),42418.66666666667)</f>
        <v>42418.66667</v>
      </c>
      <c r="C249" s="2">
        <f>IFERROR(__xludf.DUMMYFUNCTION("""COMPUTED_VALUE"""),192.09)</f>
        <v>192.09</v>
      </c>
      <c r="D249" s="26">
        <f t="shared" si="1"/>
        <v>-0.004095810867</v>
      </c>
      <c r="E249" s="26">
        <f t="shared" si="2"/>
        <v>0.004095810867</v>
      </c>
    </row>
    <row r="250">
      <c r="B250" s="27">
        <f>IFERROR(__xludf.DUMMYFUNCTION("""COMPUTED_VALUE"""),42419.66666666667)</f>
        <v>42419.66667</v>
      </c>
      <c r="C250" s="2">
        <f>IFERROR(__xludf.DUMMYFUNCTION("""COMPUTED_VALUE"""),192.0)</f>
        <v>192</v>
      </c>
      <c r="D250" s="26">
        <f t="shared" si="1"/>
        <v>-0.0004685303764</v>
      </c>
      <c r="E250" s="26">
        <f t="shared" si="2"/>
        <v>0.0004685303764</v>
      </c>
    </row>
    <row r="251">
      <c r="B251" s="27">
        <f>IFERROR(__xludf.DUMMYFUNCTION("""COMPUTED_VALUE"""),42422.66666666667)</f>
        <v>42422.66667</v>
      </c>
      <c r="C251" s="2">
        <f>IFERROR(__xludf.DUMMYFUNCTION("""COMPUTED_VALUE"""),194.78)</f>
        <v>194.78</v>
      </c>
      <c r="D251" s="26">
        <f t="shared" si="1"/>
        <v>0.01447916667</v>
      </c>
      <c r="E251" s="26">
        <f t="shared" si="2"/>
        <v>0.01447916667</v>
      </c>
    </row>
    <row r="252">
      <c r="B252" s="27">
        <f>IFERROR(__xludf.DUMMYFUNCTION("""COMPUTED_VALUE"""),42423.66666666667)</f>
        <v>42423.66667</v>
      </c>
      <c r="C252" s="2">
        <f>IFERROR(__xludf.DUMMYFUNCTION("""COMPUTED_VALUE"""),192.32)</f>
        <v>192.32</v>
      </c>
      <c r="D252" s="26">
        <f t="shared" si="1"/>
        <v>-0.01262963343</v>
      </c>
      <c r="E252" s="26">
        <f t="shared" si="2"/>
        <v>0.01262963343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8.75"/>
    <col hidden="1" min="2" max="2" width="12.63"/>
  </cols>
  <sheetData>
    <row r="1">
      <c r="A1" s="1" t="s">
        <v>638</v>
      </c>
      <c r="I1" s="1" t="s">
        <v>639</v>
      </c>
    </row>
    <row r="2">
      <c r="A2" s="1" t="s">
        <v>640</v>
      </c>
      <c r="B2" s="2">
        <f>IFERROR(__xludf.DUMMYFUNCTION("SPLIT(A2,""_"")"),2.0150226E7)</f>
        <v>20150226</v>
      </c>
      <c r="C2" s="2" t="str">
        <f>IFERROR(__xludf.DUMMYFUNCTION("""COMPUTED_VALUE"""),"ACIW")</f>
        <v>ACIW</v>
      </c>
      <c r="D2" s="2" t="str">
        <f>LEFT(B2,4)</f>
        <v>2015</v>
      </c>
      <c r="E2" s="2" t="str">
        <f>MID(B2,5,2)</f>
        <v>02</v>
      </c>
      <c r="F2" s="2" t="str">
        <f>RIGHT(B2,2)</f>
        <v>26</v>
      </c>
      <c r="G2" s="29">
        <f>DATE(D2,E2,F2)</f>
        <v>42061</v>
      </c>
      <c r="I2" s="2" t="s">
        <v>641</v>
      </c>
    </row>
    <row r="3" hidden="1">
      <c r="A3" s="1" t="s">
        <v>642</v>
      </c>
    </row>
    <row r="4" hidden="1">
      <c r="A4" s="1" t="s">
        <v>643</v>
      </c>
      <c r="I4" s="2" t="s">
        <v>644</v>
      </c>
    </row>
    <row r="5">
      <c r="A5" s="1" t="s">
        <v>645</v>
      </c>
      <c r="B5" s="2">
        <f>IFERROR(__xludf.DUMMYFUNCTION("SPLIT(A5,""_"")"),2.0150226E7)</f>
        <v>20150226</v>
      </c>
      <c r="C5" s="2" t="str">
        <f>IFERROR(__xludf.DUMMYFUNCTION("""COMPUTED_VALUE"""),"ADSK")</f>
        <v>ADSK</v>
      </c>
      <c r="D5" s="2" t="str">
        <f>LEFT(B5,4)</f>
        <v>2015</v>
      </c>
      <c r="E5" s="2" t="str">
        <f>MID(B5,5,2)</f>
        <v>02</v>
      </c>
      <c r="F5" s="2" t="str">
        <f>RIGHT(B5,2)</f>
        <v>26</v>
      </c>
      <c r="G5" s="29">
        <f>DATE(D5,E5,F5)</f>
        <v>42061</v>
      </c>
      <c r="I5" s="2" t="s">
        <v>646</v>
      </c>
    </row>
    <row r="6" hidden="1">
      <c r="A6" s="1" t="s">
        <v>642</v>
      </c>
      <c r="I6" s="2" t="s">
        <v>5</v>
      </c>
    </row>
    <row r="7" hidden="1">
      <c r="A7" s="1" t="s">
        <v>643</v>
      </c>
      <c r="I7" s="2" t="s">
        <v>647</v>
      </c>
    </row>
    <row r="8">
      <c r="A8" s="1" t="s">
        <v>648</v>
      </c>
      <c r="B8" s="2">
        <f>IFERROR(__xludf.DUMMYFUNCTION("SPLIT(A8,""_"")"),2.0150226E7)</f>
        <v>20150226</v>
      </c>
      <c r="C8" s="2" t="str">
        <f>IFERROR(__xludf.DUMMYFUNCTION("""COMPUTED_VALUE"""),"AMWD")</f>
        <v>AMWD</v>
      </c>
      <c r="D8" s="2" t="str">
        <f>LEFT(B8,4)</f>
        <v>2015</v>
      </c>
      <c r="E8" s="2" t="str">
        <f>MID(B8,5,2)</f>
        <v>02</v>
      </c>
      <c r="F8" s="2" t="str">
        <f>RIGHT(B8,2)</f>
        <v>26</v>
      </c>
      <c r="G8" s="29">
        <f>DATE(D8,E8,F8)</f>
        <v>42061</v>
      </c>
      <c r="I8" s="2" t="s">
        <v>649</v>
      </c>
    </row>
    <row r="9" hidden="1">
      <c r="A9" s="1" t="s">
        <v>642</v>
      </c>
      <c r="I9" s="2" t="s">
        <v>650</v>
      </c>
    </row>
    <row r="10" hidden="1">
      <c r="A10" s="1" t="s">
        <v>643</v>
      </c>
      <c r="I10" s="2" t="s">
        <v>9</v>
      </c>
    </row>
    <row r="11">
      <c r="A11" s="1" t="s">
        <v>651</v>
      </c>
      <c r="B11" s="2">
        <f>IFERROR(__xludf.DUMMYFUNCTION("SPLIT(A11,""_"")"),2.0150226E7)</f>
        <v>20150226</v>
      </c>
      <c r="C11" s="2" t="str">
        <f>IFERROR(__xludf.DUMMYFUNCTION("""COMPUTED_VALUE"""),"ANSS")</f>
        <v>ANSS</v>
      </c>
      <c r="D11" s="2" t="str">
        <f>LEFT(B11,4)</f>
        <v>2015</v>
      </c>
      <c r="E11" s="2" t="str">
        <f>MID(B11,5,2)</f>
        <v>02</v>
      </c>
      <c r="F11" s="2" t="str">
        <f>RIGHT(B11,2)</f>
        <v>26</v>
      </c>
      <c r="G11" s="29">
        <f>DATE(D11,E11,F11)</f>
        <v>42061</v>
      </c>
      <c r="I11" s="2" t="s">
        <v>10</v>
      </c>
    </row>
    <row r="12" hidden="1">
      <c r="A12" s="1" t="s">
        <v>642</v>
      </c>
      <c r="I12" s="2" t="s">
        <v>652</v>
      </c>
    </row>
    <row r="13" hidden="1">
      <c r="A13" s="1" t="s">
        <v>643</v>
      </c>
      <c r="I13" s="2" t="s">
        <v>653</v>
      </c>
    </row>
    <row r="14">
      <c r="A14" s="1" t="s">
        <v>654</v>
      </c>
      <c r="B14" s="2">
        <f>IFERROR(__xludf.DUMMYFUNCTION("SPLIT(A14,""_"")"),2.0150226E7)</f>
        <v>20150226</v>
      </c>
      <c r="C14" s="2" t="str">
        <f>IFERROR(__xludf.DUMMYFUNCTION("""COMPUTED_VALUE"""),"CRI")</f>
        <v>CRI</v>
      </c>
      <c r="D14" s="2" t="str">
        <f>LEFT(B14,4)</f>
        <v>2015</v>
      </c>
      <c r="E14" s="2" t="str">
        <f>MID(B14,5,2)</f>
        <v>02</v>
      </c>
      <c r="F14" s="2" t="str">
        <f>RIGHT(B14,2)</f>
        <v>26</v>
      </c>
      <c r="G14" s="29">
        <f>DATE(D14,E14,F14)</f>
        <v>42061</v>
      </c>
      <c r="I14" s="2" t="s">
        <v>13</v>
      </c>
    </row>
    <row r="15" hidden="1">
      <c r="A15" s="1" t="s">
        <v>642</v>
      </c>
      <c r="I15" s="2" t="s">
        <v>210</v>
      </c>
    </row>
    <row r="16" hidden="1">
      <c r="A16" s="1" t="s">
        <v>643</v>
      </c>
      <c r="I16" s="2" t="s">
        <v>655</v>
      </c>
    </row>
    <row r="17">
      <c r="A17" s="1" t="s">
        <v>656</v>
      </c>
      <c r="B17" s="2">
        <f>IFERROR(__xludf.DUMMYFUNCTION("SPLIT(A17,""_"")"),2.0150226E7)</f>
        <v>20150226</v>
      </c>
      <c r="C17" s="2" t="str">
        <f>IFERROR(__xludf.DUMMYFUNCTION("""COMPUTED_VALUE"""),"ECPG")</f>
        <v>ECPG</v>
      </c>
      <c r="D17" s="2" t="str">
        <f>LEFT(B17,4)</f>
        <v>2015</v>
      </c>
      <c r="E17" s="2" t="str">
        <f>MID(B17,5,2)</f>
        <v>02</v>
      </c>
      <c r="F17" s="2" t="str">
        <f>RIGHT(B17,2)</f>
        <v>26</v>
      </c>
      <c r="G17" s="29">
        <f>DATE(D17,E17,F17)</f>
        <v>42061</v>
      </c>
      <c r="I17" s="2" t="s">
        <v>16</v>
      </c>
    </row>
    <row r="18" hidden="1">
      <c r="A18" s="1" t="s">
        <v>642</v>
      </c>
      <c r="I18" s="2" t="s">
        <v>17</v>
      </c>
    </row>
    <row r="19" hidden="1">
      <c r="A19" s="1" t="s">
        <v>643</v>
      </c>
      <c r="I19" s="2" t="s">
        <v>18</v>
      </c>
    </row>
    <row r="20">
      <c r="A20" s="1" t="s">
        <v>657</v>
      </c>
      <c r="B20" s="2">
        <f>IFERROR(__xludf.DUMMYFUNCTION("SPLIT(A20,""_"")"),2.0150226E7)</f>
        <v>20150226</v>
      </c>
      <c r="C20" s="2" t="str">
        <f>IFERROR(__xludf.DUMMYFUNCTION("""COMPUTED_VALUE"""),"GPS")</f>
        <v>GPS</v>
      </c>
      <c r="D20" s="2" t="str">
        <f>LEFT(B20,4)</f>
        <v>2015</v>
      </c>
      <c r="E20" s="2" t="str">
        <f>MID(B20,5,2)</f>
        <v>02</v>
      </c>
      <c r="F20" s="2" t="str">
        <f>RIGHT(B20,2)</f>
        <v>26</v>
      </c>
      <c r="G20" s="29">
        <f>DATE(D20,E20,F20)</f>
        <v>42061</v>
      </c>
      <c r="I20" s="2" t="s">
        <v>658</v>
      </c>
    </row>
    <row r="21" hidden="1">
      <c r="A21" s="1" t="s">
        <v>642</v>
      </c>
      <c r="I21" s="2" t="s">
        <v>20</v>
      </c>
    </row>
    <row r="22" hidden="1">
      <c r="A22" s="1" t="s">
        <v>643</v>
      </c>
      <c r="I22" s="2" t="s">
        <v>21</v>
      </c>
    </row>
    <row r="23">
      <c r="A23" s="1" t="s">
        <v>659</v>
      </c>
      <c r="B23" s="2">
        <f>IFERROR(__xludf.DUMMYFUNCTION("SPLIT(A23,""_"")"),2.0150226E7)</f>
        <v>20150226</v>
      </c>
      <c r="C23" s="2" t="str">
        <f>IFERROR(__xludf.DUMMYFUNCTION("""COMPUTED_VALUE"""),"IRDM")</f>
        <v>IRDM</v>
      </c>
      <c r="D23" s="2" t="str">
        <f>LEFT(B23,4)</f>
        <v>2015</v>
      </c>
      <c r="E23" s="2" t="str">
        <f>MID(B23,5,2)</f>
        <v>02</v>
      </c>
      <c r="F23" s="2" t="str">
        <f>RIGHT(B23,2)</f>
        <v>26</v>
      </c>
      <c r="G23" s="29">
        <f>DATE(D23,E23,F23)</f>
        <v>42061</v>
      </c>
      <c r="I23" s="2" t="s">
        <v>22</v>
      </c>
    </row>
    <row r="24" hidden="1">
      <c r="A24" s="1" t="s">
        <v>642</v>
      </c>
      <c r="I24" s="2" t="s">
        <v>23</v>
      </c>
    </row>
    <row r="25" hidden="1">
      <c r="A25" s="1" t="s">
        <v>643</v>
      </c>
      <c r="I25" s="2" t="s">
        <v>24</v>
      </c>
    </row>
    <row r="26">
      <c r="A26" s="1" t="s">
        <v>660</v>
      </c>
      <c r="B26" s="2">
        <f>IFERROR(__xludf.DUMMYFUNCTION("SPLIT(A26,""_"")"),2.0150226E7)</f>
        <v>20150226</v>
      </c>
      <c r="C26" s="2" t="str">
        <f>IFERROR(__xludf.DUMMYFUNCTION("""COMPUTED_VALUE"""),"JCP")</f>
        <v>JCP</v>
      </c>
      <c r="D26" s="2" t="str">
        <f>LEFT(B26,4)</f>
        <v>2015</v>
      </c>
      <c r="E26" s="2" t="str">
        <f>MID(B26,5,2)</f>
        <v>02</v>
      </c>
      <c r="F26" s="2" t="str">
        <f>RIGHT(B26,2)</f>
        <v>26</v>
      </c>
      <c r="G26" s="29">
        <f>DATE(D26,E26,F26)</f>
        <v>42061</v>
      </c>
      <c r="I26" s="2" t="s">
        <v>661</v>
      </c>
    </row>
    <row r="27" hidden="1">
      <c r="A27" s="1" t="s">
        <v>642</v>
      </c>
      <c r="I27" s="2" t="s">
        <v>662</v>
      </c>
    </row>
    <row r="28" hidden="1">
      <c r="A28" s="1" t="s">
        <v>643</v>
      </c>
      <c r="I28" s="2" t="s">
        <v>663</v>
      </c>
    </row>
    <row r="29">
      <c r="A29" s="1" t="s">
        <v>664</v>
      </c>
      <c r="B29" s="2">
        <f>IFERROR(__xludf.DUMMYFUNCTION("SPLIT(A29,""_"")"),2.0150226E7)</f>
        <v>20150226</v>
      </c>
      <c r="C29" s="2" t="str">
        <f>IFERROR(__xludf.DUMMYFUNCTION("""COMPUTED_VALUE"""),"LYV")</f>
        <v>LYV</v>
      </c>
      <c r="D29" s="2" t="str">
        <f>LEFT(B29,4)</f>
        <v>2015</v>
      </c>
      <c r="E29" s="2" t="str">
        <f>MID(B29,5,2)</f>
        <v>02</v>
      </c>
      <c r="F29" s="2" t="str">
        <f>RIGHT(B29,2)</f>
        <v>26</v>
      </c>
      <c r="G29" s="29">
        <f>DATE(D29,E29,F29)</f>
        <v>42061</v>
      </c>
      <c r="I29" s="2" t="s">
        <v>665</v>
      </c>
    </row>
    <row r="30" hidden="1">
      <c r="A30" s="1" t="s">
        <v>642</v>
      </c>
      <c r="I30" s="2" t="s">
        <v>666</v>
      </c>
    </row>
    <row r="31" hidden="1">
      <c r="A31" s="1" t="s">
        <v>643</v>
      </c>
      <c r="I31" s="2" t="s">
        <v>667</v>
      </c>
    </row>
    <row r="32">
      <c r="A32" s="1" t="s">
        <v>668</v>
      </c>
      <c r="B32" s="2">
        <f>IFERROR(__xludf.DUMMYFUNCTION("SPLIT(A32,""_"")"),2.0150226E7)</f>
        <v>20150226</v>
      </c>
      <c r="C32" s="2" t="str">
        <f>IFERROR(__xludf.DUMMYFUNCTION("""COMPUTED_VALUE"""),"ORN")</f>
        <v>ORN</v>
      </c>
      <c r="D32" s="2" t="str">
        <f>LEFT(B32,4)</f>
        <v>2015</v>
      </c>
      <c r="E32" s="2" t="str">
        <f>MID(B32,5,2)</f>
        <v>02</v>
      </c>
      <c r="F32" s="2" t="str">
        <f>RIGHT(B32,2)</f>
        <v>26</v>
      </c>
      <c r="G32" s="29">
        <f>DATE(D32,E32,F32)</f>
        <v>42061</v>
      </c>
      <c r="I32" s="2" t="s">
        <v>669</v>
      </c>
    </row>
    <row r="33" hidden="1">
      <c r="A33" s="1" t="s">
        <v>642</v>
      </c>
      <c r="I33" s="2" t="s">
        <v>32</v>
      </c>
    </row>
    <row r="34" hidden="1">
      <c r="A34" s="1" t="s">
        <v>643</v>
      </c>
      <c r="I34" s="2" t="s">
        <v>33</v>
      </c>
    </row>
    <row r="35">
      <c r="A35" s="1" t="s">
        <v>670</v>
      </c>
      <c r="B35" s="2">
        <f>IFERROR(__xludf.DUMMYFUNCTION("SPLIT(A35,""_"")"),2.0150227E7)</f>
        <v>20150227</v>
      </c>
      <c r="C35" s="2" t="str">
        <f>IFERROR(__xludf.DUMMYFUNCTION("""COMPUTED_VALUE"""),"NWN")</f>
        <v>NWN</v>
      </c>
      <c r="D35" s="2" t="str">
        <f>LEFT(B35,4)</f>
        <v>2015</v>
      </c>
      <c r="E35" s="2" t="str">
        <f>MID(B35,5,2)</f>
        <v>02</v>
      </c>
      <c r="F35" s="2" t="str">
        <f>RIGHT(B35,2)</f>
        <v>27</v>
      </c>
      <c r="G35" s="29">
        <f>DATE(D35,E35,F35)</f>
        <v>42062</v>
      </c>
      <c r="I35" s="2" t="s">
        <v>34</v>
      </c>
    </row>
    <row r="36" hidden="1">
      <c r="A36" s="1" t="s">
        <v>642</v>
      </c>
      <c r="I36" s="2" t="s">
        <v>671</v>
      </c>
    </row>
    <row r="37" hidden="1">
      <c r="A37" s="1" t="s">
        <v>643</v>
      </c>
      <c r="I37" s="2" t="s">
        <v>672</v>
      </c>
    </row>
    <row r="38">
      <c r="A38" s="1" t="s">
        <v>673</v>
      </c>
      <c r="B38" s="2">
        <f>IFERROR(__xludf.DUMMYFUNCTION("SPLIT(A38,""_"")"),2.0150227E7)</f>
        <v>20150227</v>
      </c>
      <c r="C38" s="2" t="str">
        <f>IFERROR(__xludf.DUMMYFUNCTION("""COMPUTED_VALUE"""),"RDC")</f>
        <v>RDC</v>
      </c>
      <c r="D38" s="2" t="str">
        <f>LEFT(B38,4)</f>
        <v>2015</v>
      </c>
      <c r="E38" s="2" t="str">
        <f>MID(B38,5,2)</f>
        <v>02</v>
      </c>
      <c r="F38" s="2" t="str">
        <f>RIGHT(B38,2)</f>
        <v>27</v>
      </c>
      <c r="G38" s="29">
        <f>DATE(D38,E38,F38)</f>
        <v>42062</v>
      </c>
      <c r="I38" s="2" t="s">
        <v>674</v>
      </c>
    </row>
    <row r="39" hidden="1">
      <c r="A39" s="1" t="s">
        <v>642</v>
      </c>
      <c r="I39" s="2" t="s">
        <v>38</v>
      </c>
    </row>
    <row r="40" hidden="1">
      <c r="A40" s="1" t="s">
        <v>643</v>
      </c>
      <c r="I40" s="2" t="s">
        <v>675</v>
      </c>
    </row>
    <row r="41">
      <c r="A41" s="1" t="s">
        <v>676</v>
      </c>
      <c r="B41" s="2">
        <f>IFERROR(__xludf.DUMMYFUNCTION("SPLIT(A41,""_"")"),2.0150227E7)</f>
        <v>20150227</v>
      </c>
      <c r="C41" s="2" t="str">
        <f>IFERROR(__xludf.DUMMYFUNCTION("""COMPUTED_VALUE"""),"SJI")</f>
        <v>SJI</v>
      </c>
      <c r="D41" s="2" t="str">
        <f>LEFT(B41,4)</f>
        <v>2015</v>
      </c>
      <c r="E41" s="2" t="str">
        <f>MID(B41,5,2)</f>
        <v>02</v>
      </c>
      <c r="F41" s="2" t="str">
        <f>RIGHT(B41,2)</f>
        <v>27</v>
      </c>
      <c r="G41" s="29">
        <f>DATE(D41,E41,F41)</f>
        <v>42062</v>
      </c>
      <c r="I41" s="2" t="s">
        <v>242</v>
      </c>
    </row>
    <row r="42" hidden="1">
      <c r="A42" s="1" t="s">
        <v>642</v>
      </c>
      <c r="I42" s="2" t="s">
        <v>677</v>
      </c>
    </row>
    <row r="43" hidden="1">
      <c r="A43" s="1" t="s">
        <v>643</v>
      </c>
      <c r="I43" s="2" t="s">
        <v>268</v>
      </c>
    </row>
    <row r="44">
      <c r="A44" s="1" t="s">
        <v>678</v>
      </c>
      <c r="B44" s="2">
        <f>IFERROR(__xludf.DUMMYFUNCTION("SPLIT(A44,""_"")"),2.0150302E7)</f>
        <v>20150302</v>
      </c>
      <c r="C44" s="2" t="str">
        <f>IFERROR(__xludf.DUMMYFUNCTION("""COMPUTED_VALUE"""),"BID")</f>
        <v>BID</v>
      </c>
      <c r="D44" s="2" t="str">
        <f>LEFT(B44,4)</f>
        <v>2015</v>
      </c>
      <c r="E44" s="2" t="str">
        <f>MID(B44,5,2)</f>
        <v>03</v>
      </c>
      <c r="F44" s="2" t="str">
        <f>RIGHT(B44,2)</f>
        <v>02</v>
      </c>
      <c r="G44" s="29">
        <f>DATE(D44,E44,F44)</f>
        <v>42065</v>
      </c>
      <c r="I44" s="2" t="s">
        <v>679</v>
      </c>
    </row>
    <row r="45" hidden="1">
      <c r="A45" s="1" t="s">
        <v>642</v>
      </c>
      <c r="I45" s="2" t="s">
        <v>44</v>
      </c>
    </row>
    <row r="46" hidden="1">
      <c r="A46" s="1" t="s">
        <v>643</v>
      </c>
      <c r="I46" s="2" t="s">
        <v>45</v>
      </c>
    </row>
    <row r="47">
      <c r="A47" s="1" t="s">
        <v>680</v>
      </c>
      <c r="B47" s="2">
        <f>IFERROR(__xludf.DUMMYFUNCTION("SPLIT(A47,""_"")"),2.0150302E7)</f>
        <v>20150302</v>
      </c>
      <c r="C47" s="2" t="str">
        <f>IFERROR(__xludf.DUMMYFUNCTION("""COMPUTED_VALUE"""),"MDR")</f>
        <v>MDR</v>
      </c>
      <c r="D47" s="2" t="str">
        <f>LEFT(B47,4)</f>
        <v>2015</v>
      </c>
      <c r="E47" s="2" t="str">
        <f>MID(B47,5,2)</f>
        <v>03</v>
      </c>
      <c r="F47" s="2" t="str">
        <f>RIGHT(B47,2)</f>
        <v>02</v>
      </c>
      <c r="G47" s="29">
        <f>DATE(D47,E47,F47)</f>
        <v>42065</v>
      </c>
      <c r="I47" s="2" t="s">
        <v>681</v>
      </c>
    </row>
    <row r="48" hidden="1">
      <c r="A48" s="1" t="s">
        <v>642</v>
      </c>
      <c r="I48" s="2" t="s">
        <v>682</v>
      </c>
    </row>
    <row r="49" hidden="1">
      <c r="A49" s="1" t="s">
        <v>643</v>
      </c>
      <c r="I49" s="2" t="s">
        <v>683</v>
      </c>
    </row>
    <row r="50">
      <c r="A50" s="1" t="s">
        <v>684</v>
      </c>
      <c r="B50" s="2">
        <f>IFERROR(__xludf.DUMMYFUNCTION("SPLIT(A50,""_"")"),2.0150302E7)</f>
        <v>20150302</v>
      </c>
      <c r="C50" s="2" t="str">
        <f>IFERROR(__xludf.DUMMYFUNCTION("""COMPUTED_VALUE"""),"TG")</f>
        <v>TG</v>
      </c>
      <c r="D50" s="2" t="str">
        <f>LEFT(B50,4)</f>
        <v>2015</v>
      </c>
      <c r="E50" s="2" t="str">
        <f>MID(B50,5,2)</f>
        <v>03</v>
      </c>
      <c r="F50" s="2" t="str">
        <f>RIGHT(B50,2)</f>
        <v>02</v>
      </c>
      <c r="G50" s="29">
        <f>DATE(D50,E50,F50)</f>
        <v>42065</v>
      </c>
      <c r="I50" s="2" t="s">
        <v>49</v>
      </c>
    </row>
    <row r="51" hidden="1">
      <c r="A51" s="1" t="s">
        <v>642</v>
      </c>
      <c r="I51" s="2" t="s">
        <v>685</v>
      </c>
    </row>
    <row r="52" hidden="1">
      <c r="A52" s="1" t="s">
        <v>643</v>
      </c>
      <c r="I52" s="2" t="s">
        <v>686</v>
      </c>
    </row>
    <row r="53">
      <c r="A53" s="1" t="s">
        <v>687</v>
      </c>
      <c r="B53" s="2">
        <f>IFERROR(__xludf.DUMMYFUNCTION("SPLIT(A53,""_"")"),2.0150303E7)</f>
        <v>20150303</v>
      </c>
      <c r="C53" s="2" t="str">
        <f>IFERROR(__xludf.DUMMYFUNCTION("""COMPUTED_VALUE"""),"AZO")</f>
        <v>AZO</v>
      </c>
      <c r="D53" s="2" t="str">
        <f>LEFT(B53,4)</f>
        <v>2015</v>
      </c>
      <c r="E53" s="2" t="str">
        <f>MID(B53,5,2)</f>
        <v>03</v>
      </c>
      <c r="F53" s="2" t="str">
        <f>RIGHT(B53,2)</f>
        <v>03</v>
      </c>
      <c r="G53" s="29">
        <f>DATE(D53,E53,F53)</f>
        <v>42066</v>
      </c>
      <c r="I53" s="2" t="s">
        <v>52</v>
      </c>
    </row>
    <row r="54" hidden="1">
      <c r="A54" s="1" t="s">
        <v>642</v>
      </c>
      <c r="I54" s="2" t="s">
        <v>53</v>
      </c>
    </row>
    <row r="55" hidden="1">
      <c r="A55" s="1" t="s">
        <v>643</v>
      </c>
      <c r="I55" s="2" t="s">
        <v>688</v>
      </c>
    </row>
    <row r="56">
      <c r="A56" s="1" t="s">
        <v>689</v>
      </c>
      <c r="B56" s="2">
        <f>IFERROR(__xludf.DUMMYFUNCTION("SPLIT(A56,""_"")"),2.0150303E7)</f>
        <v>20150303</v>
      </c>
      <c r="C56" s="2" t="str">
        <f>IFERROR(__xludf.DUMMYFUNCTION("""COMPUTED_VALUE"""),"NX")</f>
        <v>NX</v>
      </c>
      <c r="D56" s="2" t="str">
        <f>LEFT(B56,4)</f>
        <v>2015</v>
      </c>
      <c r="E56" s="2" t="str">
        <f>MID(B56,5,2)</f>
        <v>03</v>
      </c>
      <c r="F56" s="2" t="str">
        <f>RIGHT(B56,2)</f>
        <v>03</v>
      </c>
      <c r="G56" s="29">
        <f>DATE(D56,E56,F56)</f>
        <v>42066</v>
      </c>
      <c r="I56" s="2" t="s">
        <v>54</v>
      </c>
    </row>
    <row r="57" hidden="1">
      <c r="A57" s="1" t="s">
        <v>642</v>
      </c>
      <c r="I57" s="2" t="s">
        <v>55</v>
      </c>
    </row>
    <row r="58" hidden="1">
      <c r="A58" s="1" t="s">
        <v>643</v>
      </c>
      <c r="I58" s="2" t="s">
        <v>690</v>
      </c>
    </row>
    <row r="59">
      <c r="A59" s="1" t="s">
        <v>691</v>
      </c>
      <c r="B59" s="2">
        <f>IFERROR(__xludf.DUMMYFUNCTION("SPLIT(A59,""_"")"),2.0150304E7)</f>
        <v>20150304</v>
      </c>
      <c r="C59" s="2" t="str">
        <f>IFERROR(__xludf.DUMMYFUNCTION("""COMPUTED_VALUE"""),"AMED")</f>
        <v>AMED</v>
      </c>
      <c r="D59" s="2" t="str">
        <f>LEFT(B59,4)</f>
        <v>2015</v>
      </c>
      <c r="E59" s="2" t="str">
        <f>MID(B59,5,2)</f>
        <v>03</v>
      </c>
      <c r="F59" s="2" t="str">
        <f>RIGHT(B59,2)</f>
        <v>04</v>
      </c>
      <c r="G59" s="29">
        <f>DATE(D59,E59,F59)</f>
        <v>42067</v>
      </c>
      <c r="I59" s="2" t="s">
        <v>692</v>
      </c>
    </row>
    <row r="60" hidden="1">
      <c r="A60" s="1" t="s">
        <v>642</v>
      </c>
      <c r="I60" s="2" t="s">
        <v>58</v>
      </c>
    </row>
    <row r="61" hidden="1">
      <c r="A61" s="1" t="s">
        <v>643</v>
      </c>
      <c r="I61" s="2" t="s">
        <v>693</v>
      </c>
    </row>
    <row r="62">
      <c r="A62" s="1" t="s">
        <v>694</v>
      </c>
      <c r="B62" s="2">
        <f>IFERROR(__xludf.DUMMYFUNCTION("SPLIT(A62,""_"")"),2.0150304E7)</f>
        <v>20150304</v>
      </c>
      <c r="C62" s="2" t="str">
        <f>IFERROR(__xludf.DUMMYFUNCTION("""COMPUTED_VALUE"""),"ANF")</f>
        <v>ANF</v>
      </c>
      <c r="D62" s="2" t="str">
        <f>LEFT(B62,4)</f>
        <v>2015</v>
      </c>
      <c r="E62" s="2" t="str">
        <f>MID(B62,5,2)</f>
        <v>03</v>
      </c>
      <c r="F62" s="2" t="str">
        <f>RIGHT(B62,2)</f>
        <v>04</v>
      </c>
      <c r="G62" s="29">
        <f>DATE(D62,E62,F62)</f>
        <v>42067</v>
      </c>
      <c r="I62" s="2" t="s">
        <v>695</v>
      </c>
    </row>
    <row r="63" hidden="1">
      <c r="A63" s="1" t="s">
        <v>642</v>
      </c>
      <c r="I63" s="2" t="s">
        <v>61</v>
      </c>
    </row>
    <row r="64" hidden="1">
      <c r="A64" s="1" t="s">
        <v>643</v>
      </c>
      <c r="I64" s="2" t="s">
        <v>62</v>
      </c>
    </row>
    <row r="65">
      <c r="A65" s="1" t="s">
        <v>696</v>
      </c>
      <c r="B65" s="2">
        <f>IFERROR(__xludf.DUMMYFUNCTION("SPLIT(A65,""_"")"),2.0150305E7)</f>
        <v>20150305</v>
      </c>
      <c r="C65" s="2" t="str">
        <f>IFERROR(__xludf.DUMMYFUNCTION("""COMPUTED_VALUE"""),"ESL")</f>
        <v>ESL</v>
      </c>
      <c r="D65" s="2" t="str">
        <f>LEFT(B65,4)</f>
        <v>2015</v>
      </c>
      <c r="E65" s="2" t="str">
        <f>MID(B65,5,2)</f>
        <v>03</v>
      </c>
      <c r="F65" s="2" t="str">
        <f>RIGHT(B65,2)</f>
        <v>05</v>
      </c>
      <c r="G65" s="29">
        <f>DATE(D65,E65,F65)</f>
        <v>42068</v>
      </c>
      <c r="I65" s="2" t="s">
        <v>63</v>
      </c>
    </row>
    <row r="66" hidden="1">
      <c r="A66" s="1" t="s">
        <v>642</v>
      </c>
      <c r="I66" s="2" t="s">
        <v>64</v>
      </c>
    </row>
    <row r="67" hidden="1">
      <c r="A67" s="1" t="s">
        <v>643</v>
      </c>
      <c r="I67" s="2" t="s">
        <v>65</v>
      </c>
    </row>
    <row r="68">
      <c r="A68" s="1" t="s">
        <v>697</v>
      </c>
      <c r="B68" s="2">
        <f>IFERROR(__xludf.DUMMYFUNCTION("SPLIT(A68,""_"")"),2.0150306E7)</f>
        <v>20150306</v>
      </c>
      <c r="C68" s="2" t="str">
        <f>IFERROR(__xludf.DUMMYFUNCTION("""COMPUTED_VALUE"""),"FL")</f>
        <v>FL</v>
      </c>
      <c r="D68" s="2" t="str">
        <f>LEFT(B68,4)</f>
        <v>2015</v>
      </c>
      <c r="E68" s="2" t="str">
        <f>MID(B68,5,2)</f>
        <v>03</v>
      </c>
      <c r="F68" s="2" t="str">
        <f>RIGHT(B68,2)</f>
        <v>06</v>
      </c>
      <c r="G68" s="29">
        <f>DATE(D68,E68,F68)</f>
        <v>42069</v>
      </c>
      <c r="I68" s="2" t="s">
        <v>66</v>
      </c>
    </row>
    <row r="69" hidden="1">
      <c r="A69" s="1" t="s">
        <v>642</v>
      </c>
      <c r="I69" s="2" t="s">
        <v>67</v>
      </c>
    </row>
    <row r="70" hidden="1">
      <c r="A70" s="1" t="s">
        <v>643</v>
      </c>
      <c r="I70" s="2" t="s">
        <v>68</v>
      </c>
    </row>
    <row r="71">
      <c r="A71" s="1" t="s">
        <v>698</v>
      </c>
      <c r="B71" s="2">
        <f>IFERROR(__xludf.DUMMYFUNCTION("SPLIT(A71,""_"")"),2.015031E7)</f>
        <v>20150310</v>
      </c>
      <c r="C71" s="2" t="str">
        <f>IFERROR(__xludf.DUMMYFUNCTION("""COMPUTED_VALUE"""),"KOPN")</f>
        <v>KOPN</v>
      </c>
      <c r="D71" s="2" t="str">
        <f>LEFT(B71,4)</f>
        <v>2015</v>
      </c>
      <c r="E71" s="2" t="str">
        <f>MID(B71,5,2)</f>
        <v>03</v>
      </c>
      <c r="F71" s="2" t="str">
        <f>RIGHT(B71,2)</f>
        <v>10</v>
      </c>
      <c r="G71" s="29">
        <f>DATE(D71,E71,F71)</f>
        <v>42073</v>
      </c>
      <c r="I71" s="2" t="s">
        <v>699</v>
      </c>
    </row>
    <row r="72" hidden="1">
      <c r="A72" s="1" t="s">
        <v>642</v>
      </c>
      <c r="I72" s="2" t="s">
        <v>70</v>
      </c>
    </row>
    <row r="73" hidden="1">
      <c r="A73" s="1" t="s">
        <v>643</v>
      </c>
      <c r="I73" s="2" t="s">
        <v>71</v>
      </c>
    </row>
    <row r="74">
      <c r="A74" s="1" t="s">
        <v>700</v>
      </c>
      <c r="B74" s="2">
        <f>IFERROR(__xludf.DUMMYFUNCTION("SPLIT(A74,""_"")"),2.0150311E7)</f>
        <v>20150311</v>
      </c>
      <c r="C74" s="2" t="str">
        <f>IFERROR(__xludf.DUMMYFUNCTION("""COMPUTED_VALUE"""),"RAVN")</f>
        <v>RAVN</v>
      </c>
      <c r="D74" s="2" t="str">
        <f>LEFT(B74,4)</f>
        <v>2015</v>
      </c>
      <c r="E74" s="2" t="str">
        <f>MID(B74,5,2)</f>
        <v>03</v>
      </c>
      <c r="F74" s="2" t="str">
        <f>RIGHT(B74,2)</f>
        <v>11</v>
      </c>
      <c r="G74" s="29">
        <f>DATE(D74,E74,F74)</f>
        <v>42074</v>
      </c>
      <c r="I74" s="2" t="s">
        <v>701</v>
      </c>
    </row>
    <row r="75" hidden="1">
      <c r="A75" s="1" t="s">
        <v>642</v>
      </c>
      <c r="I75" s="2" t="s">
        <v>702</v>
      </c>
    </row>
    <row r="76" hidden="1">
      <c r="A76" s="1" t="s">
        <v>643</v>
      </c>
      <c r="I76" s="2" t="s">
        <v>74</v>
      </c>
    </row>
    <row r="77">
      <c r="A77" s="1" t="s">
        <v>703</v>
      </c>
      <c r="B77" s="2">
        <f>IFERROR(__xludf.DUMMYFUNCTION("SPLIT(A77,""_"")"),2.0150312E7)</f>
        <v>20150312</v>
      </c>
      <c r="C77" s="2" t="str">
        <f>IFERROR(__xludf.DUMMYFUNCTION("""COMPUTED_VALUE"""),"PLCE")</f>
        <v>PLCE</v>
      </c>
      <c r="D77" s="2" t="str">
        <f>LEFT(B77,4)</f>
        <v>2015</v>
      </c>
      <c r="E77" s="2" t="str">
        <f>MID(B77,5,2)</f>
        <v>03</v>
      </c>
      <c r="F77" s="2" t="str">
        <f>RIGHT(B77,2)</f>
        <v>12</v>
      </c>
      <c r="G77" s="29">
        <f>DATE(D77,E77,F77)</f>
        <v>42075</v>
      </c>
      <c r="I77" s="2" t="s">
        <v>75</v>
      </c>
    </row>
    <row r="78" hidden="1">
      <c r="A78" s="1" t="s">
        <v>642</v>
      </c>
      <c r="I78" s="2" t="s">
        <v>76</v>
      </c>
    </row>
    <row r="79" hidden="1">
      <c r="A79" s="1" t="s">
        <v>643</v>
      </c>
      <c r="I79" s="2" t="s">
        <v>77</v>
      </c>
    </row>
    <row r="80">
      <c r="A80" s="1" t="s">
        <v>704</v>
      </c>
      <c r="B80" s="2">
        <f>IFERROR(__xludf.DUMMYFUNCTION("SPLIT(A80,""_"")"),2.0150312E7)</f>
        <v>20150312</v>
      </c>
      <c r="C80" s="2" t="str">
        <f>IFERROR(__xludf.DUMMYFUNCTION("""COMPUTED_VALUE"""),"ULTA")</f>
        <v>ULTA</v>
      </c>
      <c r="D80" s="2" t="str">
        <f>LEFT(B80,4)</f>
        <v>2015</v>
      </c>
      <c r="E80" s="2" t="str">
        <f>MID(B80,5,2)</f>
        <v>03</v>
      </c>
      <c r="F80" s="2" t="str">
        <f>RIGHT(B80,2)</f>
        <v>12</v>
      </c>
      <c r="G80" s="29">
        <f>DATE(D80,E80,F80)</f>
        <v>42075</v>
      </c>
      <c r="I80" s="2" t="s">
        <v>78</v>
      </c>
    </row>
    <row r="81" hidden="1">
      <c r="A81" s="1" t="s">
        <v>642</v>
      </c>
      <c r="I81" s="2" t="s">
        <v>79</v>
      </c>
    </row>
    <row r="82" hidden="1">
      <c r="A82" s="1" t="s">
        <v>643</v>
      </c>
      <c r="I82" s="2" t="s">
        <v>80</v>
      </c>
    </row>
    <row r="83">
      <c r="A83" s="1" t="s">
        <v>705</v>
      </c>
      <c r="B83" s="2">
        <f>IFERROR(__xludf.DUMMYFUNCTION("SPLIT(A83,""_"")"),2.0150313E7)</f>
        <v>20150313</v>
      </c>
      <c r="C83" s="2" t="str">
        <f>IFERROR(__xludf.DUMMYFUNCTION("""COMPUTED_VALUE"""),"BKE")</f>
        <v>BKE</v>
      </c>
      <c r="D83" s="2" t="str">
        <f>LEFT(B83,4)</f>
        <v>2015</v>
      </c>
      <c r="E83" s="2" t="str">
        <f>MID(B83,5,2)</f>
        <v>03</v>
      </c>
      <c r="F83" s="2" t="str">
        <f>RIGHT(B83,2)</f>
        <v>13</v>
      </c>
      <c r="G83" s="29">
        <f>DATE(D83,E83,F83)</f>
        <v>42076</v>
      </c>
      <c r="I83" s="2" t="s">
        <v>81</v>
      </c>
    </row>
    <row r="84" hidden="1">
      <c r="A84" s="1" t="s">
        <v>642</v>
      </c>
      <c r="I84" s="2" t="s">
        <v>82</v>
      </c>
    </row>
    <row r="85" hidden="1">
      <c r="A85" s="1" t="s">
        <v>643</v>
      </c>
      <c r="I85" s="2" t="s">
        <v>83</v>
      </c>
    </row>
    <row r="86">
      <c r="A86" s="1" t="s">
        <v>706</v>
      </c>
      <c r="B86" s="2">
        <f>IFERROR(__xludf.DUMMYFUNCTION("SPLIT(A86,""_"")"),2.0150313E7)</f>
        <v>20150313</v>
      </c>
      <c r="C86" s="2" t="str">
        <f>IFERROR(__xludf.DUMMYFUNCTION("""COMPUTED_VALUE"""),"RGEN")</f>
        <v>RGEN</v>
      </c>
      <c r="D86" s="2" t="str">
        <f>LEFT(B86,4)</f>
        <v>2015</v>
      </c>
      <c r="E86" s="2" t="str">
        <f>MID(B86,5,2)</f>
        <v>03</v>
      </c>
      <c r="F86" s="2" t="str">
        <f>RIGHT(B86,2)</f>
        <v>13</v>
      </c>
      <c r="G86" s="29">
        <f>DATE(D86,E86,F86)</f>
        <v>42076</v>
      </c>
      <c r="I86" s="2" t="s">
        <v>84</v>
      </c>
    </row>
    <row r="87" hidden="1">
      <c r="A87" s="1" t="s">
        <v>642</v>
      </c>
      <c r="I87" s="2" t="s">
        <v>85</v>
      </c>
    </row>
    <row r="88" hidden="1">
      <c r="A88" s="1" t="s">
        <v>643</v>
      </c>
      <c r="I88" s="2" t="s">
        <v>707</v>
      </c>
    </row>
    <row r="89">
      <c r="A89" s="1" t="s">
        <v>708</v>
      </c>
      <c r="B89" s="2">
        <f>IFERROR(__xludf.DUMMYFUNCTION("SPLIT(A89,""_"")"),2.0150317E7)</f>
        <v>20150317</v>
      </c>
      <c r="C89" s="2" t="str">
        <f>IFERROR(__xludf.DUMMYFUNCTION("""COMPUTED_VALUE"""),"DSW")</f>
        <v>DSW</v>
      </c>
      <c r="D89" s="2" t="str">
        <f>LEFT(B89,4)</f>
        <v>2015</v>
      </c>
      <c r="E89" s="2" t="str">
        <f>MID(B89,5,2)</f>
        <v>03</v>
      </c>
      <c r="F89" s="2" t="str">
        <f>RIGHT(B89,2)</f>
        <v>17</v>
      </c>
      <c r="G89" s="29">
        <f>DATE(D89,E89,F89)</f>
        <v>42080</v>
      </c>
      <c r="I89" s="2" t="s">
        <v>87</v>
      </c>
    </row>
    <row r="90" hidden="1">
      <c r="A90" s="1" t="s">
        <v>642</v>
      </c>
      <c r="I90" s="2" t="s">
        <v>88</v>
      </c>
    </row>
    <row r="91" hidden="1">
      <c r="A91" s="1" t="s">
        <v>643</v>
      </c>
      <c r="I91" s="2" t="s">
        <v>89</v>
      </c>
    </row>
    <row r="92">
      <c r="A92" s="1" t="s">
        <v>709</v>
      </c>
      <c r="B92" s="2">
        <f>IFERROR(__xludf.DUMMYFUNCTION("SPLIT(A92,""_"")"),2.0150317E7)</f>
        <v>20150317</v>
      </c>
      <c r="C92" s="2" t="str">
        <f>IFERROR(__xludf.DUMMYFUNCTION("""COMPUTED_VALUE"""),"FDS")</f>
        <v>FDS</v>
      </c>
      <c r="D92" s="2" t="str">
        <f>LEFT(B92,4)</f>
        <v>2015</v>
      </c>
      <c r="E92" s="2" t="str">
        <f>MID(B92,5,2)</f>
        <v>03</v>
      </c>
      <c r="F92" s="2" t="str">
        <f>RIGHT(B92,2)</f>
        <v>17</v>
      </c>
      <c r="G92" s="29">
        <f>DATE(D92,E92,F92)</f>
        <v>42080</v>
      </c>
      <c r="I92" s="2" t="s">
        <v>90</v>
      </c>
    </row>
    <row r="93" hidden="1">
      <c r="A93" s="1" t="s">
        <v>642</v>
      </c>
      <c r="I93" s="2" t="s">
        <v>91</v>
      </c>
    </row>
    <row r="94" hidden="1">
      <c r="A94" s="1" t="s">
        <v>643</v>
      </c>
      <c r="I94" s="2" t="s">
        <v>92</v>
      </c>
    </row>
    <row r="95">
      <c r="A95" s="1" t="s">
        <v>710</v>
      </c>
      <c r="B95" s="2">
        <f>IFERROR(__xludf.DUMMYFUNCTION("SPLIT(A95,""_"")"),2.0150324E7)</f>
        <v>20150324</v>
      </c>
      <c r="C95" s="2" t="str">
        <f>IFERROR(__xludf.DUMMYFUNCTION("""COMPUTED_VALUE"""),"GIII")</f>
        <v>GIII</v>
      </c>
      <c r="D95" s="2" t="str">
        <f>LEFT(B95,4)</f>
        <v>2015</v>
      </c>
      <c r="E95" s="2" t="str">
        <f>MID(B95,5,2)</f>
        <v>03</v>
      </c>
      <c r="F95" s="2" t="str">
        <f>RIGHT(B95,2)</f>
        <v>24</v>
      </c>
      <c r="G95" s="29">
        <f>DATE(D95,E95,F95)</f>
        <v>42087</v>
      </c>
      <c r="I95" s="2" t="s">
        <v>93</v>
      </c>
    </row>
    <row r="96" hidden="1">
      <c r="A96" s="1" t="s">
        <v>642</v>
      </c>
      <c r="I96" s="2" t="s">
        <v>94</v>
      </c>
    </row>
    <row r="97" hidden="1">
      <c r="A97" s="1" t="s">
        <v>643</v>
      </c>
      <c r="I97" s="2" t="s">
        <v>95</v>
      </c>
    </row>
    <row r="98">
      <c r="A98" s="1" t="s">
        <v>711</v>
      </c>
      <c r="B98" s="2">
        <f>IFERROR(__xludf.DUMMYFUNCTION("SPLIT(A98,""_"")"),2.0150325E7)</f>
        <v>20150325</v>
      </c>
      <c r="C98" s="2" t="str">
        <f>IFERROR(__xludf.DUMMYFUNCTION("""COMPUTED_VALUE"""),"PAYX")</f>
        <v>PAYX</v>
      </c>
      <c r="D98" s="2" t="str">
        <f>LEFT(B98,4)</f>
        <v>2015</v>
      </c>
      <c r="E98" s="2" t="str">
        <f>MID(B98,5,2)</f>
        <v>03</v>
      </c>
      <c r="F98" s="2" t="str">
        <f>RIGHT(B98,2)</f>
        <v>25</v>
      </c>
      <c r="G98" s="29">
        <f>DATE(D98,E98,F98)</f>
        <v>42088</v>
      </c>
      <c r="I98" s="2" t="s">
        <v>712</v>
      </c>
    </row>
    <row r="99" hidden="1">
      <c r="A99" s="1" t="s">
        <v>642</v>
      </c>
      <c r="I99" s="2" t="s">
        <v>97</v>
      </c>
    </row>
    <row r="100" hidden="1">
      <c r="A100" s="1" t="s">
        <v>643</v>
      </c>
      <c r="I100" s="2" t="s">
        <v>98</v>
      </c>
    </row>
    <row r="101">
      <c r="A101" s="1" t="s">
        <v>713</v>
      </c>
      <c r="B101" s="2">
        <f>IFERROR(__xludf.DUMMYFUNCTION("SPLIT(A101,""_"")"),2.0150325E7)</f>
        <v>20150325</v>
      </c>
      <c r="C101" s="2" t="str">
        <f>IFERROR(__xludf.DUMMYFUNCTION("""COMPUTED_VALUE"""),"REX")</f>
        <v>REX</v>
      </c>
      <c r="D101" s="2" t="str">
        <f>LEFT(B101,4)</f>
        <v>2015</v>
      </c>
      <c r="E101" s="2" t="str">
        <f>MID(B101,5,2)</f>
        <v>03</v>
      </c>
      <c r="F101" s="2" t="str">
        <f>RIGHT(B101,2)</f>
        <v>25</v>
      </c>
      <c r="G101" s="29">
        <f>DATE(D101,E101,F101)</f>
        <v>42088</v>
      </c>
      <c r="I101" s="2" t="s">
        <v>100</v>
      </c>
    </row>
    <row r="102" hidden="1">
      <c r="A102" s="1" t="s">
        <v>642</v>
      </c>
      <c r="I102" s="2" t="s">
        <v>101</v>
      </c>
    </row>
    <row r="103" hidden="1">
      <c r="A103" s="1" t="s">
        <v>643</v>
      </c>
      <c r="I103" s="2" t="s">
        <v>102</v>
      </c>
    </row>
    <row r="104">
      <c r="A104" s="1" t="s">
        <v>714</v>
      </c>
      <c r="B104" s="2">
        <f>IFERROR(__xludf.DUMMYFUNCTION("SPLIT(A104,""_"")"),2.0150326E7)</f>
        <v>20150326</v>
      </c>
      <c r="C104" s="2" t="str">
        <f>IFERROR(__xludf.DUMMYFUNCTION("""COMPUTED_VALUE"""),"SCHL")</f>
        <v>SCHL</v>
      </c>
      <c r="D104" s="2" t="str">
        <f>LEFT(B104,4)</f>
        <v>2015</v>
      </c>
      <c r="E104" s="2" t="str">
        <f>MID(B104,5,2)</f>
        <v>03</v>
      </c>
      <c r="F104" s="2" t="str">
        <f>RIGHT(B104,2)</f>
        <v>26</v>
      </c>
      <c r="G104" s="29">
        <f>DATE(D104,E104,F104)</f>
        <v>42089</v>
      </c>
      <c r="I104" s="2" t="s">
        <v>103</v>
      </c>
    </row>
    <row r="105" hidden="1">
      <c r="A105" s="1" t="s">
        <v>642</v>
      </c>
      <c r="I105" s="2" t="s">
        <v>104</v>
      </c>
    </row>
    <row r="106" hidden="1">
      <c r="A106" s="1" t="s">
        <v>643</v>
      </c>
      <c r="I106" s="2" t="s">
        <v>105</v>
      </c>
    </row>
    <row r="107">
      <c r="A107" s="1" t="s">
        <v>715</v>
      </c>
      <c r="B107" s="2">
        <f>IFERROR(__xludf.DUMMYFUNCTION("SPLIT(A107,""_"")"),2.0150327E7)</f>
        <v>20150327</v>
      </c>
      <c r="C107" s="2" t="str">
        <f>IFERROR(__xludf.DUMMYFUNCTION("""COMPUTED_VALUE"""),"CCL")</f>
        <v>CCL</v>
      </c>
      <c r="D107" s="2" t="str">
        <f>LEFT(B107,4)</f>
        <v>2015</v>
      </c>
      <c r="E107" s="2" t="str">
        <f>MID(B107,5,2)</f>
        <v>03</v>
      </c>
      <c r="F107" s="2" t="str">
        <f>RIGHT(B107,2)</f>
        <v>27</v>
      </c>
      <c r="G107" s="29">
        <f>DATE(D107,E107,F107)</f>
        <v>42090</v>
      </c>
      <c r="I107" s="2" t="s">
        <v>106</v>
      </c>
    </row>
    <row r="108" hidden="1">
      <c r="A108" s="1" t="s">
        <v>642</v>
      </c>
      <c r="I108" s="2" t="s">
        <v>107</v>
      </c>
    </row>
    <row r="109" hidden="1">
      <c r="A109" s="1" t="s">
        <v>643</v>
      </c>
      <c r="I109" s="2" t="s">
        <v>108</v>
      </c>
    </row>
    <row r="110">
      <c r="A110" s="1" t="s">
        <v>716</v>
      </c>
      <c r="B110" s="2">
        <f>IFERROR(__xludf.DUMMYFUNCTION("SPLIT(A110,""_"")"),2.0150331E7)</f>
        <v>20150331</v>
      </c>
      <c r="C110" s="2" t="str">
        <f>IFERROR(__xludf.DUMMYFUNCTION("""COMPUTED_VALUE"""),"MOV")</f>
        <v>MOV</v>
      </c>
      <c r="D110" s="2" t="str">
        <f>LEFT(B110,4)</f>
        <v>2015</v>
      </c>
      <c r="E110" s="2" t="str">
        <f>MID(B110,5,2)</f>
        <v>03</v>
      </c>
      <c r="F110" s="2" t="str">
        <f>RIGHT(B110,2)</f>
        <v>31</v>
      </c>
      <c r="G110" s="29">
        <f>DATE(D110,E110,F110)</f>
        <v>42094</v>
      </c>
      <c r="I110" s="2" t="s">
        <v>109</v>
      </c>
    </row>
    <row r="111" hidden="1">
      <c r="A111" s="1" t="s">
        <v>642</v>
      </c>
      <c r="I111" s="2" t="s">
        <v>110</v>
      </c>
    </row>
    <row r="112" hidden="1">
      <c r="A112" s="1" t="s">
        <v>643</v>
      </c>
      <c r="I112" s="2" t="s">
        <v>111</v>
      </c>
    </row>
    <row r="113">
      <c r="A113" s="1" t="s">
        <v>717</v>
      </c>
      <c r="B113" s="2">
        <f>IFERROR(__xludf.DUMMYFUNCTION("SPLIT(A113,""_"")"),2.0150401E7)</f>
        <v>20150401</v>
      </c>
      <c r="C113" s="2" t="str">
        <f>IFERROR(__xludf.DUMMYFUNCTION("""COMPUTED_VALUE"""),"MU")</f>
        <v>MU</v>
      </c>
      <c r="D113" s="2" t="str">
        <f>LEFT(B113,4)</f>
        <v>2015</v>
      </c>
      <c r="E113" s="2" t="str">
        <f>MID(B113,5,2)</f>
        <v>04</v>
      </c>
      <c r="F113" s="2" t="str">
        <f>RIGHT(B113,2)</f>
        <v>01</v>
      </c>
      <c r="G113" s="29">
        <f>DATE(D113,E113,F113)</f>
        <v>42095</v>
      </c>
      <c r="I113" s="2" t="s">
        <v>112</v>
      </c>
    </row>
    <row r="114" hidden="1">
      <c r="A114" s="1" t="s">
        <v>642</v>
      </c>
      <c r="I114" s="2" t="s">
        <v>113</v>
      </c>
    </row>
    <row r="115" hidden="1">
      <c r="A115" s="1" t="s">
        <v>643</v>
      </c>
      <c r="I115" s="2" t="s">
        <v>114</v>
      </c>
    </row>
    <row r="116">
      <c r="A116" s="1" t="s">
        <v>718</v>
      </c>
      <c r="B116" s="2">
        <f>IFERROR(__xludf.DUMMYFUNCTION("SPLIT(A116,""_"")"),2.0150402E7)</f>
        <v>20150402</v>
      </c>
      <c r="C116" s="2" t="str">
        <f>IFERROR(__xludf.DUMMYFUNCTION("""COMPUTED_VALUE"""),"PERY")</f>
        <v>PERY</v>
      </c>
      <c r="D116" s="2" t="str">
        <f>LEFT(B116,4)</f>
        <v>2015</v>
      </c>
      <c r="E116" s="2" t="str">
        <f>MID(B116,5,2)</f>
        <v>04</v>
      </c>
      <c r="F116" s="2" t="str">
        <f>RIGHT(B116,2)</f>
        <v>02</v>
      </c>
      <c r="G116" s="29">
        <f>DATE(D116,E116,F116)</f>
        <v>42096</v>
      </c>
      <c r="I116" s="2" t="s">
        <v>115</v>
      </c>
    </row>
    <row r="117" hidden="1">
      <c r="A117" s="1" t="s">
        <v>642</v>
      </c>
      <c r="I117" s="2" t="s">
        <v>116</v>
      </c>
    </row>
    <row r="118" hidden="1">
      <c r="A118" s="1" t="s">
        <v>643</v>
      </c>
      <c r="I118" s="2" t="s">
        <v>117</v>
      </c>
    </row>
    <row r="119">
      <c r="A119" s="1" t="s">
        <v>719</v>
      </c>
      <c r="B119" s="2">
        <f>IFERROR(__xludf.DUMMYFUNCTION("SPLIT(A119,""_"")"),2.0150414E7)</f>
        <v>20150414</v>
      </c>
      <c r="C119" s="2" t="str">
        <f>IFERROR(__xludf.DUMMYFUNCTION("""COMPUTED_VALUE"""),"WFC")</f>
        <v>WFC</v>
      </c>
      <c r="D119" s="2" t="str">
        <f>LEFT(B119,4)</f>
        <v>2015</v>
      </c>
      <c r="E119" s="2" t="str">
        <f>MID(B119,5,2)</f>
        <v>04</v>
      </c>
      <c r="F119" s="2" t="str">
        <f>RIGHT(B119,2)</f>
        <v>14</v>
      </c>
      <c r="G119" s="29">
        <f>DATE(D119,E119,F119)</f>
        <v>42108</v>
      </c>
      <c r="I119" s="2" t="s">
        <v>118</v>
      </c>
    </row>
    <row r="120" hidden="1">
      <c r="A120" s="1" t="s">
        <v>642</v>
      </c>
      <c r="I120" s="2" t="s">
        <v>119</v>
      </c>
    </row>
    <row r="121" hidden="1">
      <c r="A121" s="1" t="s">
        <v>643</v>
      </c>
      <c r="I121" s="2" t="s">
        <v>120</v>
      </c>
    </row>
    <row r="122">
      <c r="A122" s="1" t="s">
        <v>720</v>
      </c>
      <c r="B122" s="2">
        <f>IFERROR(__xludf.DUMMYFUNCTION("SPLIT(A122,""_"")"),2.0150415E7)</f>
        <v>20150415</v>
      </c>
      <c r="C122" s="2" t="str">
        <f>IFERROR(__xludf.DUMMYFUNCTION("""COMPUTED_VALUE"""),"WSO")</f>
        <v>WSO</v>
      </c>
      <c r="D122" s="2" t="str">
        <f>LEFT(B122,4)</f>
        <v>2015</v>
      </c>
      <c r="E122" s="2" t="str">
        <f>MID(B122,5,2)</f>
        <v>04</v>
      </c>
      <c r="F122" s="2" t="str">
        <f>RIGHT(B122,2)</f>
        <v>15</v>
      </c>
      <c r="G122" s="29">
        <f>DATE(D122,E122,F122)</f>
        <v>42109</v>
      </c>
      <c r="I122" s="2" t="s">
        <v>121</v>
      </c>
    </row>
    <row r="123" hidden="1">
      <c r="A123" s="1" t="s">
        <v>642</v>
      </c>
      <c r="I123" s="2" t="s">
        <v>122</v>
      </c>
    </row>
    <row r="124" hidden="1">
      <c r="A124" s="1" t="s">
        <v>643</v>
      </c>
      <c r="I124" s="2" t="s">
        <v>123</v>
      </c>
    </row>
    <row r="125">
      <c r="A125" s="1" t="s">
        <v>721</v>
      </c>
      <c r="B125" s="2">
        <f>IFERROR(__xludf.DUMMYFUNCTION("SPLIT(A125,""_"")"),2.015042E7)</f>
        <v>20150420</v>
      </c>
      <c r="C125" s="2" t="str">
        <f>IFERROR(__xludf.DUMMYFUNCTION("""COMPUTED_VALUE"""),"CBU")</f>
        <v>CBU</v>
      </c>
      <c r="D125" s="2" t="str">
        <f>LEFT(B125,4)</f>
        <v>2015</v>
      </c>
      <c r="E125" s="2" t="str">
        <f>MID(B125,5,2)</f>
        <v>04</v>
      </c>
      <c r="F125" s="2" t="str">
        <f>RIGHT(B125,2)</f>
        <v>20</v>
      </c>
      <c r="G125" s="29">
        <f>DATE(D125,E125,F125)</f>
        <v>42114</v>
      </c>
      <c r="I125" s="2" t="s">
        <v>124</v>
      </c>
    </row>
    <row r="126" hidden="1">
      <c r="A126" s="1" t="s">
        <v>642</v>
      </c>
      <c r="I126" s="2" t="s">
        <v>125</v>
      </c>
    </row>
    <row r="127" hidden="1">
      <c r="A127" s="1" t="s">
        <v>643</v>
      </c>
      <c r="I127" s="2" t="s">
        <v>126</v>
      </c>
    </row>
    <row r="128">
      <c r="A128" s="1" t="s">
        <v>722</v>
      </c>
      <c r="B128" s="2">
        <f>IFERROR(__xludf.DUMMYFUNCTION("SPLIT(A128,""_"")"),2.015042E7)</f>
        <v>20150420</v>
      </c>
      <c r="C128" s="2" t="str">
        <f>IFERROR(__xludf.DUMMYFUNCTION("""COMPUTED_VALUE"""),"LII")</f>
        <v>LII</v>
      </c>
      <c r="D128" s="2" t="str">
        <f>LEFT(B128,4)</f>
        <v>2015</v>
      </c>
      <c r="E128" s="2" t="str">
        <f>MID(B128,5,2)</f>
        <v>04</v>
      </c>
      <c r="F128" s="2" t="str">
        <f>RIGHT(B128,2)</f>
        <v>20</v>
      </c>
      <c r="G128" s="29">
        <f>DATE(D128,E128,F128)</f>
        <v>42114</v>
      </c>
      <c r="I128" s="2" t="s">
        <v>127</v>
      </c>
    </row>
    <row r="129" hidden="1">
      <c r="A129" s="1" t="s">
        <v>642</v>
      </c>
      <c r="I129" s="2" t="s">
        <v>128</v>
      </c>
    </row>
    <row r="130" hidden="1">
      <c r="A130" s="1" t="s">
        <v>643</v>
      </c>
      <c r="I130" s="2" t="s">
        <v>129</v>
      </c>
    </row>
    <row r="131">
      <c r="A131" s="1" t="s">
        <v>723</v>
      </c>
      <c r="B131" s="2">
        <f>IFERROR(__xludf.DUMMYFUNCTION("SPLIT(A131,""_"")"),2.015042E7)</f>
        <v>20150420</v>
      </c>
      <c r="C131" s="2" t="str">
        <f>IFERROR(__xludf.DUMMYFUNCTION("""COMPUTED_VALUE"""),"LRCX")</f>
        <v>LRCX</v>
      </c>
      <c r="D131" s="2" t="str">
        <f>LEFT(B131,4)</f>
        <v>2015</v>
      </c>
      <c r="E131" s="2" t="str">
        <f>MID(B131,5,2)</f>
        <v>04</v>
      </c>
      <c r="F131" s="2" t="str">
        <f>RIGHT(B131,2)</f>
        <v>20</v>
      </c>
      <c r="G131" s="29">
        <f>DATE(D131,E131,F131)</f>
        <v>42114</v>
      </c>
      <c r="I131" s="2" t="s">
        <v>130</v>
      </c>
    </row>
    <row r="132" hidden="1">
      <c r="A132" s="1" t="s">
        <v>642</v>
      </c>
      <c r="I132" s="2" t="s">
        <v>131</v>
      </c>
    </row>
    <row r="133" hidden="1">
      <c r="A133" s="1" t="s">
        <v>643</v>
      </c>
      <c r="I133" s="2" t="s">
        <v>132</v>
      </c>
    </row>
    <row r="134">
      <c r="A134" s="1" t="s">
        <v>724</v>
      </c>
      <c r="B134" s="2">
        <f>IFERROR(__xludf.DUMMYFUNCTION("SPLIT(A134,""_"")"),2.015042E7)</f>
        <v>20150420</v>
      </c>
      <c r="C134" s="2" t="str">
        <f>IFERROR(__xludf.DUMMYFUNCTION("""COMPUTED_VALUE"""),"RMBS")</f>
        <v>RMBS</v>
      </c>
      <c r="D134" s="2" t="str">
        <f>LEFT(B134,4)</f>
        <v>2015</v>
      </c>
      <c r="E134" s="2" t="str">
        <f>MID(B134,5,2)</f>
        <v>04</v>
      </c>
      <c r="F134" s="2" t="str">
        <f>RIGHT(B134,2)</f>
        <v>20</v>
      </c>
      <c r="G134" s="29">
        <f>DATE(D134,E134,F134)</f>
        <v>42114</v>
      </c>
      <c r="I134" s="2" t="s">
        <v>133</v>
      </c>
    </row>
    <row r="135" hidden="1">
      <c r="A135" s="1" t="s">
        <v>642</v>
      </c>
      <c r="I135" s="2" t="s">
        <v>134</v>
      </c>
    </row>
    <row r="136" hidden="1">
      <c r="A136" s="1" t="s">
        <v>643</v>
      </c>
      <c r="I136" s="2" t="s">
        <v>135</v>
      </c>
    </row>
    <row r="137">
      <c r="A137" s="1" t="s">
        <v>725</v>
      </c>
      <c r="B137" s="2">
        <f>IFERROR(__xludf.DUMMYFUNCTION("SPLIT(A137,""_"")"),2.015042E7)</f>
        <v>20150420</v>
      </c>
      <c r="C137" s="2" t="str">
        <f>IFERROR(__xludf.DUMMYFUNCTION("""COMPUTED_VALUE"""),"SANM")</f>
        <v>SANM</v>
      </c>
      <c r="D137" s="2" t="str">
        <f>LEFT(B137,4)</f>
        <v>2015</v>
      </c>
      <c r="E137" s="2" t="str">
        <f>MID(B137,5,2)</f>
        <v>04</v>
      </c>
      <c r="F137" s="2" t="str">
        <f>RIGHT(B137,2)</f>
        <v>20</v>
      </c>
      <c r="G137" s="29">
        <f>DATE(D137,E137,F137)</f>
        <v>42114</v>
      </c>
      <c r="I137" s="2" t="s">
        <v>136</v>
      </c>
    </row>
    <row r="138" hidden="1">
      <c r="A138" s="1" t="s">
        <v>642</v>
      </c>
      <c r="I138" s="2" t="s">
        <v>137</v>
      </c>
    </row>
    <row r="139" hidden="1">
      <c r="A139" s="1" t="s">
        <v>643</v>
      </c>
      <c r="I139" s="2" t="s">
        <v>726</v>
      </c>
    </row>
    <row r="140">
      <c r="A140" s="1" t="s">
        <v>727</v>
      </c>
      <c r="B140" s="2">
        <f>IFERROR(__xludf.DUMMYFUNCTION("SPLIT(A140,""_"")"),2.0150421E7)</f>
        <v>20150421</v>
      </c>
      <c r="C140" s="2" t="str">
        <f>IFERROR(__xludf.DUMMYFUNCTION("""COMPUTED_VALUE"""),"ABG")</f>
        <v>ABG</v>
      </c>
      <c r="D140" s="2" t="str">
        <f>LEFT(B140,4)</f>
        <v>2015</v>
      </c>
      <c r="E140" s="2" t="str">
        <f>MID(B140,5,2)</f>
        <v>04</v>
      </c>
      <c r="F140" s="2" t="str">
        <f>RIGHT(B140,2)</f>
        <v>21</v>
      </c>
      <c r="G140" s="29">
        <f>DATE(D140,E140,F140)</f>
        <v>42115</v>
      </c>
      <c r="I140" s="2" t="s">
        <v>139</v>
      </c>
    </row>
    <row r="141" hidden="1">
      <c r="A141" s="1" t="s">
        <v>642</v>
      </c>
      <c r="I141" s="2" t="s">
        <v>140</v>
      </c>
    </row>
    <row r="142" hidden="1">
      <c r="A142" s="1" t="s">
        <v>643</v>
      </c>
      <c r="I142" s="2" t="s">
        <v>141</v>
      </c>
    </row>
    <row r="143">
      <c r="A143" s="1" t="s">
        <v>728</v>
      </c>
      <c r="B143" s="2">
        <f>IFERROR(__xludf.DUMMYFUNCTION("SPLIT(A143,""_"")"),2.0150421E7)</f>
        <v>20150421</v>
      </c>
      <c r="C143" s="2" t="str">
        <f>IFERROR(__xludf.DUMMYFUNCTION("""COMPUTED_VALUE"""),"AMGN")</f>
        <v>AMGN</v>
      </c>
      <c r="D143" s="2" t="str">
        <f>LEFT(B143,4)</f>
        <v>2015</v>
      </c>
      <c r="E143" s="2" t="str">
        <f>MID(B143,5,2)</f>
        <v>04</v>
      </c>
      <c r="F143" s="2" t="str">
        <f>RIGHT(B143,2)</f>
        <v>21</v>
      </c>
      <c r="G143" s="29">
        <f>DATE(D143,E143,F143)</f>
        <v>42115</v>
      </c>
      <c r="I143" s="2" t="s">
        <v>142</v>
      </c>
    </row>
    <row r="144" hidden="1">
      <c r="A144" s="1" t="s">
        <v>642</v>
      </c>
      <c r="I144" s="2" t="s">
        <v>143</v>
      </c>
    </row>
    <row r="145" hidden="1">
      <c r="A145" s="1" t="s">
        <v>643</v>
      </c>
      <c r="I145" s="2" t="s">
        <v>144</v>
      </c>
    </row>
    <row r="146">
      <c r="A146" s="1" t="s">
        <v>729</v>
      </c>
      <c r="B146" s="2">
        <f>IFERROR(__xludf.DUMMYFUNCTION("SPLIT(A146,""_"")"),2.0150421E7)</f>
        <v>20150421</v>
      </c>
      <c r="C146" s="2" t="str">
        <f>IFERROR(__xludf.DUMMYFUNCTION("""COMPUTED_VALUE"""),"BMI")</f>
        <v>BMI</v>
      </c>
      <c r="D146" s="2" t="str">
        <f>LEFT(B146,4)</f>
        <v>2015</v>
      </c>
      <c r="E146" s="2" t="str">
        <f>MID(B146,5,2)</f>
        <v>04</v>
      </c>
      <c r="F146" s="2" t="str">
        <f>RIGHT(B146,2)</f>
        <v>21</v>
      </c>
      <c r="G146" s="29">
        <f>DATE(D146,E146,F146)</f>
        <v>42115</v>
      </c>
      <c r="I146" s="2" t="s">
        <v>145</v>
      </c>
    </row>
    <row r="147" hidden="1">
      <c r="A147" s="1" t="s">
        <v>642</v>
      </c>
      <c r="I147" s="2" t="s">
        <v>146</v>
      </c>
    </row>
    <row r="148" hidden="1">
      <c r="A148" s="1" t="s">
        <v>643</v>
      </c>
      <c r="I148" s="2" t="s">
        <v>147</v>
      </c>
    </row>
    <row r="149">
      <c r="A149" s="1" t="s">
        <v>730</v>
      </c>
      <c r="B149" s="2">
        <f>IFERROR(__xludf.DUMMYFUNCTION("SPLIT(A149,""_"")"),2.0150421E7)</f>
        <v>20150421</v>
      </c>
      <c r="C149" s="2" t="str">
        <f>IFERROR(__xludf.DUMMYFUNCTION("""COMPUTED_VALUE"""),"CMG")</f>
        <v>CMG</v>
      </c>
      <c r="D149" s="2" t="str">
        <f>LEFT(B149,4)</f>
        <v>2015</v>
      </c>
      <c r="E149" s="2" t="str">
        <f>MID(B149,5,2)</f>
        <v>04</v>
      </c>
      <c r="F149" s="2" t="str">
        <f>RIGHT(B149,2)</f>
        <v>21</v>
      </c>
      <c r="G149" s="29">
        <f>DATE(D149,E149,F149)</f>
        <v>42115</v>
      </c>
      <c r="I149" s="2" t="s">
        <v>148</v>
      </c>
    </row>
    <row r="150" hidden="1">
      <c r="A150" s="1" t="s">
        <v>642</v>
      </c>
      <c r="I150" s="2" t="s">
        <v>149</v>
      </c>
    </row>
    <row r="151" hidden="1">
      <c r="A151" s="1" t="s">
        <v>643</v>
      </c>
      <c r="I151" s="2" t="s">
        <v>150</v>
      </c>
    </row>
    <row r="152">
      <c r="A152" s="1" t="s">
        <v>731</v>
      </c>
      <c r="B152" s="2">
        <f>IFERROR(__xludf.DUMMYFUNCTION("SPLIT(A152,""_"")"),2.0150421E7)</f>
        <v>20150421</v>
      </c>
      <c r="C152" s="2" t="str">
        <f>IFERROR(__xludf.DUMMYFUNCTION("""COMPUTED_VALUE"""),"IBKR")</f>
        <v>IBKR</v>
      </c>
      <c r="D152" s="2" t="str">
        <f>LEFT(B152,4)</f>
        <v>2015</v>
      </c>
      <c r="E152" s="2" t="str">
        <f>MID(B152,5,2)</f>
        <v>04</v>
      </c>
      <c r="F152" s="2" t="str">
        <f>RIGHT(B152,2)</f>
        <v>21</v>
      </c>
      <c r="G152" s="29">
        <f>DATE(D152,E152,F152)</f>
        <v>42115</v>
      </c>
      <c r="I152" s="2" t="s">
        <v>151</v>
      </c>
    </row>
    <row r="153" hidden="1">
      <c r="A153" s="1" t="s">
        <v>642</v>
      </c>
      <c r="I153" s="2" t="s">
        <v>152</v>
      </c>
    </row>
    <row r="154" hidden="1">
      <c r="A154" s="1" t="s">
        <v>643</v>
      </c>
      <c r="I154" s="2" t="s">
        <v>732</v>
      </c>
    </row>
    <row r="155">
      <c r="A155" s="1" t="s">
        <v>733</v>
      </c>
      <c r="B155" s="2">
        <f>IFERROR(__xludf.DUMMYFUNCTION("SPLIT(A155,""_"")"),2.0150421E7)</f>
        <v>20150421</v>
      </c>
      <c r="C155" s="2" t="str">
        <f>IFERROR(__xludf.DUMMYFUNCTION("""COMPUTED_VALUE"""),"KMB")</f>
        <v>KMB</v>
      </c>
      <c r="D155" s="2" t="str">
        <f>LEFT(B155,4)</f>
        <v>2015</v>
      </c>
      <c r="E155" s="2" t="str">
        <f>MID(B155,5,2)</f>
        <v>04</v>
      </c>
      <c r="F155" s="2" t="str">
        <f>RIGHT(B155,2)</f>
        <v>21</v>
      </c>
      <c r="G155" s="29">
        <f>DATE(D155,E155,F155)</f>
        <v>42115</v>
      </c>
      <c r="I155" s="2" t="s">
        <v>734</v>
      </c>
    </row>
    <row r="156" hidden="1">
      <c r="A156" s="1" t="s">
        <v>642</v>
      </c>
      <c r="I156" s="2" t="s">
        <v>155</v>
      </c>
    </row>
    <row r="157" hidden="1">
      <c r="A157" s="1" t="s">
        <v>643</v>
      </c>
      <c r="I157" s="2" t="s">
        <v>156</v>
      </c>
    </row>
    <row r="158">
      <c r="A158" s="1" t="s">
        <v>735</v>
      </c>
      <c r="B158" s="2">
        <f>IFERROR(__xludf.DUMMYFUNCTION("SPLIT(A158,""_"")"),2.0150421E7)</f>
        <v>20150421</v>
      </c>
      <c r="C158" s="2" t="str">
        <f>IFERROR(__xludf.DUMMYFUNCTION("""COMPUTED_VALUE"""),"MAN")</f>
        <v>MAN</v>
      </c>
      <c r="D158" s="2" t="str">
        <f>LEFT(B158,4)</f>
        <v>2015</v>
      </c>
      <c r="E158" s="2" t="str">
        <f>MID(B158,5,2)</f>
        <v>04</v>
      </c>
      <c r="F158" s="2" t="str">
        <f>RIGHT(B158,2)</f>
        <v>21</v>
      </c>
      <c r="G158" s="29">
        <f>DATE(D158,E158,F158)</f>
        <v>42115</v>
      </c>
      <c r="I158" s="2" t="s">
        <v>157</v>
      </c>
    </row>
    <row r="159" hidden="1">
      <c r="A159" s="1" t="s">
        <v>642</v>
      </c>
      <c r="I159" s="2" t="s">
        <v>158</v>
      </c>
    </row>
    <row r="160" hidden="1">
      <c r="A160" s="1" t="s">
        <v>643</v>
      </c>
      <c r="I160" s="2" t="s">
        <v>159</v>
      </c>
    </row>
    <row r="161">
      <c r="A161" s="1" t="s">
        <v>736</v>
      </c>
      <c r="B161" s="2">
        <f>IFERROR(__xludf.DUMMYFUNCTION("SPLIT(A161,""_"")"),2.0150421E7)</f>
        <v>20150421</v>
      </c>
      <c r="C161" s="2" t="str">
        <f>IFERROR(__xludf.DUMMYFUNCTION("""COMPUTED_VALUE"""),"NTRS")</f>
        <v>NTRS</v>
      </c>
      <c r="D161" s="2" t="str">
        <f>LEFT(B161,4)</f>
        <v>2015</v>
      </c>
      <c r="E161" s="2" t="str">
        <f>MID(B161,5,2)</f>
        <v>04</v>
      </c>
      <c r="F161" s="2" t="str">
        <f>RIGHT(B161,2)</f>
        <v>21</v>
      </c>
      <c r="G161" s="29">
        <f>DATE(D161,E161,F161)</f>
        <v>42115</v>
      </c>
      <c r="I161" s="2" t="s">
        <v>160</v>
      </c>
    </row>
    <row r="162" hidden="1">
      <c r="A162" s="1" t="s">
        <v>642</v>
      </c>
      <c r="I162" s="2" t="s">
        <v>161</v>
      </c>
    </row>
    <row r="163" hidden="1">
      <c r="A163" s="1" t="s">
        <v>643</v>
      </c>
      <c r="I163" s="2" t="s">
        <v>162</v>
      </c>
    </row>
    <row r="164">
      <c r="A164" s="1" t="s">
        <v>737</v>
      </c>
      <c r="B164" s="2">
        <f>IFERROR(__xludf.DUMMYFUNCTION("SPLIT(A164,""_"")"),2.0150421E7)</f>
        <v>20150421</v>
      </c>
      <c r="C164" s="2" t="str">
        <f>IFERROR(__xludf.DUMMYFUNCTION("""COMPUTED_VALUE"""),"OMC")</f>
        <v>OMC</v>
      </c>
      <c r="D164" s="2" t="str">
        <f>LEFT(B164,4)</f>
        <v>2015</v>
      </c>
      <c r="E164" s="2" t="str">
        <f>MID(B164,5,2)</f>
        <v>04</v>
      </c>
      <c r="F164" s="2" t="str">
        <f>RIGHT(B164,2)</f>
        <v>21</v>
      </c>
      <c r="G164" s="29">
        <f>DATE(D164,E164,F164)</f>
        <v>42115</v>
      </c>
      <c r="I164" s="2" t="s">
        <v>163</v>
      </c>
    </row>
    <row r="165" hidden="1">
      <c r="A165" s="1" t="s">
        <v>642</v>
      </c>
      <c r="I165" s="2" t="s">
        <v>164</v>
      </c>
    </row>
    <row r="166" hidden="1">
      <c r="A166" s="1" t="s">
        <v>643</v>
      </c>
      <c r="I166" s="2" t="s">
        <v>165</v>
      </c>
    </row>
    <row r="167">
      <c r="A167" s="1" t="s">
        <v>738</v>
      </c>
      <c r="B167" s="2">
        <f>IFERROR(__xludf.DUMMYFUNCTION("SPLIT(A167,""_"")"),2.0150421E7)</f>
        <v>20150421</v>
      </c>
      <c r="C167" s="2" t="str">
        <f>IFERROR(__xludf.DUMMYFUNCTION("""COMPUTED_VALUE"""),"RF")</f>
        <v>RF</v>
      </c>
      <c r="D167" s="2" t="str">
        <f>LEFT(B167,4)</f>
        <v>2015</v>
      </c>
      <c r="E167" s="2" t="str">
        <f>MID(B167,5,2)</f>
        <v>04</v>
      </c>
      <c r="F167" s="2" t="str">
        <f>RIGHT(B167,2)</f>
        <v>21</v>
      </c>
      <c r="G167" s="29">
        <f>DATE(D167,E167,F167)</f>
        <v>42115</v>
      </c>
      <c r="I167" s="2" t="s">
        <v>739</v>
      </c>
    </row>
    <row r="168" hidden="1">
      <c r="A168" s="1" t="s">
        <v>642</v>
      </c>
      <c r="I168" s="2" t="s">
        <v>167</v>
      </c>
    </row>
    <row r="169" hidden="1">
      <c r="A169" s="1" t="s">
        <v>643</v>
      </c>
      <c r="I169" s="2" t="s">
        <v>168</v>
      </c>
    </row>
    <row r="170">
      <c r="A170" s="1" t="s">
        <v>740</v>
      </c>
      <c r="B170" s="2">
        <f>IFERROR(__xludf.DUMMYFUNCTION("SPLIT(A170,""_"")"),2.0150421E7)</f>
        <v>20150421</v>
      </c>
      <c r="C170" s="2" t="str">
        <f>IFERROR(__xludf.DUMMYFUNCTION("""COMPUTED_VALUE"""),"SBNY")</f>
        <v>SBNY</v>
      </c>
      <c r="D170" s="2" t="str">
        <f>LEFT(B170,4)</f>
        <v>2015</v>
      </c>
      <c r="E170" s="2" t="str">
        <f>MID(B170,5,2)</f>
        <v>04</v>
      </c>
      <c r="F170" s="2" t="str">
        <f>RIGHT(B170,2)</f>
        <v>21</v>
      </c>
      <c r="G170" s="29">
        <f>DATE(D170,E170,F170)</f>
        <v>42115</v>
      </c>
      <c r="I170" s="2" t="s">
        <v>169</v>
      </c>
    </row>
    <row r="171" hidden="1">
      <c r="A171" s="1" t="s">
        <v>642</v>
      </c>
      <c r="I171" s="2" t="s">
        <v>170</v>
      </c>
    </row>
    <row r="172" hidden="1">
      <c r="A172" s="1" t="s">
        <v>643</v>
      </c>
      <c r="I172" s="2" t="s">
        <v>171</v>
      </c>
    </row>
    <row r="173">
      <c r="A173" s="1" t="s">
        <v>741</v>
      </c>
      <c r="B173" s="2">
        <f>IFERROR(__xludf.DUMMYFUNCTION("SPLIT(A173,""_"")"),2.0150421E7)</f>
        <v>20150421</v>
      </c>
      <c r="C173" s="2" t="str">
        <f>IFERROR(__xludf.DUMMYFUNCTION("""COMPUTED_VALUE"""),"STBA")</f>
        <v>STBA</v>
      </c>
      <c r="D173" s="2" t="str">
        <f>LEFT(B173,4)</f>
        <v>2015</v>
      </c>
      <c r="E173" s="2" t="str">
        <f>MID(B173,5,2)</f>
        <v>04</v>
      </c>
      <c r="F173" s="2" t="str">
        <f>RIGHT(B173,2)</f>
        <v>21</v>
      </c>
      <c r="G173" s="29">
        <f>DATE(D173,E173,F173)</f>
        <v>42115</v>
      </c>
      <c r="I173" s="2" t="s">
        <v>742</v>
      </c>
    </row>
    <row r="174" hidden="1">
      <c r="A174" s="1" t="s">
        <v>642</v>
      </c>
      <c r="I174" s="2" t="s">
        <v>172</v>
      </c>
    </row>
    <row r="175" hidden="1">
      <c r="A175" s="1" t="s">
        <v>643</v>
      </c>
      <c r="I175" s="2" t="s">
        <v>173</v>
      </c>
    </row>
    <row r="176">
      <c r="A176" s="1" t="s">
        <v>743</v>
      </c>
      <c r="B176" s="2">
        <f>IFERROR(__xludf.DUMMYFUNCTION("SPLIT(A176,""_"")"),2.0150421E7)</f>
        <v>20150421</v>
      </c>
      <c r="C176" s="2" t="str">
        <f>IFERROR(__xludf.DUMMYFUNCTION("""COMPUTED_VALUE"""),"SYK")</f>
        <v>SYK</v>
      </c>
      <c r="D176" s="2" t="str">
        <f>LEFT(B176,4)</f>
        <v>2015</v>
      </c>
      <c r="E176" s="2" t="str">
        <f>MID(B176,5,2)</f>
        <v>04</v>
      </c>
      <c r="F176" s="2" t="str">
        <f>RIGHT(B176,2)</f>
        <v>21</v>
      </c>
      <c r="G176" s="29">
        <f>DATE(D176,E176,F176)</f>
        <v>42115</v>
      </c>
      <c r="I176" s="2" t="s">
        <v>174</v>
      </c>
    </row>
    <row r="177" hidden="1">
      <c r="A177" s="1" t="s">
        <v>642</v>
      </c>
      <c r="I177" s="2" t="s">
        <v>175</v>
      </c>
    </row>
    <row r="178" hidden="1">
      <c r="A178" s="1" t="s">
        <v>643</v>
      </c>
      <c r="I178" s="2" t="s">
        <v>176</v>
      </c>
    </row>
    <row r="179">
      <c r="A179" s="1" t="s">
        <v>744</v>
      </c>
      <c r="B179" s="2">
        <f>IFERROR(__xludf.DUMMYFUNCTION("SPLIT(A179,""_"")"),2.0150422E7)</f>
        <v>20150422</v>
      </c>
      <c r="C179" s="2" t="str">
        <f>IFERROR(__xludf.DUMMYFUNCTION("""COMPUTED_VALUE"""),"AN")</f>
        <v>AN</v>
      </c>
      <c r="D179" s="2" t="str">
        <f>LEFT(B179,4)</f>
        <v>2015</v>
      </c>
      <c r="E179" s="2" t="str">
        <f>MID(B179,5,2)</f>
        <v>04</v>
      </c>
      <c r="F179" s="2" t="str">
        <f>RIGHT(B179,2)</f>
        <v>22</v>
      </c>
      <c r="G179" s="29">
        <f>DATE(D179,E179,F179)</f>
        <v>42116</v>
      </c>
      <c r="I179" s="2" t="s">
        <v>177</v>
      </c>
    </row>
    <row r="180" hidden="1">
      <c r="A180" s="1" t="s">
        <v>642</v>
      </c>
      <c r="I180" s="2" t="s">
        <v>178</v>
      </c>
    </row>
    <row r="181" hidden="1">
      <c r="A181" s="1" t="s">
        <v>643</v>
      </c>
      <c r="I181" s="2" t="s">
        <v>179</v>
      </c>
    </row>
    <row r="182">
      <c r="A182" s="1" t="s">
        <v>745</v>
      </c>
      <c r="B182" s="2">
        <f>IFERROR(__xludf.DUMMYFUNCTION("SPLIT(A182,""_"")"),2.0150422E7)</f>
        <v>20150422</v>
      </c>
      <c r="C182" s="2" t="str">
        <f>IFERROR(__xludf.DUMMYFUNCTION("""COMPUTED_VALUE"""),"AZZ")</f>
        <v>AZZ</v>
      </c>
      <c r="D182" s="2" t="str">
        <f>LEFT(B182,4)</f>
        <v>2015</v>
      </c>
      <c r="E182" s="2" t="str">
        <f>MID(B182,5,2)</f>
        <v>04</v>
      </c>
      <c r="F182" s="2" t="str">
        <f>RIGHT(B182,2)</f>
        <v>22</v>
      </c>
      <c r="G182" s="29">
        <f>DATE(D182,E182,F182)</f>
        <v>42116</v>
      </c>
      <c r="I182" s="2" t="s">
        <v>180</v>
      </c>
    </row>
    <row r="183" hidden="1">
      <c r="A183" s="1" t="s">
        <v>642</v>
      </c>
      <c r="I183" s="2" t="s">
        <v>181</v>
      </c>
    </row>
    <row r="184" hidden="1">
      <c r="A184" s="1" t="s">
        <v>643</v>
      </c>
      <c r="I184" s="2" t="s">
        <v>182</v>
      </c>
    </row>
    <row r="185">
      <c r="A185" s="1" t="s">
        <v>746</v>
      </c>
      <c r="B185" s="2">
        <f>IFERROR(__xludf.DUMMYFUNCTION("SPLIT(A185,""_"")"),2.0150422E7)</f>
        <v>20150422</v>
      </c>
      <c r="C185" s="2" t="str">
        <f>IFERROR(__xludf.DUMMYFUNCTION("""COMPUTED_VALUE"""),"BA")</f>
        <v>BA</v>
      </c>
      <c r="D185" s="2" t="str">
        <f>LEFT(B185,4)</f>
        <v>2015</v>
      </c>
      <c r="E185" s="2" t="str">
        <f>MID(B185,5,2)</f>
        <v>04</v>
      </c>
      <c r="F185" s="2" t="str">
        <f>RIGHT(B185,2)</f>
        <v>22</v>
      </c>
      <c r="G185" s="29">
        <f>DATE(D185,E185,F185)</f>
        <v>42116</v>
      </c>
      <c r="I185" s="2" t="s">
        <v>183</v>
      </c>
    </row>
    <row r="186" hidden="1">
      <c r="A186" s="1" t="s">
        <v>642</v>
      </c>
      <c r="I186" s="2" t="s">
        <v>184</v>
      </c>
    </row>
    <row r="187" hidden="1">
      <c r="A187" s="1" t="s">
        <v>643</v>
      </c>
      <c r="I187" s="2" t="s">
        <v>185</v>
      </c>
    </row>
    <row r="188">
      <c r="A188" s="1" t="s">
        <v>747</v>
      </c>
      <c r="B188" s="2">
        <f>IFERROR(__xludf.DUMMYFUNCTION("SPLIT(A188,""_"")"),2.0150422E7)</f>
        <v>20150422</v>
      </c>
      <c r="C188" s="2" t="str">
        <f>IFERROR(__xludf.DUMMYFUNCTION("""COMPUTED_VALUE"""),"CATY")</f>
        <v>CATY</v>
      </c>
      <c r="D188" s="2" t="str">
        <f>LEFT(B188,4)</f>
        <v>2015</v>
      </c>
      <c r="E188" s="2" t="str">
        <f>MID(B188,5,2)</f>
        <v>04</v>
      </c>
      <c r="F188" s="2" t="str">
        <f>RIGHT(B188,2)</f>
        <v>22</v>
      </c>
      <c r="G188" s="29">
        <f>DATE(D188,E188,F188)</f>
        <v>42116</v>
      </c>
      <c r="I188" s="2" t="s">
        <v>186</v>
      </c>
    </row>
    <row r="189" hidden="1">
      <c r="A189" s="1" t="s">
        <v>642</v>
      </c>
      <c r="I189" s="2" t="s">
        <v>187</v>
      </c>
    </row>
    <row r="190" hidden="1">
      <c r="A190" s="1" t="s">
        <v>643</v>
      </c>
      <c r="I190" s="2" t="s">
        <v>188</v>
      </c>
    </row>
    <row r="191">
      <c r="A191" s="1" t="s">
        <v>748</v>
      </c>
      <c r="B191" s="2">
        <f>IFERROR(__xludf.DUMMYFUNCTION("SPLIT(A191,""_"")"),2.0150422E7)</f>
        <v>20150422</v>
      </c>
      <c r="C191" s="2" t="str">
        <f>IFERROR(__xludf.DUMMYFUNCTION("""COMPUTED_VALUE"""),"CLW")</f>
        <v>CLW</v>
      </c>
      <c r="D191" s="2" t="str">
        <f>LEFT(B191,4)</f>
        <v>2015</v>
      </c>
      <c r="E191" s="2" t="str">
        <f>MID(B191,5,2)</f>
        <v>04</v>
      </c>
      <c r="F191" s="2" t="str">
        <f>RIGHT(B191,2)</f>
        <v>22</v>
      </c>
      <c r="G191" s="29">
        <f>DATE(D191,E191,F191)</f>
        <v>42116</v>
      </c>
      <c r="I191" s="2" t="s">
        <v>189</v>
      </c>
    </row>
    <row r="192" hidden="1">
      <c r="A192" s="1" t="s">
        <v>642</v>
      </c>
      <c r="I192" s="2" t="s">
        <v>190</v>
      </c>
    </row>
    <row r="193" hidden="1">
      <c r="A193" s="1" t="s">
        <v>643</v>
      </c>
      <c r="I193" s="2" t="s">
        <v>191</v>
      </c>
    </row>
    <row r="194">
      <c r="A194" s="1" t="s">
        <v>749</v>
      </c>
      <c r="B194" s="2">
        <f>IFERROR(__xludf.DUMMYFUNCTION("SPLIT(A194,""_"")"),2.0150422E7)</f>
        <v>20150422</v>
      </c>
      <c r="C194" s="2" t="str">
        <f>IFERROR(__xludf.DUMMYFUNCTION("""COMPUTED_VALUE"""),"EXPO")</f>
        <v>EXPO</v>
      </c>
      <c r="D194" s="2" t="str">
        <f>LEFT(B194,4)</f>
        <v>2015</v>
      </c>
      <c r="E194" s="2" t="str">
        <f>MID(B194,5,2)</f>
        <v>04</v>
      </c>
      <c r="F194" s="2" t="str">
        <f>RIGHT(B194,2)</f>
        <v>22</v>
      </c>
      <c r="G194" s="29">
        <f>DATE(D194,E194,F194)</f>
        <v>42116</v>
      </c>
      <c r="I194" s="2" t="s">
        <v>192</v>
      </c>
    </row>
    <row r="195" hidden="1">
      <c r="A195" s="1" t="s">
        <v>642</v>
      </c>
      <c r="I195" s="2" t="s">
        <v>193</v>
      </c>
    </row>
    <row r="196" hidden="1">
      <c r="A196" s="1" t="s">
        <v>643</v>
      </c>
      <c r="I196" s="2" t="s">
        <v>194</v>
      </c>
    </row>
    <row r="197">
      <c r="A197" s="1" t="s">
        <v>750</v>
      </c>
      <c r="B197" s="2">
        <f>IFERROR(__xludf.DUMMYFUNCTION("SPLIT(A197,""_"")"),2.0150422E7)</f>
        <v>20150422</v>
      </c>
      <c r="C197" s="2" t="str">
        <f>IFERROR(__xludf.DUMMYFUNCTION("""COMPUTED_VALUE"""),"LAD")</f>
        <v>LAD</v>
      </c>
      <c r="D197" s="2" t="str">
        <f>LEFT(B197,4)</f>
        <v>2015</v>
      </c>
      <c r="E197" s="2" t="str">
        <f>MID(B197,5,2)</f>
        <v>04</v>
      </c>
      <c r="F197" s="2" t="str">
        <f>RIGHT(B197,2)</f>
        <v>22</v>
      </c>
      <c r="G197" s="29">
        <f>DATE(D197,E197,F197)</f>
        <v>42116</v>
      </c>
      <c r="I197" s="2" t="s">
        <v>195</v>
      </c>
    </row>
    <row r="198" hidden="1">
      <c r="A198" s="1" t="s">
        <v>642</v>
      </c>
      <c r="I198" s="2" t="s">
        <v>196</v>
      </c>
    </row>
    <row r="199" hidden="1">
      <c r="A199" s="1" t="s">
        <v>643</v>
      </c>
      <c r="I199" s="2" t="s">
        <v>197</v>
      </c>
    </row>
    <row r="200">
      <c r="A200" s="1" t="s">
        <v>751</v>
      </c>
      <c r="B200" s="2">
        <f>IFERROR(__xludf.DUMMYFUNCTION("SPLIT(A200,""_"")"),2.0150422E7)</f>
        <v>20150422</v>
      </c>
      <c r="C200" s="2" t="str">
        <f>IFERROR(__xludf.DUMMYFUNCTION("""COMPUTED_VALUE"""),"MPWR")</f>
        <v>MPWR</v>
      </c>
      <c r="D200" s="2" t="str">
        <f>LEFT(B200,4)</f>
        <v>2015</v>
      </c>
      <c r="E200" s="2" t="str">
        <f>MID(B200,5,2)</f>
        <v>04</v>
      </c>
      <c r="F200" s="2" t="str">
        <f>RIGHT(B200,2)</f>
        <v>22</v>
      </c>
      <c r="G200" s="29">
        <f>DATE(D200,E200,F200)</f>
        <v>42116</v>
      </c>
      <c r="I200" s="2" t="s">
        <v>198</v>
      </c>
    </row>
    <row r="201" hidden="1">
      <c r="A201" s="1" t="s">
        <v>642</v>
      </c>
      <c r="I201" s="2" t="s">
        <v>199</v>
      </c>
    </row>
    <row r="202" hidden="1">
      <c r="A202" s="1" t="s">
        <v>643</v>
      </c>
      <c r="I202" s="2" t="s">
        <v>200</v>
      </c>
    </row>
    <row r="203">
      <c r="A203" s="1" t="s">
        <v>752</v>
      </c>
      <c r="B203" s="2">
        <f>IFERROR(__xludf.DUMMYFUNCTION("SPLIT(A203,""_"")"),2.0150422E7)</f>
        <v>20150422</v>
      </c>
      <c r="C203" s="2" t="str">
        <f>IFERROR(__xludf.DUMMYFUNCTION("""COMPUTED_VALUE"""),"PCH")</f>
        <v>PCH</v>
      </c>
      <c r="D203" s="2" t="str">
        <f>LEFT(B203,4)</f>
        <v>2015</v>
      </c>
      <c r="E203" s="2" t="str">
        <f>MID(B203,5,2)</f>
        <v>04</v>
      </c>
      <c r="F203" s="2" t="str">
        <f>RIGHT(B203,2)</f>
        <v>22</v>
      </c>
      <c r="G203" s="29">
        <f>DATE(D203,E203,F203)</f>
        <v>42116</v>
      </c>
      <c r="I203" s="2" t="s">
        <v>201</v>
      </c>
    </row>
    <row r="204" hidden="1">
      <c r="A204" s="1" t="s">
        <v>642</v>
      </c>
      <c r="I204" s="2" t="s">
        <v>202</v>
      </c>
    </row>
    <row r="205" hidden="1">
      <c r="A205" s="1" t="s">
        <v>643</v>
      </c>
      <c r="I205" s="2" t="s">
        <v>203</v>
      </c>
    </row>
    <row r="206">
      <c r="A206" s="1" t="s">
        <v>753</v>
      </c>
      <c r="B206" s="2">
        <f>IFERROR(__xludf.DUMMYFUNCTION("SPLIT(A206,""_"")"),2.0150422E7)</f>
        <v>20150422</v>
      </c>
      <c r="C206" s="2" t="str">
        <f>IFERROR(__xludf.DUMMYFUNCTION("""COMPUTED_VALUE"""),"R")</f>
        <v>R</v>
      </c>
      <c r="D206" s="2" t="str">
        <f>LEFT(B206,4)</f>
        <v>2015</v>
      </c>
      <c r="E206" s="2" t="str">
        <f>MID(B206,5,2)</f>
        <v>04</v>
      </c>
      <c r="F206" s="2" t="str">
        <f>RIGHT(B206,2)</f>
        <v>22</v>
      </c>
      <c r="G206" s="29">
        <f>DATE(D206,E206,F206)</f>
        <v>42116</v>
      </c>
      <c r="I206" s="2" t="s">
        <v>204</v>
      </c>
    </row>
    <row r="207" hidden="1">
      <c r="A207" s="1" t="s">
        <v>642</v>
      </c>
      <c r="I207" s="2" t="s">
        <v>205</v>
      </c>
    </row>
    <row r="208" hidden="1">
      <c r="A208" s="1" t="s">
        <v>643</v>
      </c>
      <c r="I208" s="2" t="s">
        <v>206</v>
      </c>
    </row>
    <row r="209">
      <c r="A209" s="1" t="s">
        <v>754</v>
      </c>
      <c r="B209" s="2">
        <f>IFERROR(__xludf.DUMMYFUNCTION("SPLIT(A209,""_"")"),2.0150422E7)</f>
        <v>20150422</v>
      </c>
      <c r="C209" s="2" t="str">
        <f>IFERROR(__xludf.DUMMYFUNCTION("""COMPUTED_VALUE"""),"SEIC")</f>
        <v>SEIC</v>
      </c>
      <c r="D209" s="2" t="str">
        <f>LEFT(B209,4)</f>
        <v>2015</v>
      </c>
      <c r="E209" s="2" t="str">
        <f>MID(B209,5,2)</f>
        <v>04</v>
      </c>
      <c r="F209" s="2" t="str">
        <f>RIGHT(B209,2)</f>
        <v>22</v>
      </c>
      <c r="G209" s="29">
        <f>DATE(D209,E209,F209)</f>
        <v>42116</v>
      </c>
      <c r="I209" s="2" t="s">
        <v>207</v>
      </c>
    </row>
    <row r="210" hidden="1">
      <c r="A210" s="1" t="s">
        <v>642</v>
      </c>
      <c r="I210" s="2" t="s">
        <v>208</v>
      </c>
    </row>
    <row r="211" hidden="1">
      <c r="A211" s="1" t="s">
        <v>643</v>
      </c>
      <c r="I211" s="2" t="s">
        <v>755</v>
      </c>
    </row>
    <row r="212">
      <c r="A212" s="1" t="s">
        <v>756</v>
      </c>
      <c r="B212" s="2">
        <f>IFERROR(__xludf.DUMMYFUNCTION("SPLIT(A212,""_"")"),2.0150422E7)</f>
        <v>20150422</v>
      </c>
      <c r="C212" s="2" t="str">
        <f>IFERROR(__xludf.DUMMYFUNCTION("""COMPUTED_VALUE"""),"SNBR")</f>
        <v>SNBR</v>
      </c>
      <c r="D212" s="2" t="str">
        <f>LEFT(B212,4)</f>
        <v>2015</v>
      </c>
      <c r="E212" s="2" t="str">
        <f>MID(B212,5,2)</f>
        <v>04</v>
      </c>
      <c r="F212" s="2" t="str">
        <f>RIGHT(B212,2)</f>
        <v>22</v>
      </c>
      <c r="G212" s="29">
        <f>DATE(D212,E212,F212)</f>
        <v>42116</v>
      </c>
      <c r="I212" s="2" t="s">
        <v>209</v>
      </c>
    </row>
    <row r="213" hidden="1">
      <c r="A213" s="1" t="s">
        <v>642</v>
      </c>
      <c r="I213" s="2" t="s">
        <v>211</v>
      </c>
    </row>
    <row r="214" hidden="1">
      <c r="A214" s="1" t="s">
        <v>643</v>
      </c>
      <c r="I214" s="2" t="s">
        <v>757</v>
      </c>
    </row>
    <row r="215">
      <c r="A215" s="1" t="s">
        <v>758</v>
      </c>
      <c r="B215" s="2">
        <f>IFERROR(__xludf.DUMMYFUNCTION("SPLIT(A215,""_"")"),2.0150422E7)</f>
        <v>20150422</v>
      </c>
      <c r="C215" s="2" t="str">
        <f>IFERROR(__xludf.DUMMYFUNCTION("""COMPUTED_VALUE"""),"TMO")</f>
        <v>TMO</v>
      </c>
      <c r="D215" s="2" t="str">
        <f>LEFT(B215,4)</f>
        <v>2015</v>
      </c>
      <c r="E215" s="2" t="str">
        <f>MID(B215,5,2)</f>
        <v>04</v>
      </c>
      <c r="F215" s="2" t="str">
        <f>RIGHT(B215,2)</f>
        <v>22</v>
      </c>
      <c r="G215" s="29">
        <f>DATE(D215,E215,F215)</f>
        <v>42116</v>
      </c>
      <c r="I215" s="2" t="s">
        <v>213</v>
      </c>
    </row>
    <row r="216" hidden="1">
      <c r="A216" s="1" t="s">
        <v>642</v>
      </c>
      <c r="I216" s="2" t="s">
        <v>214</v>
      </c>
    </row>
    <row r="217" hidden="1">
      <c r="A217" s="1" t="s">
        <v>643</v>
      </c>
      <c r="I217" s="2" t="s">
        <v>215</v>
      </c>
    </row>
    <row r="218">
      <c r="A218" s="1" t="s">
        <v>759</v>
      </c>
      <c r="B218" s="2">
        <f>IFERROR(__xludf.DUMMYFUNCTION("SPLIT(A218,""_"")"),2.0150422E7)</f>
        <v>20150422</v>
      </c>
      <c r="C218" s="2" t="str">
        <f>IFERROR(__xludf.DUMMYFUNCTION("""COMPUTED_VALUE"""),"TUP")</f>
        <v>TUP</v>
      </c>
      <c r="D218" s="2" t="str">
        <f>LEFT(B218,4)</f>
        <v>2015</v>
      </c>
      <c r="E218" s="2" t="str">
        <f>MID(B218,5,2)</f>
        <v>04</v>
      </c>
      <c r="F218" s="2" t="str">
        <f>RIGHT(B218,2)</f>
        <v>22</v>
      </c>
      <c r="G218" s="29">
        <f>DATE(D218,E218,F218)</f>
        <v>42116</v>
      </c>
      <c r="I218" s="2" t="s">
        <v>216</v>
      </c>
    </row>
    <row r="219" hidden="1">
      <c r="A219" s="1" t="s">
        <v>642</v>
      </c>
      <c r="I219" s="2" t="s">
        <v>217</v>
      </c>
    </row>
    <row r="220" hidden="1">
      <c r="A220" s="1" t="s">
        <v>643</v>
      </c>
      <c r="I220" s="2" t="s">
        <v>218</v>
      </c>
    </row>
    <row r="221">
      <c r="A221" s="1" t="s">
        <v>760</v>
      </c>
      <c r="B221" s="2">
        <f>IFERROR(__xludf.DUMMYFUNCTION("SPLIT(A221,""_"")"),2.0150422E7)</f>
        <v>20150422</v>
      </c>
      <c r="C221" s="2" t="str">
        <f>IFERROR(__xludf.DUMMYFUNCTION("""COMPUTED_VALUE"""),"XLNX")</f>
        <v>XLNX</v>
      </c>
      <c r="D221" s="2" t="str">
        <f>LEFT(B221,4)</f>
        <v>2015</v>
      </c>
      <c r="E221" s="2" t="str">
        <f>MID(B221,5,2)</f>
        <v>04</v>
      </c>
      <c r="F221" s="2" t="str">
        <f>RIGHT(B221,2)</f>
        <v>22</v>
      </c>
      <c r="G221" s="29">
        <f>DATE(D221,E221,F221)</f>
        <v>42116</v>
      </c>
      <c r="I221" s="2" t="s">
        <v>219</v>
      </c>
    </row>
    <row r="222" hidden="1">
      <c r="A222" s="1" t="s">
        <v>642</v>
      </c>
      <c r="I222" s="2" t="s">
        <v>220</v>
      </c>
    </row>
    <row r="223" hidden="1">
      <c r="A223" s="1" t="s">
        <v>643</v>
      </c>
      <c r="I223" s="2" t="s">
        <v>221</v>
      </c>
    </row>
    <row r="224">
      <c r="A224" s="1" t="s">
        <v>761</v>
      </c>
      <c r="B224" s="2">
        <f>IFERROR(__xludf.DUMMYFUNCTION("SPLIT(A224,""_"")"),2.0150423E7)</f>
        <v>20150423</v>
      </c>
      <c r="C224" s="2" t="str">
        <f>IFERROR(__xludf.DUMMYFUNCTION("""COMPUTED_VALUE"""),"ATGE")</f>
        <v>ATGE</v>
      </c>
      <c r="D224" s="2" t="str">
        <f>LEFT(B224,4)</f>
        <v>2015</v>
      </c>
      <c r="E224" s="2" t="str">
        <f>MID(B224,5,2)</f>
        <v>04</v>
      </c>
      <c r="F224" s="2" t="str">
        <f>RIGHT(B224,2)</f>
        <v>23</v>
      </c>
      <c r="G224" s="29">
        <f>DATE(D224,E224,F224)</f>
        <v>42117</v>
      </c>
      <c r="I224" s="2" t="s">
        <v>222</v>
      </c>
    </row>
    <row r="225" hidden="1">
      <c r="A225" s="1" t="s">
        <v>642</v>
      </c>
      <c r="I225" s="2" t="s">
        <v>223</v>
      </c>
    </row>
    <row r="226" hidden="1">
      <c r="A226" s="1" t="s">
        <v>643</v>
      </c>
      <c r="I226" s="2" t="s">
        <v>224</v>
      </c>
    </row>
    <row r="227">
      <c r="A227" s="1" t="s">
        <v>762</v>
      </c>
      <c r="B227" s="2">
        <f>IFERROR(__xludf.DUMMYFUNCTION("SPLIT(A227,""_"")"),2.0150423E7)</f>
        <v>20150423</v>
      </c>
      <c r="C227" s="2" t="str">
        <f>IFERROR(__xludf.DUMMYFUNCTION("""COMPUTED_VALUE"""),"AVT")</f>
        <v>AVT</v>
      </c>
      <c r="D227" s="2" t="str">
        <f>LEFT(B227,4)</f>
        <v>2015</v>
      </c>
      <c r="E227" s="2" t="str">
        <f>MID(B227,5,2)</f>
        <v>04</v>
      </c>
      <c r="F227" s="2" t="str">
        <f>RIGHT(B227,2)</f>
        <v>23</v>
      </c>
      <c r="G227" s="29">
        <f>DATE(D227,E227,F227)</f>
        <v>42117</v>
      </c>
      <c r="I227" s="2" t="s">
        <v>225</v>
      </c>
    </row>
    <row r="228" hidden="1">
      <c r="A228" s="1" t="s">
        <v>642</v>
      </c>
      <c r="I228" s="2" t="s">
        <v>226</v>
      </c>
    </row>
    <row r="229" hidden="1">
      <c r="A229" s="1" t="s">
        <v>643</v>
      </c>
      <c r="I229" s="2" t="s">
        <v>227</v>
      </c>
    </row>
    <row r="230">
      <c r="A230" s="1" t="s">
        <v>763</v>
      </c>
      <c r="B230" s="2">
        <f>IFERROR(__xludf.DUMMYFUNCTION("SPLIT(A230,""_"")"),2.0150423E7)</f>
        <v>20150423</v>
      </c>
      <c r="C230" s="2" t="str">
        <f>IFERROR(__xludf.DUMMYFUNCTION("""COMPUTED_VALUE"""),"BBT")</f>
        <v>BBT</v>
      </c>
      <c r="D230" s="2" t="str">
        <f>LEFT(B230,4)</f>
        <v>2015</v>
      </c>
      <c r="E230" s="2" t="str">
        <f>MID(B230,5,2)</f>
        <v>04</v>
      </c>
      <c r="F230" s="2" t="str">
        <f>RIGHT(B230,2)</f>
        <v>23</v>
      </c>
      <c r="G230" s="29">
        <f>DATE(D230,E230,F230)</f>
        <v>42117</v>
      </c>
      <c r="I230" s="2" t="s">
        <v>228</v>
      </c>
    </row>
    <row r="231" hidden="1">
      <c r="A231" s="1" t="s">
        <v>642</v>
      </c>
      <c r="I231" s="2" t="s">
        <v>229</v>
      </c>
    </row>
    <row r="232" hidden="1">
      <c r="A232" s="1" t="s">
        <v>643</v>
      </c>
      <c r="I232" s="2" t="s">
        <v>230</v>
      </c>
    </row>
    <row r="233">
      <c r="A233" s="1" t="s">
        <v>764</v>
      </c>
      <c r="B233" s="2">
        <f>IFERROR(__xludf.DUMMYFUNCTION("SPLIT(A233,""_"")"),2.0150423E7)</f>
        <v>20150423</v>
      </c>
      <c r="C233" s="2" t="str">
        <f>IFERROR(__xludf.DUMMYFUNCTION("""COMPUTED_VALUE"""),"CMS")</f>
        <v>CMS</v>
      </c>
      <c r="D233" s="2" t="str">
        <f>LEFT(B233,4)</f>
        <v>2015</v>
      </c>
      <c r="E233" s="2" t="str">
        <f>MID(B233,5,2)</f>
        <v>04</v>
      </c>
      <c r="F233" s="2" t="str">
        <f>RIGHT(B233,2)</f>
        <v>23</v>
      </c>
      <c r="G233" s="29">
        <f>DATE(D233,E233,F233)</f>
        <v>42117</v>
      </c>
      <c r="I233" s="2" t="s">
        <v>231</v>
      </c>
    </row>
    <row r="234" hidden="1">
      <c r="A234" s="1" t="s">
        <v>642</v>
      </c>
      <c r="I234" s="2" t="s">
        <v>232</v>
      </c>
    </row>
    <row r="235" hidden="1">
      <c r="A235" s="1" t="s">
        <v>643</v>
      </c>
      <c r="I235" s="2" t="s">
        <v>233</v>
      </c>
    </row>
    <row r="236">
      <c r="A236" s="1" t="s">
        <v>765</v>
      </c>
      <c r="B236" s="2">
        <f>IFERROR(__xludf.DUMMYFUNCTION("SPLIT(A236,""_"")"),2.0150423E7)</f>
        <v>20150423</v>
      </c>
      <c r="C236" s="2" t="str">
        <f>IFERROR(__xludf.DUMMYFUNCTION("""COMPUTED_VALUE"""),"COL")</f>
        <v>COL</v>
      </c>
      <c r="D236" s="2" t="str">
        <f>LEFT(B236,4)</f>
        <v>2015</v>
      </c>
      <c r="E236" s="2" t="str">
        <f>MID(B236,5,2)</f>
        <v>04</v>
      </c>
      <c r="F236" s="2" t="str">
        <f>RIGHT(B236,2)</f>
        <v>23</v>
      </c>
      <c r="G236" s="29">
        <f>DATE(D236,E236,F236)</f>
        <v>42117</v>
      </c>
      <c r="I236" s="2" t="s">
        <v>234</v>
      </c>
    </row>
    <row r="237" hidden="1">
      <c r="A237" s="1" t="s">
        <v>642</v>
      </c>
      <c r="I237" s="2" t="s">
        <v>235</v>
      </c>
    </row>
    <row r="238" hidden="1">
      <c r="A238" s="1" t="s">
        <v>643</v>
      </c>
      <c r="I238" s="2" t="s">
        <v>236</v>
      </c>
    </row>
    <row r="239">
      <c r="A239" s="1" t="s">
        <v>766</v>
      </c>
      <c r="B239" s="2">
        <f>IFERROR(__xludf.DUMMYFUNCTION("SPLIT(A239,""_"")"),2.0150423E7)</f>
        <v>20150423</v>
      </c>
      <c r="C239" s="2" t="str">
        <f>IFERROR(__xludf.DUMMYFUNCTION("""COMPUTED_VALUE"""),"DAN")</f>
        <v>DAN</v>
      </c>
      <c r="D239" s="2" t="str">
        <f>LEFT(B239,4)</f>
        <v>2015</v>
      </c>
      <c r="E239" s="2" t="str">
        <f>MID(B239,5,2)</f>
        <v>04</v>
      </c>
      <c r="F239" s="2" t="str">
        <f>RIGHT(B239,2)</f>
        <v>23</v>
      </c>
      <c r="G239" s="29">
        <f>DATE(D239,E239,F239)</f>
        <v>42117</v>
      </c>
      <c r="I239" s="2" t="s">
        <v>237</v>
      </c>
    </row>
    <row r="240" hidden="1">
      <c r="A240" s="1" t="s">
        <v>642</v>
      </c>
      <c r="I240" s="2" t="s">
        <v>238</v>
      </c>
    </row>
    <row r="241" hidden="1">
      <c r="A241" s="1" t="s">
        <v>643</v>
      </c>
      <c r="I241" s="2" t="s">
        <v>239</v>
      </c>
    </row>
    <row r="242">
      <c r="A242" s="1" t="s">
        <v>767</v>
      </c>
      <c r="B242" s="2">
        <f>IFERROR(__xludf.DUMMYFUNCTION("SPLIT(A242,""_"")"),2.0150423E7)</f>
        <v>20150423</v>
      </c>
      <c r="C242" s="2" t="str">
        <f>IFERROR(__xludf.DUMMYFUNCTION("""COMPUTED_VALUE"""),"EFII")</f>
        <v>EFII</v>
      </c>
      <c r="D242" s="2" t="str">
        <f>LEFT(B242,4)</f>
        <v>2015</v>
      </c>
      <c r="E242" s="2" t="str">
        <f>MID(B242,5,2)</f>
        <v>04</v>
      </c>
      <c r="F242" s="2" t="str">
        <f>RIGHT(B242,2)</f>
        <v>23</v>
      </c>
      <c r="G242" s="29">
        <f>DATE(D242,E242,F242)</f>
        <v>42117</v>
      </c>
      <c r="I242" s="2" t="s">
        <v>240</v>
      </c>
    </row>
    <row r="243" hidden="1">
      <c r="A243" s="1" t="s">
        <v>642</v>
      </c>
      <c r="I243" s="2" t="s">
        <v>241</v>
      </c>
    </row>
    <row r="244" hidden="1">
      <c r="A244" s="1" t="s">
        <v>643</v>
      </c>
      <c r="I244" s="2" t="s">
        <v>243</v>
      </c>
    </row>
    <row r="245">
      <c r="A245" s="1" t="s">
        <v>768</v>
      </c>
      <c r="B245" s="2">
        <f>IFERROR(__xludf.DUMMYFUNCTION("SPLIT(A245,""_"")"),2.0150423E7)</f>
        <v>20150423</v>
      </c>
      <c r="C245" s="2" t="str">
        <f>IFERROR(__xludf.DUMMYFUNCTION("""COMPUTED_VALUE"""),"FAF")</f>
        <v>FAF</v>
      </c>
      <c r="D245" s="2" t="str">
        <f>LEFT(B245,4)</f>
        <v>2015</v>
      </c>
      <c r="E245" s="2" t="str">
        <f>MID(B245,5,2)</f>
        <v>04</v>
      </c>
      <c r="F245" s="2" t="str">
        <f>RIGHT(B245,2)</f>
        <v>23</v>
      </c>
      <c r="G245" s="29">
        <f>DATE(D245,E245,F245)</f>
        <v>42117</v>
      </c>
      <c r="I245" s="2" t="s">
        <v>244</v>
      </c>
    </row>
    <row r="246" hidden="1">
      <c r="A246" s="1" t="s">
        <v>642</v>
      </c>
      <c r="I246" s="2" t="s">
        <v>245</v>
      </c>
    </row>
    <row r="247" hidden="1">
      <c r="A247" s="1" t="s">
        <v>643</v>
      </c>
      <c r="I247" s="2" t="s">
        <v>246</v>
      </c>
    </row>
    <row r="248">
      <c r="A248" s="1" t="s">
        <v>769</v>
      </c>
      <c r="B248" s="2">
        <f>IFERROR(__xludf.DUMMYFUNCTION("SPLIT(A248,""_"")"),2.0150423E7)</f>
        <v>20150423</v>
      </c>
      <c r="C248" s="2" t="str">
        <f>IFERROR(__xludf.DUMMYFUNCTION("""COMPUTED_VALUE"""),"GHL")</f>
        <v>GHL</v>
      </c>
      <c r="D248" s="2" t="str">
        <f>LEFT(B248,4)</f>
        <v>2015</v>
      </c>
      <c r="E248" s="2" t="str">
        <f>MID(B248,5,2)</f>
        <v>04</v>
      </c>
      <c r="F248" s="2" t="str">
        <f>RIGHT(B248,2)</f>
        <v>23</v>
      </c>
      <c r="G248" s="29">
        <f>DATE(D248,E248,F248)</f>
        <v>42117</v>
      </c>
      <c r="I248" s="2" t="s">
        <v>247</v>
      </c>
    </row>
    <row r="249" hidden="1">
      <c r="A249" s="1" t="s">
        <v>642</v>
      </c>
      <c r="I249" s="2" t="s">
        <v>770</v>
      </c>
    </row>
    <row r="250" hidden="1">
      <c r="A250" s="1" t="s">
        <v>643</v>
      </c>
      <c r="I250" s="2" t="s">
        <v>248</v>
      </c>
    </row>
    <row r="251">
      <c r="A251" s="1" t="s">
        <v>771</v>
      </c>
      <c r="B251" s="2">
        <f>IFERROR(__xludf.DUMMYFUNCTION("SPLIT(A251,""_"")"),2.0150423E7)</f>
        <v>20150423</v>
      </c>
      <c r="C251" s="2" t="str">
        <f>IFERROR(__xludf.DUMMYFUNCTION("""COMPUTED_VALUE"""),"HAFC")</f>
        <v>HAFC</v>
      </c>
      <c r="D251" s="2" t="str">
        <f>LEFT(B251,4)</f>
        <v>2015</v>
      </c>
      <c r="E251" s="2" t="str">
        <f>MID(B251,5,2)</f>
        <v>04</v>
      </c>
      <c r="F251" s="2" t="str">
        <f>RIGHT(B251,2)</f>
        <v>23</v>
      </c>
      <c r="G251" s="29">
        <f>DATE(D251,E251,F251)</f>
        <v>42117</v>
      </c>
      <c r="I251" s="2" t="s">
        <v>772</v>
      </c>
    </row>
    <row r="252" hidden="1">
      <c r="A252" s="1" t="s">
        <v>642</v>
      </c>
      <c r="I252" s="2" t="s">
        <v>773</v>
      </c>
    </row>
    <row r="253" hidden="1">
      <c r="A253" s="1" t="s">
        <v>643</v>
      </c>
      <c r="I253" s="2" t="s">
        <v>250</v>
      </c>
    </row>
    <row r="254">
      <c r="A254" s="1" t="s">
        <v>774</v>
      </c>
      <c r="B254" s="2">
        <f>IFERROR(__xludf.DUMMYFUNCTION("SPLIT(A254,""_"")"),2.0150423E7)</f>
        <v>20150423</v>
      </c>
      <c r="C254" s="2" t="str">
        <f>IFERROR(__xludf.DUMMYFUNCTION("""COMPUTED_VALUE"""),"HSY")</f>
        <v>HSY</v>
      </c>
      <c r="D254" s="2" t="str">
        <f>LEFT(B254,4)</f>
        <v>2015</v>
      </c>
      <c r="E254" s="2" t="str">
        <f>MID(B254,5,2)</f>
        <v>04</v>
      </c>
      <c r="F254" s="2" t="str">
        <f>RIGHT(B254,2)</f>
        <v>23</v>
      </c>
      <c r="G254" s="29">
        <f>DATE(D254,E254,F254)</f>
        <v>42117</v>
      </c>
      <c r="I254" s="2" t="s">
        <v>251</v>
      </c>
    </row>
    <row r="255" hidden="1">
      <c r="A255" s="1" t="s">
        <v>642</v>
      </c>
      <c r="I255" s="2" t="s">
        <v>775</v>
      </c>
    </row>
    <row r="256" hidden="1">
      <c r="A256" s="1" t="s">
        <v>643</v>
      </c>
      <c r="I256" s="2" t="s">
        <v>252</v>
      </c>
    </row>
    <row r="257">
      <c r="A257" s="1" t="s">
        <v>776</v>
      </c>
      <c r="B257" s="2">
        <f>IFERROR(__xludf.DUMMYFUNCTION("SPLIT(A257,""_"")"),2.0150423E7)</f>
        <v>20150423</v>
      </c>
      <c r="C257" s="2" t="str">
        <f>IFERROR(__xludf.DUMMYFUNCTION("""COMPUTED_VALUE"""),"HZO")</f>
        <v>HZO</v>
      </c>
      <c r="D257" s="2" t="str">
        <f>LEFT(B257,4)</f>
        <v>2015</v>
      </c>
      <c r="E257" s="2" t="str">
        <f>MID(B257,5,2)</f>
        <v>04</v>
      </c>
      <c r="F257" s="2" t="str">
        <f>RIGHT(B257,2)</f>
        <v>23</v>
      </c>
      <c r="G257" s="29">
        <f>DATE(D257,E257,F257)</f>
        <v>42117</v>
      </c>
      <c r="I257" s="2" t="s">
        <v>253</v>
      </c>
    </row>
    <row r="258" hidden="1">
      <c r="A258" s="1" t="s">
        <v>642</v>
      </c>
      <c r="I258" s="2" t="s">
        <v>254</v>
      </c>
    </row>
    <row r="259" hidden="1">
      <c r="A259" s="1" t="s">
        <v>643</v>
      </c>
      <c r="I259" s="2" t="s">
        <v>255</v>
      </c>
    </row>
    <row r="260">
      <c r="A260" s="1" t="s">
        <v>777</v>
      </c>
      <c r="B260" s="2">
        <f>IFERROR(__xludf.DUMMYFUNCTION("SPLIT(A260,""_"")"),2.0150423E7)</f>
        <v>20150423</v>
      </c>
      <c r="C260" s="2" t="str">
        <f>IFERROR(__xludf.DUMMYFUNCTION("""COMPUTED_VALUE"""),"JNPR")</f>
        <v>JNPR</v>
      </c>
      <c r="D260" s="2" t="str">
        <f>LEFT(B260,4)</f>
        <v>2015</v>
      </c>
      <c r="E260" s="2" t="str">
        <f>MID(B260,5,2)</f>
        <v>04</v>
      </c>
      <c r="F260" s="2" t="str">
        <f>RIGHT(B260,2)</f>
        <v>23</v>
      </c>
      <c r="G260" s="29">
        <f>DATE(D260,E260,F260)</f>
        <v>42117</v>
      </c>
      <c r="I260" s="2" t="s">
        <v>778</v>
      </c>
    </row>
    <row r="261" hidden="1">
      <c r="A261" s="1" t="s">
        <v>642</v>
      </c>
      <c r="I261" s="2" t="s">
        <v>257</v>
      </c>
    </row>
    <row r="262" hidden="1">
      <c r="A262" s="1" t="s">
        <v>643</v>
      </c>
      <c r="I262" s="2" t="s">
        <v>258</v>
      </c>
    </row>
    <row r="263">
      <c r="A263" s="1" t="s">
        <v>779</v>
      </c>
      <c r="B263" s="2">
        <f>IFERROR(__xludf.DUMMYFUNCTION("SPLIT(A263,""_"")"),2.0150423E7)</f>
        <v>20150423</v>
      </c>
      <c r="C263" s="2" t="str">
        <f>IFERROR(__xludf.DUMMYFUNCTION("""COMPUTED_VALUE"""),"LSTR")</f>
        <v>LSTR</v>
      </c>
      <c r="D263" s="2" t="str">
        <f>LEFT(B263,4)</f>
        <v>2015</v>
      </c>
      <c r="E263" s="2" t="str">
        <f>MID(B263,5,2)</f>
        <v>04</v>
      </c>
      <c r="F263" s="2" t="str">
        <f>RIGHT(B263,2)</f>
        <v>23</v>
      </c>
      <c r="G263" s="29">
        <f>DATE(D263,E263,F263)</f>
        <v>42117</v>
      </c>
      <c r="I263" s="2" t="s">
        <v>259</v>
      </c>
    </row>
    <row r="264" hidden="1">
      <c r="A264" s="1" t="s">
        <v>642</v>
      </c>
      <c r="I264" s="2" t="s">
        <v>260</v>
      </c>
    </row>
    <row r="265" hidden="1">
      <c r="A265" s="1" t="s">
        <v>643</v>
      </c>
      <c r="I265" s="2" t="s">
        <v>780</v>
      </c>
    </row>
    <row r="266">
      <c r="A266" s="1" t="s">
        <v>781</v>
      </c>
      <c r="B266" s="2">
        <f>IFERROR(__xludf.DUMMYFUNCTION("SPLIT(A266,""_"")"),2.0150423E7)</f>
        <v>20150423</v>
      </c>
      <c r="C266" s="2" t="str">
        <f>IFERROR(__xludf.DUMMYFUNCTION("""COMPUTED_VALUE"""),"MDP")</f>
        <v>MDP</v>
      </c>
      <c r="D266" s="2" t="str">
        <f>LEFT(B266,4)</f>
        <v>2015</v>
      </c>
      <c r="E266" s="2" t="str">
        <f>MID(B266,5,2)</f>
        <v>04</v>
      </c>
      <c r="F266" s="2" t="str">
        <f>RIGHT(B266,2)</f>
        <v>23</v>
      </c>
      <c r="G266" s="29">
        <f>DATE(D266,E266,F266)</f>
        <v>42117</v>
      </c>
      <c r="I266" s="2" t="s">
        <v>782</v>
      </c>
    </row>
    <row r="267" hidden="1">
      <c r="A267" s="1" t="s">
        <v>642</v>
      </c>
      <c r="I267" s="2" t="s">
        <v>783</v>
      </c>
    </row>
    <row r="268" hidden="1">
      <c r="A268" s="1" t="s">
        <v>643</v>
      </c>
      <c r="I268" s="2" t="s">
        <v>784</v>
      </c>
    </row>
    <row r="269">
      <c r="A269" s="1" t="s">
        <v>785</v>
      </c>
      <c r="B269" s="2">
        <f>IFERROR(__xludf.DUMMYFUNCTION("SPLIT(A269,""_"")"),2.0150423E7)</f>
        <v>20150423</v>
      </c>
      <c r="C269" s="2" t="str">
        <f>IFERROR(__xludf.DUMMYFUNCTION("""COMPUTED_VALUE"""),"MSFT")</f>
        <v>MSFT</v>
      </c>
      <c r="D269" s="2" t="str">
        <f>LEFT(B269,4)</f>
        <v>2015</v>
      </c>
      <c r="E269" s="2" t="str">
        <f>MID(B269,5,2)</f>
        <v>04</v>
      </c>
      <c r="F269" s="2" t="str">
        <f>RIGHT(B269,2)</f>
        <v>23</v>
      </c>
      <c r="G269" s="29">
        <f>DATE(D269,E269,F269)</f>
        <v>42117</v>
      </c>
      <c r="I269" s="2" t="s">
        <v>786</v>
      </c>
    </row>
    <row r="270" hidden="1">
      <c r="A270" s="1" t="s">
        <v>642</v>
      </c>
      <c r="I270" s="2" t="s">
        <v>787</v>
      </c>
    </row>
    <row r="271" hidden="1">
      <c r="A271" s="1" t="s">
        <v>643</v>
      </c>
      <c r="I271" s="2" t="s">
        <v>261</v>
      </c>
    </row>
    <row r="272">
      <c r="A272" s="1" t="s">
        <v>788</v>
      </c>
      <c r="B272" s="2">
        <f>IFERROR(__xludf.DUMMYFUNCTION("SPLIT(A272,""_"")"),2.0150423E7)</f>
        <v>20150423</v>
      </c>
      <c r="C272" s="2" t="str">
        <f>IFERROR(__xludf.DUMMYFUNCTION("""COMPUTED_VALUE"""),"MTH")</f>
        <v>MTH</v>
      </c>
      <c r="D272" s="2" t="str">
        <f>LEFT(B272,4)</f>
        <v>2015</v>
      </c>
      <c r="E272" s="2" t="str">
        <f>MID(B272,5,2)</f>
        <v>04</v>
      </c>
      <c r="F272" s="2" t="str">
        <f>RIGHT(B272,2)</f>
        <v>23</v>
      </c>
      <c r="G272" s="29">
        <f>DATE(D272,E272,F272)</f>
        <v>42117</v>
      </c>
      <c r="I272" s="2" t="s">
        <v>264</v>
      </c>
    </row>
    <row r="273" hidden="1">
      <c r="A273" s="1" t="s">
        <v>642</v>
      </c>
      <c r="I273" s="2" t="s">
        <v>263</v>
      </c>
    </row>
    <row r="274" hidden="1">
      <c r="A274" s="1" t="s">
        <v>643</v>
      </c>
      <c r="I274" s="2" t="s">
        <v>262</v>
      </c>
    </row>
    <row r="275">
      <c r="A275" s="1" t="s">
        <v>789</v>
      </c>
      <c r="B275" s="2">
        <f>IFERROR(__xludf.DUMMYFUNCTION("SPLIT(A275,""_"")"),2.0150423E7)</f>
        <v>20150423</v>
      </c>
      <c r="C275" s="2" t="str">
        <f>IFERROR(__xludf.DUMMYFUNCTION("""COMPUTED_VALUE"""),"NTGR")</f>
        <v>NTGR</v>
      </c>
      <c r="D275" s="2" t="str">
        <f>LEFT(B275,4)</f>
        <v>2015</v>
      </c>
      <c r="E275" s="2" t="str">
        <f>MID(B275,5,2)</f>
        <v>04</v>
      </c>
      <c r="F275" s="2" t="str">
        <f>RIGHT(B275,2)</f>
        <v>23</v>
      </c>
      <c r="G275" s="29">
        <f>DATE(D275,E275,F275)</f>
        <v>42117</v>
      </c>
      <c r="I275" s="2" t="s">
        <v>790</v>
      </c>
    </row>
    <row r="276" hidden="1">
      <c r="A276" s="1" t="s">
        <v>642</v>
      </c>
      <c r="I276" s="2" t="s">
        <v>265</v>
      </c>
    </row>
    <row r="277" hidden="1">
      <c r="A277" s="1" t="s">
        <v>643</v>
      </c>
      <c r="I277" s="2" t="s">
        <v>791</v>
      </c>
    </row>
    <row r="278">
      <c r="A278" s="1" t="s">
        <v>792</v>
      </c>
      <c r="B278" s="2">
        <f>IFERROR(__xludf.DUMMYFUNCTION("SPLIT(A278,""_"")"),2.0150423E7)</f>
        <v>20150423</v>
      </c>
      <c r="C278" s="2" t="str">
        <f>IFERROR(__xludf.DUMMYFUNCTION("""COMPUTED_VALUE"""),"NUE")</f>
        <v>NUE</v>
      </c>
      <c r="D278" s="2" t="str">
        <f>LEFT(B278,4)</f>
        <v>2015</v>
      </c>
      <c r="E278" s="2" t="str">
        <f>MID(B278,5,2)</f>
        <v>04</v>
      </c>
      <c r="F278" s="2" t="str">
        <f>RIGHT(B278,2)</f>
        <v>23</v>
      </c>
      <c r="G278" s="29">
        <f>DATE(D278,E278,F278)</f>
        <v>42117</v>
      </c>
      <c r="I278" s="2" t="s">
        <v>793</v>
      </c>
    </row>
    <row r="279" hidden="1">
      <c r="A279" s="1" t="s">
        <v>642</v>
      </c>
      <c r="I279" s="2" t="s">
        <v>794</v>
      </c>
    </row>
    <row r="280" hidden="1">
      <c r="A280" s="1" t="s">
        <v>643</v>
      </c>
      <c r="I280" s="2" t="s">
        <v>795</v>
      </c>
    </row>
    <row r="281">
      <c r="A281" s="1" t="s">
        <v>796</v>
      </c>
      <c r="B281" s="2">
        <f>IFERROR(__xludf.DUMMYFUNCTION("SPLIT(A281,""_"")"),2.0150423E7)</f>
        <v>20150423</v>
      </c>
      <c r="C281" s="2" t="str">
        <f>IFERROR(__xludf.DUMMYFUNCTION("""COMPUTED_VALUE"""),"PII")</f>
        <v>PII</v>
      </c>
      <c r="D281" s="2" t="str">
        <f>LEFT(B281,4)</f>
        <v>2015</v>
      </c>
      <c r="E281" s="2" t="str">
        <f>MID(B281,5,2)</f>
        <v>04</v>
      </c>
      <c r="F281" s="2" t="str">
        <f>RIGHT(B281,2)</f>
        <v>23</v>
      </c>
      <c r="G281" s="29">
        <f>DATE(D281,E281,F281)</f>
        <v>42117</v>
      </c>
      <c r="I281" s="2" t="s">
        <v>797</v>
      </c>
    </row>
    <row r="282" hidden="1">
      <c r="A282" s="1" t="s">
        <v>642</v>
      </c>
      <c r="I282" s="2" t="s">
        <v>798</v>
      </c>
    </row>
    <row r="283" hidden="1">
      <c r="A283" s="1" t="s">
        <v>643</v>
      </c>
      <c r="I283" s="2" t="s">
        <v>799</v>
      </c>
    </row>
    <row r="284">
      <c r="A284" s="1" t="s">
        <v>800</v>
      </c>
      <c r="B284" s="2">
        <f>IFERROR(__xludf.DUMMYFUNCTION("SPLIT(A284,""_"")"),2.0150423E7)</f>
        <v>20150423</v>
      </c>
      <c r="C284" s="2" t="str">
        <f>IFERROR(__xludf.DUMMYFUNCTION("""COMPUTED_VALUE"""),"POOL")</f>
        <v>POOL</v>
      </c>
      <c r="D284" s="2" t="str">
        <f>LEFT(B284,4)</f>
        <v>2015</v>
      </c>
      <c r="E284" s="2" t="str">
        <f>MID(B284,5,2)</f>
        <v>04</v>
      </c>
      <c r="F284" s="2" t="str">
        <f>RIGHT(B284,2)</f>
        <v>23</v>
      </c>
      <c r="G284" s="29">
        <f>DATE(D284,E284,F284)</f>
        <v>42117</v>
      </c>
      <c r="I284" s="2" t="s">
        <v>801</v>
      </c>
    </row>
    <row r="285" hidden="1">
      <c r="A285" s="1" t="s">
        <v>642</v>
      </c>
      <c r="I285" s="2" t="s">
        <v>266</v>
      </c>
    </row>
    <row r="286" hidden="1">
      <c r="A286" s="1" t="s">
        <v>643</v>
      </c>
      <c r="I286" s="2" t="s">
        <v>802</v>
      </c>
    </row>
    <row r="287">
      <c r="A287" s="1" t="s">
        <v>803</v>
      </c>
      <c r="B287" s="2">
        <f>IFERROR(__xludf.DUMMYFUNCTION("SPLIT(A287,""_"")"),2.0150423E7)</f>
        <v>20150423</v>
      </c>
      <c r="C287" s="2" t="str">
        <f>IFERROR(__xludf.DUMMYFUNCTION("""COMPUTED_VALUE"""),"PTEN")</f>
        <v>PTEN</v>
      </c>
      <c r="D287" s="2" t="str">
        <f>LEFT(B287,4)</f>
        <v>2015</v>
      </c>
      <c r="E287" s="2" t="str">
        <f>MID(B287,5,2)</f>
        <v>04</v>
      </c>
      <c r="F287" s="2" t="str">
        <f>RIGHT(B287,2)</f>
        <v>23</v>
      </c>
      <c r="G287" s="29">
        <f>DATE(D287,E287,F287)</f>
        <v>42117</v>
      </c>
      <c r="I287" s="2" t="s">
        <v>804</v>
      </c>
    </row>
    <row r="288" hidden="1">
      <c r="A288" s="1" t="s">
        <v>642</v>
      </c>
      <c r="I288" s="2" t="s">
        <v>805</v>
      </c>
    </row>
    <row r="289" hidden="1">
      <c r="A289" s="1" t="s">
        <v>643</v>
      </c>
      <c r="I289" s="2" t="s">
        <v>806</v>
      </c>
    </row>
    <row r="290">
      <c r="A290" s="1" t="s">
        <v>807</v>
      </c>
      <c r="B290" s="2">
        <f>IFERROR(__xludf.DUMMYFUNCTION("SPLIT(A290,""_"")"),2.0150423E7)</f>
        <v>20150423</v>
      </c>
      <c r="C290" s="2" t="str">
        <f>IFERROR(__xludf.DUMMYFUNCTION("""COMPUTED_VALUE"""),"RMD")</f>
        <v>RMD</v>
      </c>
      <c r="D290" s="2" t="str">
        <f>LEFT(B290,4)</f>
        <v>2015</v>
      </c>
      <c r="E290" s="2" t="str">
        <f>MID(B290,5,2)</f>
        <v>04</v>
      </c>
      <c r="F290" s="2" t="str">
        <f>RIGHT(B290,2)</f>
        <v>23</v>
      </c>
      <c r="G290" s="29">
        <f>DATE(D290,E290,F290)</f>
        <v>42117</v>
      </c>
      <c r="I290" s="2" t="s">
        <v>808</v>
      </c>
    </row>
    <row r="291" hidden="1">
      <c r="A291" s="1" t="s">
        <v>642</v>
      </c>
      <c r="I291" s="2" t="s">
        <v>809</v>
      </c>
    </row>
    <row r="292" hidden="1">
      <c r="A292" s="1" t="s">
        <v>643</v>
      </c>
      <c r="I292" s="2" t="s">
        <v>810</v>
      </c>
    </row>
    <row r="293">
      <c r="A293" s="1" t="s">
        <v>811</v>
      </c>
      <c r="B293" s="2">
        <f>IFERROR(__xludf.DUMMYFUNCTION("SPLIT(A293,""_"")"),2.0150423E7)</f>
        <v>20150423</v>
      </c>
      <c r="C293" s="2" t="str">
        <f>IFERROR(__xludf.DUMMYFUNCTION("""COMPUTED_VALUE"""),"SFNC")</f>
        <v>SFNC</v>
      </c>
      <c r="D293" s="2" t="str">
        <f>LEFT(B293,4)</f>
        <v>2015</v>
      </c>
      <c r="E293" s="2" t="str">
        <f>MID(B293,5,2)</f>
        <v>04</v>
      </c>
      <c r="F293" s="2" t="str">
        <f>RIGHT(B293,2)</f>
        <v>23</v>
      </c>
      <c r="G293" s="29">
        <f>DATE(D293,E293,F293)</f>
        <v>42117</v>
      </c>
      <c r="I293" s="2" t="s">
        <v>267</v>
      </c>
    </row>
    <row r="294" hidden="1">
      <c r="A294" s="1" t="s">
        <v>642</v>
      </c>
      <c r="I294" s="2" t="s">
        <v>812</v>
      </c>
    </row>
    <row r="295" hidden="1">
      <c r="A295" s="1" t="s">
        <v>643</v>
      </c>
      <c r="I295" s="2" t="s">
        <v>813</v>
      </c>
    </row>
    <row r="296">
      <c r="A296" s="1" t="s">
        <v>814</v>
      </c>
      <c r="B296" s="2">
        <f>IFERROR(__xludf.DUMMYFUNCTION("SPLIT(A296,""_"")"),2.0150423E7)</f>
        <v>20150423</v>
      </c>
      <c r="C296" s="2" t="str">
        <f>IFERROR(__xludf.DUMMYFUNCTION("""COMPUTED_VALUE"""),"SRCL")</f>
        <v>SRCL</v>
      </c>
      <c r="D296" s="2" t="str">
        <f>LEFT(B296,4)</f>
        <v>2015</v>
      </c>
      <c r="E296" s="2" t="str">
        <f>MID(B296,5,2)</f>
        <v>04</v>
      </c>
      <c r="F296" s="2" t="str">
        <f>RIGHT(B296,2)</f>
        <v>23</v>
      </c>
      <c r="G296" s="29">
        <f>DATE(D296,E296,F296)</f>
        <v>42117</v>
      </c>
      <c r="I296" s="2" t="s">
        <v>815</v>
      </c>
    </row>
    <row r="297" hidden="1">
      <c r="A297" s="1" t="s">
        <v>642</v>
      </c>
      <c r="I297" s="2" t="s">
        <v>816</v>
      </c>
    </row>
    <row r="298" hidden="1">
      <c r="A298" s="1" t="s">
        <v>643</v>
      </c>
      <c r="I298" s="2" t="s">
        <v>269</v>
      </c>
    </row>
    <row r="299">
      <c r="A299" s="1" t="s">
        <v>817</v>
      </c>
      <c r="B299" s="2">
        <f>IFERROR(__xludf.DUMMYFUNCTION("SPLIT(A299,""_"")"),2.0150423E7)</f>
        <v>20150423</v>
      </c>
      <c r="C299" s="2" t="str">
        <f>IFERROR(__xludf.DUMMYFUNCTION("""COMPUTED_VALUE"""),"TBI")</f>
        <v>TBI</v>
      </c>
      <c r="D299" s="2" t="str">
        <f>LEFT(B299,4)</f>
        <v>2015</v>
      </c>
      <c r="E299" s="2" t="str">
        <f>MID(B299,5,2)</f>
        <v>04</v>
      </c>
      <c r="F299" s="2" t="str">
        <f>RIGHT(B299,2)</f>
        <v>23</v>
      </c>
      <c r="G299" s="29">
        <f>DATE(D299,E299,F299)</f>
        <v>42117</v>
      </c>
      <c r="I299" s="2" t="s">
        <v>818</v>
      </c>
    </row>
    <row r="300" hidden="1">
      <c r="A300" s="1" t="s">
        <v>642</v>
      </c>
      <c r="I300" s="2" t="s">
        <v>819</v>
      </c>
    </row>
    <row r="301" hidden="1">
      <c r="A301" s="1" t="s">
        <v>643</v>
      </c>
      <c r="I301" s="2" t="s">
        <v>820</v>
      </c>
    </row>
    <row r="302">
      <c r="A302" s="1" t="s">
        <v>821</v>
      </c>
      <c r="B302" s="2">
        <f>IFERROR(__xludf.DUMMYFUNCTION("SPLIT(A302,""_"")"),2.0150423E7)</f>
        <v>20150423</v>
      </c>
      <c r="C302" s="2" t="str">
        <f>IFERROR(__xludf.DUMMYFUNCTION("""COMPUTED_VALUE"""),"UAL")</f>
        <v>UAL</v>
      </c>
      <c r="D302" s="2" t="str">
        <f>LEFT(B302,4)</f>
        <v>2015</v>
      </c>
      <c r="E302" s="2" t="str">
        <f>MID(B302,5,2)</f>
        <v>04</v>
      </c>
      <c r="F302" s="2" t="str">
        <f>RIGHT(B302,2)</f>
        <v>23</v>
      </c>
      <c r="G302" s="29">
        <f>DATE(D302,E302,F302)</f>
        <v>42117</v>
      </c>
      <c r="I302" s="2" t="s">
        <v>822</v>
      </c>
    </row>
    <row r="303" hidden="1">
      <c r="A303" s="1" t="s">
        <v>642</v>
      </c>
      <c r="I303" s="2" t="s">
        <v>823</v>
      </c>
    </row>
    <row r="304" hidden="1">
      <c r="A304" s="1" t="s">
        <v>643</v>
      </c>
      <c r="I304" s="2" t="s">
        <v>824</v>
      </c>
    </row>
    <row r="305">
      <c r="A305" s="1" t="s">
        <v>825</v>
      </c>
      <c r="B305" s="2">
        <f>IFERROR(__xludf.DUMMYFUNCTION("SPLIT(A305,""_"")"),2.0150423E7)</f>
        <v>20150423</v>
      </c>
      <c r="C305" s="2" t="str">
        <f>IFERROR(__xludf.DUMMYFUNCTION("""COMPUTED_VALUE"""),"UFI")</f>
        <v>UFI</v>
      </c>
      <c r="D305" s="2" t="str">
        <f>LEFT(B305,4)</f>
        <v>2015</v>
      </c>
      <c r="E305" s="2" t="str">
        <f>MID(B305,5,2)</f>
        <v>04</v>
      </c>
      <c r="F305" s="2" t="str">
        <f>RIGHT(B305,2)</f>
        <v>23</v>
      </c>
      <c r="G305" s="29">
        <f>DATE(D305,E305,F305)</f>
        <v>42117</v>
      </c>
      <c r="I305" s="2" t="s">
        <v>826</v>
      </c>
    </row>
    <row r="306" hidden="1">
      <c r="A306" s="1" t="s">
        <v>642</v>
      </c>
      <c r="I306" s="2" t="s">
        <v>827</v>
      </c>
    </row>
    <row r="307" hidden="1">
      <c r="A307" s="1" t="s">
        <v>643</v>
      </c>
      <c r="I307" s="2" t="s">
        <v>828</v>
      </c>
    </row>
    <row r="308">
      <c r="A308" s="1" t="s">
        <v>829</v>
      </c>
      <c r="B308" s="2">
        <f>IFERROR(__xludf.DUMMYFUNCTION("SPLIT(A308,""_"")"),2.0150424E7)</f>
        <v>20150424</v>
      </c>
      <c r="C308" s="2" t="str">
        <f>IFERROR(__xludf.DUMMYFUNCTION("""COMPUTED_VALUE"""),"PFS")</f>
        <v>PFS</v>
      </c>
      <c r="D308" s="2" t="str">
        <f>LEFT(B308,4)</f>
        <v>2015</v>
      </c>
      <c r="E308" s="2" t="str">
        <f>MID(B308,5,2)</f>
        <v>04</v>
      </c>
      <c r="F308" s="2" t="str">
        <f>RIGHT(B308,2)</f>
        <v>24</v>
      </c>
      <c r="G308" s="29">
        <f>DATE(D308,E308,F308)</f>
        <v>42118</v>
      </c>
      <c r="I308" s="2" t="s">
        <v>270</v>
      </c>
    </row>
    <row r="309" hidden="1">
      <c r="A309" s="1" t="s">
        <v>642</v>
      </c>
      <c r="I309" s="2" t="s">
        <v>830</v>
      </c>
    </row>
    <row r="310" hidden="1">
      <c r="A310" s="1" t="s">
        <v>643</v>
      </c>
      <c r="I310" s="2" t="s">
        <v>272</v>
      </c>
    </row>
    <row r="311">
      <c r="A311" s="1" t="s">
        <v>831</v>
      </c>
      <c r="B311" s="2">
        <f>IFERROR(__xludf.DUMMYFUNCTION("SPLIT(A311,""_"")"),2.0150424E7)</f>
        <v>20150424</v>
      </c>
      <c r="C311" s="2" t="str">
        <f>IFERROR(__xludf.DUMMYFUNCTION("""COMPUTED_VALUE"""),"SPG")</f>
        <v>SPG</v>
      </c>
      <c r="D311" s="2" t="str">
        <f>LEFT(B311,4)</f>
        <v>2015</v>
      </c>
      <c r="E311" s="2" t="str">
        <f>MID(B311,5,2)</f>
        <v>04</v>
      </c>
      <c r="F311" s="2" t="str">
        <f>RIGHT(B311,2)</f>
        <v>24</v>
      </c>
      <c r="G311" s="29">
        <f>DATE(D311,E311,F311)</f>
        <v>42118</v>
      </c>
      <c r="I311" s="2" t="s">
        <v>271</v>
      </c>
    </row>
    <row r="312" hidden="1">
      <c r="A312" s="1" t="s">
        <v>642</v>
      </c>
      <c r="I312" s="2" t="s">
        <v>832</v>
      </c>
    </row>
    <row r="313" hidden="1">
      <c r="A313" s="1" t="s">
        <v>643</v>
      </c>
      <c r="I313" s="2" t="s">
        <v>833</v>
      </c>
    </row>
    <row r="314">
      <c r="A314" s="1" t="s">
        <v>834</v>
      </c>
      <c r="B314" s="2">
        <f>IFERROR(__xludf.DUMMYFUNCTION("SPLIT(A314,""_"")"),2.0150424E7)</f>
        <v>20150424</v>
      </c>
      <c r="C314" s="2" t="str">
        <f>IFERROR(__xludf.DUMMYFUNCTION("""COMPUTED_VALUE"""),"XRX")</f>
        <v>XRX</v>
      </c>
      <c r="D314" s="2" t="str">
        <f>LEFT(B314,4)</f>
        <v>2015</v>
      </c>
      <c r="E314" s="2" t="str">
        <f>MID(B314,5,2)</f>
        <v>04</v>
      </c>
      <c r="F314" s="2" t="str">
        <f>RIGHT(B314,2)</f>
        <v>24</v>
      </c>
      <c r="G314" s="29">
        <f>DATE(D314,E314,F314)</f>
        <v>42118</v>
      </c>
      <c r="I314" s="2" t="s">
        <v>835</v>
      </c>
    </row>
    <row r="315" hidden="1">
      <c r="A315" s="1" t="s">
        <v>642</v>
      </c>
      <c r="I315" s="2" t="s">
        <v>836</v>
      </c>
    </row>
    <row r="316" hidden="1">
      <c r="A316" s="1" t="s">
        <v>643</v>
      </c>
      <c r="I316" s="2" t="s">
        <v>837</v>
      </c>
    </row>
    <row r="317">
      <c r="A317" s="1" t="s">
        <v>838</v>
      </c>
      <c r="B317" s="2">
        <f>IFERROR(__xludf.DUMMYFUNCTION("SPLIT(A317,""_"")"),2.0150427E7)</f>
        <v>20150427</v>
      </c>
      <c r="C317" s="2" t="str">
        <f>IFERROR(__xludf.DUMMYFUNCTION("""COMPUTED_VALUE"""),"OSIS")</f>
        <v>OSIS</v>
      </c>
      <c r="D317" s="2" t="str">
        <f>LEFT(B317,4)</f>
        <v>2015</v>
      </c>
      <c r="E317" s="2" t="str">
        <f>MID(B317,5,2)</f>
        <v>04</v>
      </c>
      <c r="F317" s="2" t="str">
        <f>RIGHT(B317,2)</f>
        <v>27</v>
      </c>
      <c r="G317" s="29">
        <f>DATE(D317,E317,F317)</f>
        <v>42121</v>
      </c>
      <c r="I317" s="2" t="s">
        <v>839</v>
      </c>
    </row>
    <row r="318" hidden="1">
      <c r="A318" s="1" t="s">
        <v>642</v>
      </c>
      <c r="I318" s="2" t="s">
        <v>840</v>
      </c>
    </row>
    <row r="319" hidden="1">
      <c r="A319" s="1" t="s">
        <v>643</v>
      </c>
      <c r="I319" s="2" t="s">
        <v>841</v>
      </c>
    </row>
    <row r="320">
      <c r="A320" s="1" t="s">
        <v>842</v>
      </c>
      <c r="B320" s="2">
        <f>IFERROR(__xludf.DUMMYFUNCTION("SPLIT(A320,""_"")"),2.0150427E7)</f>
        <v>20150427</v>
      </c>
      <c r="C320" s="2" t="str">
        <f>IFERROR(__xludf.DUMMYFUNCTION("""COMPUTED_VALUE"""),"ROP")</f>
        <v>ROP</v>
      </c>
      <c r="D320" s="2" t="str">
        <f>LEFT(B320,4)</f>
        <v>2015</v>
      </c>
      <c r="E320" s="2" t="str">
        <f>MID(B320,5,2)</f>
        <v>04</v>
      </c>
      <c r="F320" s="2" t="str">
        <f>RIGHT(B320,2)</f>
        <v>27</v>
      </c>
      <c r="G320" s="29">
        <f>DATE(D320,E320,F320)</f>
        <v>42121</v>
      </c>
      <c r="I320" s="2" t="s">
        <v>843</v>
      </c>
    </row>
    <row r="321" hidden="1">
      <c r="A321" s="1" t="s">
        <v>642</v>
      </c>
      <c r="I321" s="2" t="s">
        <v>844</v>
      </c>
    </row>
    <row r="322" hidden="1">
      <c r="A322" s="1" t="s">
        <v>643</v>
      </c>
      <c r="I322" s="2" t="s">
        <v>845</v>
      </c>
    </row>
    <row r="323">
      <c r="A323" s="1" t="s">
        <v>846</v>
      </c>
      <c r="B323" s="2">
        <f>IFERROR(__xludf.DUMMYFUNCTION("SPLIT(A323,""_"")"),2.0150427E7)</f>
        <v>20150427</v>
      </c>
      <c r="C323" s="2" t="str">
        <f>IFERROR(__xludf.DUMMYFUNCTION("""COMPUTED_VALUE"""),"WRB")</f>
        <v>WRB</v>
      </c>
      <c r="D323" s="2" t="str">
        <f>LEFT(B323,4)</f>
        <v>2015</v>
      </c>
      <c r="E323" s="2" t="str">
        <f>MID(B323,5,2)</f>
        <v>04</v>
      </c>
      <c r="F323" s="2" t="str">
        <f>RIGHT(B323,2)</f>
        <v>27</v>
      </c>
      <c r="G323" s="29">
        <f>DATE(D323,E323,F323)</f>
        <v>42121</v>
      </c>
      <c r="I323" s="2" t="s">
        <v>847</v>
      </c>
    </row>
    <row r="324" hidden="1">
      <c r="A324" s="1" t="s">
        <v>642</v>
      </c>
      <c r="I324" s="2" t="s">
        <v>848</v>
      </c>
    </row>
    <row r="325" hidden="1">
      <c r="A325" s="1" t="s">
        <v>643</v>
      </c>
      <c r="I325" s="2" t="s">
        <v>849</v>
      </c>
    </row>
    <row r="326">
      <c r="A326" s="1" t="s">
        <v>850</v>
      </c>
      <c r="B326" s="2">
        <f>IFERROR(__xludf.DUMMYFUNCTION("SPLIT(A326,""_"")"),2.0150428E7)</f>
        <v>20150428</v>
      </c>
      <c r="C326" s="2" t="str">
        <f>IFERROR(__xludf.DUMMYFUNCTION("""COMPUTED_VALUE"""),"AET")</f>
        <v>AET</v>
      </c>
      <c r="D326" s="2" t="str">
        <f>LEFT(B326,4)</f>
        <v>2015</v>
      </c>
      <c r="E326" s="2" t="str">
        <f>MID(B326,5,2)</f>
        <v>04</v>
      </c>
      <c r="F326" s="2" t="str">
        <f>RIGHT(B326,2)</f>
        <v>28</v>
      </c>
      <c r="G326" s="29">
        <f>DATE(D326,E326,F326)</f>
        <v>42122</v>
      </c>
      <c r="I326" s="2" t="s">
        <v>1</v>
      </c>
    </row>
    <row r="327" hidden="1">
      <c r="A327" s="1" t="s">
        <v>642</v>
      </c>
      <c r="I327" s="2" t="s">
        <v>851</v>
      </c>
    </row>
    <row r="328" hidden="1">
      <c r="A328" s="1" t="s">
        <v>643</v>
      </c>
      <c r="I328" s="2" t="s">
        <v>852</v>
      </c>
    </row>
    <row r="329">
      <c r="A329" s="1" t="s">
        <v>853</v>
      </c>
      <c r="B329" s="2">
        <f>IFERROR(__xludf.DUMMYFUNCTION("SPLIT(A329,""_"")"),2.0150428E7)</f>
        <v>20150428</v>
      </c>
      <c r="C329" s="2" t="str">
        <f>IFERROR(__xludf.DUMMYFUNCTION("""COMPUTED_VALUE"""),"AKAM")</f>
        <v>AKAM</v>
      </c>
      <c r="D329" s="2" t="str">
        <f>LEFT(B329,4)</f>
        <v>2015</v>
      </c>
      <c r="E329" s="2" t="str">
        <f>MID(B329,5,2)</f>
        <v>04</v>
      </c>
      <c r="F329" s="2" t="str">
        <f>RIGHT(B329,2)</f>
        <v>28</v>
      </c>
      <c r="G329" s="29">
        <f>DATE(D329,E329,F329)</f>
        <v>42122</v>
      </c>
      <c r="I329" s="2" t="s">
        <v>854</v>
      </c>
    </row>
    <row r="330" hidden="1">
      <c r="A330" s="1" t="s">
        <v>642</v>
      </c>
      <c r="I330" s="2" t="s">
        <v>855</v>
      </c>
    </row>
    <row r="331" hidden="1">
      <c r="A331" s="1" t="s">
        <v>643</v>
      </c>
      <c r="I331" s="2" t="s">
        <v>856</v>
      </c>
    </row>
    <row r="332">
      <c r="A332" s="1" t="s">
        <v>857</v>
      </c>
      <c r="B332" s="2">
        <f>IFERROR(__xludf.DUMMYFUNCTION("SPLIT(A332,""_"")"),2.0150428E7)</f>
        <v>20150428</v>
      </c>
      <c r="C332" s="2" t="str">
        <f>IFERROR(__xludf.DUMMYFUNCTION("""COMPUTED_VALUE"""),"BGFV")</f>
        <v>BGFV</v>
      </c>
      <c r="D332" s="2" t="str">
        <f>LEFT(B332,4)</f>
        <v>2015</v>
      </c>
      <c r="E332" s="2" t="str">
        <f>MID(B332,5,2)</f>
        <v>04</v>
      </c>
      <c r="F332" s="2" t="str">
        <f>RIGHT(B332,2)</f>
        <v>28</v>
      </c>
      <c r="G332" s="29">
        <f>DATE(D332,E332,F332)</f>
        <v>42122</v>
      </c>
      <c r="I332" s="2" t="s">
        <v>858</v>
      </c>
    </row>
    <row r="333" hidden="1">
      <c r="A333" s="1" t="s">
        <v>642</v>
      </c>
      <c r="I333" s="2" t="s">
        <v>859</v>
      </c>
    </row>
    <row r="334" hidden="1">
      <c r="A334" s="1" t="s">
        <v>643</v>
      </c>
      <c r="I334" s="2" t="s">
        <v>860</v>
      </c>
    </row>
    <row r="335">
      <c r="A335" s="1" t="s">
        <v>861</v>
      </c>
      <c r="B335" s="2">
        <f>IFERROR(__xludf.DUMMYFUNCTION("SPLIT(A335,""_"")"),2.0150428E7)</f>
        <v>20150428</v>
      </c>
      <c r="C335" s="2" t="str">
        <f>IFERROR(__xludf.DUMMYFUNCTION("""COMPUTED_VALUE"""),"CIR")</f>
        <v>CIR</v>
      </c>
      <c r="D335" s="2" t="str">
        <f>LEFT(B335,4)</f>
        <v>2015</v>
      </c>
      <c r="E335" s="2" t="str">
        <f>MID(B335,5,2)</f>
        <v>04</v>
      </c>
      <c r="F335" s="2" t="str">
        <f>RIGHT(B335,2)</f>
        <v>28</v>
      </c>
      <c r="G335" s="29">
        <f>DATE(D335,E335,F335)</f>
        <v>42122</v>
      </c>
      <c r="I335" s="2" t="s">
        <v>862</v>
      </c>
    </row>
    <row r="336" hidden="1">
      <c r="A336" s="1" t="s">
        <v>642</v>
      </c>
      <c r="I336" s="2" t="s">
        <v>863</v>
      </c>
    </row>
    <row r="337" hidden="1">
      <c r="A337" s="1" t="s">
        <v>643</v>
      </c>
      <c r="I337" s="2" t="s">
        <v>864</v>
      </c>
    </row>
    <row r="338">
      <c r="A338" s="1" t="s">
        <v>865</v>
      </c>
      <c r="B338" s="2">
        <f>IFERROR(__xludf.DUMMYFUNCTION("SPLIT(A338,""_"")"),2.0150428E7)</f>
        <v>20150428</v>
      </c>
      <c r="C338" s="2" t="str">
        <f>IFERROR(__xludf.DUMMYFUNCTION("""COMPUTED_VALUE"""),"CNC")</f>
        <v>CNC</v>
      </c>
      <c r="D338" s="2" t="str">
        <f>LEFT(B338,4)</f>
        <v>2015</v>
      </c>
      <c r="E338" s="2" t="str">
        <f>MID(B338,5,2)</f>
        <v>04</v>
      </c>
      <c r="F338" s="2" t="str">
        <f>RIGHT(B338,2)</f>
        <v>28</v>
      </c>
      <c r="G338" s="29">
        <f>DATE(D338,E338,F338)</f>
        <v>42122</v>
      </c>
      <c r="I338" s="2" t="s">
        <v>866</v>
      </c>
    </row>
    <row r="339" hidden="1">
      <c r="A339" s="1" t="s">
        <v>642</v>
      </c>
      <c r="I339" s="2" t="s">
        <v>867</v>
      </c>
    </row>
    <row r="340" hidden="1">
      <c r="A340" s="1" t="s">
        <v>643</v>
      </c>
      <c r="I340" s="2" t="s">
        <v>868</v>
      </c>
    </row>
    <row r="341">
      <c r="A341" s="1" t="s">
        <v>869</v>
      </c>
      <c r="B341" s="2">
        <f>IFERROR(__xludf.DUMMYFUNCTION("SPLIT(A341,""_"")"),2.0150428E7)</f>
        <v>20150428</v>
      </c>
      <c r="C341" s="2" t="str">
        <f>IFERROR(__xludf.DUMMYFUNCTION("""COMPUTED_VALUE"""),"CRUS")</f>
        <v>CRUS</v>
      </c>
      <c r="D341" s="2" t="str">
        <f>LEFT(B341,4)</f>
        <v>2015</v>
      </c>
      <c r="E341" s="2" t="str">
        <f>MID(B341,5,2)</f>
        <v>04</v>
      </c>
      <c r="F341" s="2" t="str">
        <f>RIGHT(B341,2)</f>
        <v>28</v>
      </c>
      <c r="G341" s="29">
        <f>DATE(D341,E341,F341)</f>
        <v>42122</v>
      </c>
      <c r="I341" s="2" t="s">
        <v>870</v>
      </c>
    </row>
    <row r="342" hidden="1">
      <c r="A342" s="1" t="s">
        <v>642</v>
      </c>
      <c r="I342" s="2" t="s">
        <v>871</v>
      </c>
    </row>
    <row r="343" hidden="1">
      <c r="A343" s="1" t="s">
        <v>643</v>
      </c>
      <c r="I343" s="2" t="s">
        <v>872</v>
      </c>
    </row>
    <row r="344">
      <c r="A344" s="1" t="s">
        <v>873</v>
      </c>
      <c r="B344" s="2">
        <f>IFERROR(__xludf.DUMMYFUNCTION("SPLIT(A344,""_"")"),2.0150428E7)</f>
        <v>20150428</v>
      </c>
      <c r="C344" s="2" t="str">
        <f>IFERROR(__xludf.DUMMYFUNCTION("""COMPUTED_VALUE"""),"EPR")</f>
        <v>EPR</v>
      </c>
      <c r="D344" s="2" t="str">
        <f>LEFT(B344,4)</f>
        <v>2015</v>
      </c>
      <c r="E344" s="2" t="str">
        <f>MID(B344,5,2)</f>
        <v>04</v>
      </c>
      <c r="F344" s="2" t="str">
        <f>RIGHT(B344,2)</f>
        <v>28</v>
      </c>
      <c r="G344" s="29">
        <f>DATE(D344,E344,F344)</f>
        <v>42122</v>
      </c>
      <c r="I344" s="2" t="s">
        <v>874</v>
      </c>
    </row>
    <row r="345" hidden="1">
      <c r="A345" s="1" t="s">
        <v>642</v>
      </c>
      <c r="I345" s="2" t="s">
        <v>875</v>
      </c>
    </row>
    <row r="346" hidden="1">
      <c r="A346" s="1" t="s">
        <v>643</v>
      </c>
      <c r="I346" s="2" t="s">
        <v>876</v>
      </c>
    </row>
    <row r="347">
      <c r="A347" s="1" t="s">
        <v>877</v>
      </c>
      <c r="B347" s="2">
        <f>IFERROR(__xludf.DUMMYFUNCTION("SPLIT(A347,""_"")"),2.0150428E7)</f>
        <v>20150428</v>
      </c>
      <c r="C347" s="2" t="str">
        <f>IFERROR(__xludf.DUMMYFUNCTION("""COMPUTED_VALUE"""),"HELE")</f>
        <v>HELE</v>
      </c>
      <c r="D347" s="2" t="str">
        <f>LEFT(B347,4)</f>
        <v>2015</v>
      </c>
      <c r="E347" s="2" t="str">
        <f>MID(B347,5,2)</f>
        <v>04</v>
      </c>
      <c r="F347" s="2" t="str">
        <f>RIGHT(B347,2)</f>
        <v>28</v>
      </c>
      <c r="G347" s="29">
        <f>DATE(D347,E347,F347)</f>
        <v>42122</v>
      </c>
      <c r="I347" s="2" t="s">
        <v>878</v>
      </c>
    </row>
    <row r="348" hidden="1">
      <c r="A348" s="1" t="s">
        <v>642</v>
      </c>
      <c r="I348" s="2" t="s">
        <v>879</v>
      </c>
    </row>
    <row r="349" hidden="1">
      <c r="A349" s="1" t="s">
        <v>643</v>
      </c>
      <c r="I349" s="2" t="s">
        <v>880</v>
      </c>
    </row>
    <row r="350">
      <c r="A350" s="1" t="s">
        <v>881</v>
      </c>
      <c r="B350" s="2">
        <f>IFERROR(__xludf.DUMMYFUNCTION("SPLIT(A350,""_"")"),2.0150428E7)</f>
        <v>20150428</v>
      </c>
      <c r="C350" s="2" t="str">
        <f>IFERROR(__xludf.DUMMYFUNCTION("""COMPUTED_VALUE"""),"HLIT")</f>
        <v>HLIT</v>
      </c>
      <c r="D350" s="2" t="str">
        <f>LEFT(B350,4)</f>
        <v>2015</v>
      </c>
      <c r="E350" s="2" t="str">
        <f>MID(B350,5,2)</f>
        <v>04</v>
      </c>
      <c r="F350" s="2" t="str">
        <f>RIGHT(B350,2)</f>
        <v>28</v>
      </c>
      <c r="G350" s="29">
        <f>DATE(D350,E350,F350)</f>
        <v>42122</v>
      </c>
      <c r="I350" s="2" t="s">
        <v>882</v>
      </c>
    </row>
    <row r="351" hidden="1">
      <c r="A351" s="1" t="s">
        <v>642</v>
      </c>
      <c r="I351" s="2" t="s">
        <v>883</v>
      </c>
    </row>
    <row r="352" hidden="1">
      <c r="A352" s="1" t="s">
        <v>643</v>
      </c>
      <c r="I352" s="2" t="s">
        <v>884</v>
      </c>
    </row>
    <row r="353">
      <c r="A353" s="1" t="s">
        <v>885</v>
      </c>
      <c r="B353" s="2">
        <f>IFERROR(__xludf.DUMMYFUNCTION("SPLIT(A353,""_"")"),2.0150428E7)</f>
        <v>20150428</v>
      </c>
      <c r="C353" s="2" t="str">
        <f>IFERROR(__xludf.DUMMYFUNCTION("""COMPUTED_VALUE"""),"IDXX")</f>
        <v>IDXX</v>
      </c>
      <c r="D353" s="2" t="str">
        <f>LEFT(B353,4)</f>
        <v>2015</v>
      </c>
      <c r="E353" s="2" t="str">
        <f>MID(B353,5,2)</f>
        <v>04</v>
      </c>
      <c r="F353" s="2" t="str">
        <f>RIGHT(B353,2)</f>
        <v>28</v>
      </c>
      <c r="G353" s="29">
        <f>DATE(D353,E353,F353)</f>
        <v>42122</v>
      </c>
      <c r="I353" s="2" t="s">
        <v>886</v>
      </c>
    </row>
    <row r="354" hidden="1">
      <c r="A354" s="1" t="s">
        <v>642</v>
      </c>
      <c r="I354" s="2" t="s">
        <v>887</v>
      </c>
    </row>
    <row r="355" hidden="1">
      <c r="A355" s="1" t="s">
        <v>643</v>
      </c>
      <c r="I355" s="2" t="s">
        <v>888</v>
      </c>
    </row>
    <row r="356">
      <c r="A356" s="1" t="s">
        <v>889</v>
      </c>
      <c r="B356" s="2">
        <f>IFERROR(__xludf.DUMMYFUNCTION("SPLIT(A356,""_"")"),2.0150428E7)</f>
        <v>20150428</v>
      </c>
      <c r="C356" s="2" t="str">
        <f>IFERROR(__xludf.DUMMYFUNCTION("""COMPUTED_VALUE"""),"IIVI")</f>
        <v>IIVI</v>
      </c>
      <c r="D356" s="2" t="str">
        <f>LEFT(B356,4)</f>
        <v>2015</v>
      </c>
      <c r="E356" s="2" t="str">
        <f>MID(B356,5,2)</f>
        <v>04</v>
      </c>
      <c r="F356" s="2" t="str">
        <f>RIGHT(B356,2)</f>
        <v>28</v>
      </c>
      <c r="G356" s="29">
        <f>DATE(D356,E356,F356)</f>
        <v>42122</v>
      </c>
      <c r="I356" s="2" t="s">
        <v>890</v>
      </c>
    </row>
    <row r="357" hidden="1">
      <c r="A357" s="1" t="s">
        <v>642</v>
      </c>
      <c r="I357" s="2" t="s">
        <v>891</v>
      </c>
    </row>
    <row r="358" hidden="1">
      <c r="A358" s="1" t="s">
        <v>643</v>
      </c>
      <c r="I358" s="2" t="s">
        <v>892</v>
      </c>
    </row>
    <row r="359">
      <c r="A359" s="1" t="s">
        <v>893</v>
      </c>
      <c r="B359" s="2">
        <f>IFERROR(__xludf.DUMMYFUNCTION("SPLIT(A359,""_"")"),2.0150428E7)</f>
        <v>20150428</v>
      </c>
      <c r="C359" s="2" t="str">
        <f>IFERROR(__xludf.DUMMYFUNCTION("""COMPUTED_VALUE"""),"LOGM")</f>
        <v>LOGM</v>
      </c>
      <c r="D359" s="2" t="str">
        <f>LEFT(B359,4)</f>
        <v>2015</v>
      </c>
      <c r="E359" s="2" t="str">
        <f>MID(B359,5,2)</f>
        <v>04</v>
      </c>
      <c r="F359" s="2" t="str">
        <f>RIGHT(B359,2)</f>
        <v>28</v>
      </c>
      <c r="G359" s="29">
        <f>DATE(D359,E359,F359)</f>
        <v>42122</v>
      </c>
      <c r="I359" s="2" t="s">
        <v>894</v>
      </c>
    </row>
    <row r="360" hidden="1">
      <c r="A360" s="1" t="s">
        <v>642</v>
      </c>
      <c r="I360" s="2" t="s">
        <v>895</v>
      </c>
    </row>
    <row r="361" hidden="1">
      <c r="A361" s="1" t="s">
        <v>643</v>
      </c>
      <c r="I361" s="2" t="s">
        <v>896</v>
      </c>
    </row>
    <row r="362">
      <c r="A362" s="1" t="s">
        <v>897</v>
      </c>
      <c r="B362" s="2">
        <f>IFERROR(__xludf.DUMMYFUNCTION("SPLIT(A362,""_"")"),2.0150428E7)</f>
        <v>20150428</v>
      </c>
      <c r="C362" s="2" t="str">
        <f>IFERROR(__xludf.DUMMYFUNCTION("""COMPUTED_VALUE"""),"MAS")</f>
        <v>MAS</v>
      </c>
      <c r="D362" s="2" t="str">
        <f>LEFT(B362,4)</f>
        <v>2015</v>
      </c>
      <c r="E362" s="2" t="str">
        <f>MID(B362,5,2)</f>
        <v>04</v>
      </c>
      <c r="F362" s="2" t="str">
        <f>RIGHT(B362,2)</f>
        <v>28</v>
      </c>
      <c r="G362" s="29">
        <f>DATE(D362,E362,F362)</f>
        <v>42122</v>
      </c>
      <c r="I362" s="2" t="s">
        <v>898</v>
      </c>
    </row>
    <row r="363" hidden="1">
      <c r="A363" s="1" t="s">
        <v>642</v>
      </c>
      <c r="I363" s="2" t="s">
        <v>899</v>
      </c>
    </row>
    <row r="364" hidden="1">
      <c r="A364" s="1" t="s">
        <v>643</v>
      </c>
      <c r="I364" s="2" t="s">
        <v>900</v>
      </c>
    </row>
    <row r="365">
      <c r="A365" s="1" t="s">
        <v>901</v>
      </c>
      <c r="B365" s="2">
        <f>IFERROR(__xludf.DUMMYFUNCTION("SPLIT(A365,""_"")"),2.0150428E7)</f>
        <v>20150428</v>
      </c>
      <c r="C365" s="2" t="str">
        <f>IFERROR(__xludf.DUMMYFUNCTION("""COMPUTED_VALUE"""),"MRCY")</f>
        <v>MRCY</v>
      </c>
      <c r="D365" s="2" t="str">
        <f>LEFT(B365,4)</f>
        <v>2015</v>
      </c>
      <c r="E365" s="2" t="str">
        <f>MID(B365,5,2)</f>
        <v>04</v>
      </c>
      <c r="F365" s="2" t="str">
        <f>RIGHT(B365,2)</f>
        <v>28</v>
      </c>
      <c r="G365" s="29">
        <f>DATE(D365,E365,F365)</f>
        <v>42122</v>
      </c>
      <c r="I365" s="2" t="s">
        <v>902</v>
      </c>
    </row>
    <row r="366" hidden="1">
      <c r="A366" s="1" t="s">
        <v>642</v>
      </c>
      <c r="I366" s="2" t="s">
        <v>903</v>
      </c>
    </row>
    <row r="367" hidden="1">
      <c r="A367" s="1" t="s">
        <v>643</v>
      </c>
      <c r="I367" s="2" t="s">
        <v>904</v>
      </c>
    </row>
    <row r="368">
      <c r="A368" s="1" t="s">
        <v>905</v>
      </c>
      <c r="B368" s="2">
        <f>IFERROR(__xludf.DUMMYFUNCTION("SPLIT(A368,""_"")"),2.0150428E7)</f>
        <v>20150428</v>
      </c>
      <c r="C368" s="2" t="str">
        <f>IFERROR(__xludf.DUMMYFUNCTION("""COMPUTED_VALUE"""),"MSTR")</f>
        <v>MSTR</v>
      </c>
      <c r="D368" s="2" t="str">
        <f>LEFT(B368,4)</f>
        <v>2015</v>
      </c>
      <c r="E368" s="2" t="str">
        <f>MID(B368,5,2)</f>
        <v>04</v>
      </c>
      <c r="F368" s="2" t="str">
        <f>RIGHT(B368,2)</f>
        <v>28</v>
      </c>
      <c r="G368" s="29">
        <f>DATE(D368,E368,F368)</f>
        <v>42122</v>
      </c>
      <c r="I368" s="2" t="s">
        <v>906</v>
      </c>
    </row>
    <row r="369" hidden="1">
      <c r="A369" s="1" t="s">
        <v>642</v>
      </c>
      <c r="I369" s="2" t="s">
        <v>907</v>
      </c>
    </row>
    <row r="370" hidden="1">
      <c r="A370" s="1" t="s">
        <v>643</v>
      </c>
      <c r="I370" s="2" t="s">
        <v>908</v>
      </c>
    </row>
    <row r="371">
      <c r="A371" s="1" t="s">
        <v>909</v>
      </c>
      <c r="B371" s="2">
        <f>IFERROR(__xludf.DUMMYFUNCTION("SPLIT(A371,""_"")"),2.0150428E7)</f>
        <v>20150428</v>
      </c>
      <c r="C371" s="2" t="str">
        <f>IFERROR(__xludf.DUMMYFUNCTION("""COMPUTED_VALUE"""),"NATI")</f>
        <v>NATI</v>
      </c>
      <c r="D371" s="2" t="str">
        <f>LEFT(B371,4)</f>
        <v>2015</v>
      </c>
      <c r="E371" s="2" t="str">
        <f>MID(B371,5,2)</f>
        <v>04</v>
      </c>
      <c r="F371" s="2" t="str">
        <f>RIGHT(B371,2)</f>
        <v>28</v>
      </c>
      <c r="G371" s="29">
        <f>DATE(D371,E371,F371)</f>
        <v>42122</v>
      </c>
      <c r="I371" s="2" t="s">
        <v>910</v>
      </c>
    </row>
    <row r="372" hidden="1">
      <c r="A372" s="1" t="s">
        <v>642</v>
      </c>
      <c r="I372" s="2" t="s">
        <v>911</v>
      </c>
    </row>
    <row r="373" hidden="1">
      <c r="A373" s="1" t="s">
        <v>643</v>
      </c>
      <c r="I373" s="2" t="s">
        <v>912</v>
      </c>
    </row>
    <row r="374">
      <c r="A374" s="1" t="s">
        <v>913</v>
      </c>
      <c r="B374" s="2">
        <f>IFERROR(__xludf.DUMMYFUNCTION("SPLIT(A374,""_"")"),2.0150428E7)</f>
        <v>20150428</v>
      </c>
      <c r="C374" s="2" t="str">
        <f>IFERROR(__xludf.DUMMYFUNCTION("""COMPUTED_VALUE"""),"NOV")</f>
        <v>NOV</v>
      </c>
      <c r="D374" s="2" t="str">
        <f>LEFT(B374,4)</f>
        <v>2015</v>
      </c>
      <c r="E374" s="2" t="str">
        <f>MID(B374,5,2)</f>
        <v>04</v>
      </c>
      <c r="F374" s="2" t="str">
        <f>RIGHT(B374,2)</f>
        <v>28</v>
      </c>
      <c r="G374" s="29">
        <f>DATE(D374,E374,F374)</f>
        <v>42122</v>
      </c>
      <c r="I374" s="2" t="s">
        <v>914</v>
      </c>
    </row>
    <row r="375" hidden="1">
      <c r="A375" s="1" t="s">
        <v>642</v>
      </c>
      <c r="I375" s="2" t="s">
        <v>915</v>
      </c>
    </row>
    <row r="376" hidden="1">
      <c r="A376" s="1" t="s">
        <v>643</v>
      </c>
      <c r="I376" s="2" t="s">
        <v>916</v>
      </c>
    </row>
    <row r="377">
      <c r="A377" s="1" t="s">
        <v>917</v>
      </c>
      <c r="B377" s="2">
        <f>IFERROR(__xludf.DUMMYFUNCTION("SPLIT(A377,""_"")"),2.0150428E7)</f>
        <v>20150428</v>
      </c>
      <c r="C377" s="2" t="str">
        <f>IFERROR(__xludf.DUMMYFUNCTION("""COMPUTED_VALUE"""),"OMI")</f>
        <v>OMI</v>
      </c>
      <c r="D377" s="2" t="str">
        <f>LEFT(B377,4)</f>
        <v>2015</v>
      </c>
      <c r="E377" s="2" t="str">
        <f>MID(B377,5,2)</f>
        <v>04</v>
      </c>
      <c r="F377" s="2" t="str">
        <f>RIGHT(B377,2)</f>
        <v>28</v>
      </c>
      <c r="G377" s="29">
        <f>DATE(D377,E377,F377)</f>
        <v>42122</v>
      </c>
      <c r="I377" s="2" t="s">
        <v>918</v>
      </c>
    </row>
    <row r="378" hidden="1">
      <c r="A378" s="1" t="s">
        <v>642</v>
      </c>
      <c r="I378" s="2" t="s">
        <v>919</v>
      </c>
    </row>
    <row r="379" hidden="1">
      <c r="A379" s="1" t="s">
        <v>643</v>
      </c>
      <c r="I379" s="2" t="s">
        <v>920</v>
      </c>
    </row>
    <row r="380">
      <c r="A380" s="1" t="s">
        <v>921</v>
      </c>
      <c r="B380" s="2">
        <f>IFERROR(__xludf.DUMMYFUNCTION("SPLIT(A380,""_"")"),2.0150428E7)</f>
        <v>20150428</v>
      </c>
      <c r="C380" s="2" t="str">
        <f>IFERROR(__xludf.DUMMYFUNCTION("""COMPUTED_VALUE"""),"WDC")</f>
        <v>WDC</v>
      </c>
      <c r="D380" s="2" t="str">
        <f>LEFT(B380,4)</f>
        <v>2015</v>
      </c>
      <c r="E380" s="2" t="str">
        <f>MID(B380,5,2)</f>
        <v>04</v>
      </c>
      <c r="F380" s="2" t="str">
        <f>RIGHT(B380,2)</f>
        <v>28</v>
      </c>
      <c r="G380" s="29">
        <f>DATE(D380,E380,F380)</f>
        <v>42122</v>
      </c>
      <c r="I380" s="2" t="s">
        <v>922</v>
      </c>
    </row>
    <row r="381" hidden="1">
      <c r="A381" s="1" t="s">
        <v>642</v>
      </c>
      <c r="I381" s="2" t="s">
        <v>923</v>
      </c>
    </row>
    <row r="382" hidden="1">
      <c r="A382" s="1" t="s">
        <v>643</v>
      </c>
      <c r="I382" s="2" t="s">
        <v>924</v>
      </c>
    </row>
    <row r="383">
      <c r="A383" s="1" t="s">
        <v>925</v>
      </c>
      <c r="B383" s="2">
        <f>IFERROR(__xludf.DUMMYFUNCTION("SPLIT(A383,""_"")"),2.0150428E7)</f>
        <v>20150428</v>
      </c>
      <c r="C383" s="2" t="str">
        <f>IFERROR(__xludf.DUMMYFUNCTION("""COMPUTED_VALUE"""),"WWW")</f>
        <v>WWW</v>
      </c>
      <c r="D383" s="2" t="str">
        <f>LEFT(B383,4)</f>
        <v>2015</v>
      </c>
      <c r="E383" s="2" t="str">
        <f>MID(B383,5,2)</f>
        <v>04</v>
      </c>
      <c r="F383" s="2" t="str">
        <f>RIGHT(B383,2)</f>
        <v>28</v>
      </c>
      <c r="G383" s="29">
        <f>DATE(D383,E383,F383)</f>
        <v>42122</v>
      </c>
      <c r="I383" s="2" t="s">
        <v>926</v>
      </c>
    </row>
    <row r="384" hidden="1">
      <c r="A384" s="1" t="s">
        <v>642</v>
      </c>
      <c r="I384" s="2" t="s">
        <v>927</v>
      </c>
    </row>
    <row r="385" hidden="1">
      <c r="A385" s="1" t="s">
        <v>643</v>
      </c>
      <c r="I385" s="2" t="s">
        <v>928</v>
      </c>
    </row>
    <row r="386">
      <c r="A386" s="1" t="s">
        <v>929</v>
      </c>
      <c r="B386" s="2">
        <f>IFERROR(__xludf.DUMMYFUNCTION("SPLIT(A386,""_"")"),2.0150428E7)</f>
        <v>20150428</v>
      </c>
      <c r="C386" s="2" t="str">
        <f>IFERROR(__xludf.DUMMYFUNCTION("""COMPUTED_VALUE"""),"WYND")</f>
        <v>WYND</v>
      </c>
      <c r="D386" s="2" t="str">
        <f>LEFT(B386,4)</f>
        <v>2015</v>
      </c>
      <c r="E386" s="2" t="str">
        <f>MID(B386,5,2)</f>
        <v>04</v>
      </c>
      <c r="F386" s="2" t="str">
        <f>RIGHT(B386,2)</f>
        <v>28</v>
      </c>
      <c r="G386" s="29">
        <f>DATE(D386,E386,F386)</f>
        <v>42122</v>
      </c>
      <c r="I386" s="2" t="s">
        <v>930</v>
      </c>
    </row>
    <row r="387" hidden="1">
      <c r="A387" s="1" t="s">
        <v>642</v>
      </c>
      <c r="I387" s="2" t="s">
        <v>931</v>
      </c>
    </row>
    <row r="388" hidden="1">
      <c r="A388" s="1" t="s">
        <v>643</v>
      </c>
      <c r="I388" s="2" t="s">
        <v>932</v>
      </c>
    </row>
    <row r="389">
      <c r="A389" s="1" t="s">
        <v>933</v>
      </c>
      <c r="B389" s="2">
        <f>IFERROR(__xludf.DUMMYFUNCTION("SPLIT(A389,""_"")"),2.0150429E7)</f>
        <v>20150429</v>
      </c>
      <c r="C389" s="2" t="str">
        <f>IFERROR(__xludf.DUMMYFUNCTION("""COMPUTED_VALUE"""),"AMED")</f>
        <v>AMED</v>
      </c>
      <c r="D389" s="2" t="str">
        <f>LEFT(B389,4)</f>
        <v>2015</v>
      </c>
      <c r="E389" s="2" t="str">
        <f>MID(B389,5,2)</f>
        <v>04</v>
      </c>
      <c r="F389" s="2" t="str">
        <f>RIGHT(B389,2)</f>
        <v>29</v>
      </c>
      <c r="G389" s="29">
        <f>DATE(D389,E389,F389)</f>
        <v>42123</v>
      </c>
      <c r="I389" s="2" t="s">
        <v>934</v>
      </c>
    </row>
    <row r="390" hidden="1">
      <c r="A390" s="1" t="s">
        <v>642</v>
      </c>
      <c r="I390" s="2" t="s">
        <v>935</v>
      </c>
    </row>
    <row r="391" hidden="1">
      <c r="A391" s="1" t="s">
        <v>643</v>
      </c>
      <c r="I391" s="2" t="s">
        <v>936</v>
      </c>
    </row>
    <row r="392">
      <c r="A392" s="1" t="s">
        <v>937</v>
      </c>
      <c r="B392" s="2">
        <f>IFERROR(__xludf.DUMMYFUNCTION("SPLIT(A392,""_"")"),2.0150429E7)</f>
        <v>20150429</v>
      </c>
      <c r="C392" s="2" t="str">
        <f>IFERROR(__xludf.DUMMYFUNCTION("""COMPUTED_VALUE"""),"ASGN")</f>
        <v>ASGN</v>
      </c>
      <c r="D392" s="2" t="str">
        <f>LEFT(B392,4)</f>
        <v>2015</v>
      </c>
      <c r="E392" s="2" t="str">
        <f>MID(B392,5,2)</f>
        <v>04</v>
      </c>
      <c r="F392" s="2" t="str">
        <f>RIGHT(B392,2)</f>
        <v>29</v>
      </c>
      <c r="G392" s="29">
        <f>DATE(D392,E392,F392)</f>
        <v>42123</v>
      </c>
      <c r="I392" s="2" t="s">
        <v>938</v>
      </c>
    </row>
    <row r="393" hidden="1">
      <c r="A393" s="1" t="s">
        <v>642</v>
      </c>
      <c r="I393" s="2" t="s">
        <v>939</v>
      </c>
    </row>
    <row r="394" hidden="1">
      <c r="A394" s="1" t="s">
        <v>643</v>
      </c>
      <c r="I394" s="2" t="s">
        <v>940</v>
      </c>
    </row>
    <row r="395">
      <c r="A395" s="1" t="s">
        <v>941</v>
      </c>
      <c r="B395" s="2">
        <f>IFERROR(__xludf.DUMMYFUNCTION("SPLIT(A395,""_"")"),2.0150429E7)</f>
        <v>20150429</v>
      </c>
      <c r="C395" s="2" t="str">
        <f>IFERROR(__xludf.DUMMYFUNCTION("""COMPUTED_VALUE"""),"BEN")</f>
        <v>BEN</v>
      </c>
      <c r="D395" s="2" t="str">
        <f>LEFT(B395,4)</f>
        <v>2015</v>
      </c>
      <c r="E395" s="2" t="str">
        <f>MID(B395,5,2)</f>
        <v>04</v>
      </c>
      <c r="F395" s="2" t="str">
        <f>RIGHT(B395,2)</f>
        <v>29</v>
      </c>
      <c r="G395" s="29">
        <f>DATE(D395,E395,F395)</f>
        <v>42123</v>
      </c>
      <c r="I395" s="2" t="s">
        <v>942</v>
      </c>
    </row>
    <row r="396" hidden="1">
      <c r="A396" s="1" t="s">
        <v>642</v>
      </c>
      <c r="I396" s="2" t="s">
        <v>943</v>
      </c>
    </row>
    <row r="397" hidden="1">
      <c r="A397" s="1" t="s">
        <v>643</v>
      </c>
      <c r="I397" s="2" t="s">
        <v>944</v>
      </c>
    </row>
    <row r="398">
      <c r="A398" s="1" t="s">
        <v>945</v>
      </c>
      <c r="B398" s="2">
        <f>IFERROR(__xludf.DUMMYFUNCTION("SPLIT(A398,""_"")"),2.0150429E7)</f>
        <v>20150429</v>
      </c>
      <c r="C398" s="2" t="str">
        <f>IFERROR(__xludf.DUMMYFUNCTION("""COMPUTED_VALUE"""),"CFR")</f>
        <v>CFR</v>
      </c>
      <c r="D398" s="2" t="str">
        <f>LEFT(B398,4)</f>
        <v>2015</v>
      </c>
      <c r="E398" s="2" t="str">
        <f>MID(B398,5,2)</f>
        <v>04</v>
      </c>
      <c r="F398" s="2" t="str">
        <f>RIGHT(B398,2)</f>
        <v>29</v>
      </c>
      <c r="G398" s="29">
        <f>DATE(D398,E398,F398)</f>
        <v>42123</v>
      </c>
      <c r="I398" s="2" t="s">
        <v>946</v>
      </c>
    </row>
    <row r="399" hidden="1">
      <c r="A399" s="1" t="s">
        <v>642</v>
      </c>
      <c r="I399" s="2" t="s">
        <v>947</v>
      </c>
    </row>
    <row r="400" hidden="1">
      <c r="A400" s="1" t="s">
        <v>643</v>
      </c>
      <c r="I400" s="2" t="s">
        <v>948</v>
      </c>
    </row>
    <row r="401">
      <c r="A401" s="1" t="s">
        <v>949</v>
      </c>
      <c r="B401" s="2">
        <f>IFERROR(__xludf.DUMMYFUNCTION("SPLIT(A401,""_"")"),2.0150429E7)</f>
        <v>20150429</v>
      </c>
      <c r="C401" s="2" t="str">
        <f>IFERROR(__xludf.DUMMYFUNCTION("""COMPUTED_VALUE"""),"EQIX")</f>
        <v>EQIX</v>
      </c>
      <c r="D401" s="2" t="str">
        <f>LEFT(B401,4)</f>
        <v>2015</v>
      </c>
      <c r="E401" s="2" t="str">
        <f>MID(B401,5,2)</f>
        <v>04</v>
      </c>
      <c r="F401" s="2" t="str">
        <f>RIGHT(B401,2)</f>
        <v>29</v>
      </c>
      <c r="G401" s="29">
        <f>DATE(D401,E401,F401)</f>
        <v>42123</v>
      </c>
      <c r="I401" s="2" t="s">
        <v>950</v>
      </c>
    </row>
    <row r="402" hidden="1">
      <c r="A402" s="1" t="s">
        <v>642</v>
      </c>
      <c r="I402" s="2" t="s">
        <v>951</v>
      </c>
    </row>
    <row r="403" hidden="1">
      <c r="A403" s="1" t="s">
        <v>643</v>
      </c>
      <c r="I403" s="2" t="s">
        <v>952</v>
      </c>
    </row>
    <row r="404">
      <c r="A404" s="1" t="s">
        <v>953</v>
      </c>
      <c r="B404" s="2">
        <f>IFERROR(__xludf.DUMMYFUNCTION("SPLIT(A404,""_"")"),2.0150429E7)</f>
        <v>20150429</v>
      </c>
      <c r="C404" s="2" t="str">
        <f>IFERROR(__xludf.DUMMYFUNCTION("""COMPUTED_VALUE"""),"GPRE")</f>
        <v>GPRE</v>
      </c>
      <c r="D404" s="2" t="str">
        <f>LEFT(B404,4)</f>
        <v>2015</v>
      </c>
      <c r="E404" s="2" t="str">
        <f>MID(B404,5,2)</f>
        <v>04</v>
      </c>
      <c r="F404" s="2" t="str">
        <f>RIGHT(B404,2)</f>
        <v>29</v>
      </c>
      <c r="G404" s="29">
        <f>DATE(D404,E404,F404)</f>
        <v>42123</v>
      </c>
      <c r="I404" s="2" t="s">
        <v>954</v>
      </c>
    </row>
    <row r="405" hidden="1">
      <c r="A405" s="1" t="s">
        <v>642</v>
      </c>
      <c r="I405" s="2" t="s">
        <v>955</v>
      </c>
    </row>
    <row r="406" hidden="1">
      <c r="A406" s="1" t="s">
        <v>643</v>
      </c>
      <c r="I406" s="2" t="s">
        <v>956</v>
      </c>
    </row>
    <row r="407">
      <c r="A407" s="1" t="s">
        <v>957</v>
      </c>
      <c r="B407" s="2">
        <f>IFERROR(__xludf.DUMMYFUNCTION("SPLIT(A407,""_"")"),2.0150429E7)</f>
        <v>20150429</v>
      </c>
      <c r="C407" s="2" t="str">
        <f>IFERROR(__xludf.DUMMYFUNCTION("""COMPUTED_VALUE"""),"HF")</f>
        <v>HF</v>
      </c>
      <c r="D407" s="2" t="str">
        <f>LEFT(B407,4)</f>
        <v>2015</v>
      </c>
      <c r="E407" s="2" t="str">
        <f>MID(B407,5,2)</f>
        <v>04</v>
      </c>
      <c r="F407" s="2" t="str">
        <f>RIGHT(B407,2)</f>
        <v>29</v>
      </c>
      <c r="G407" s="29">
        <f>DATE(D407,E407,F407)</f>
        <v>42123</v>
      </c>
      <c r="I407" s="2" t="s">
        <v>958</v>
      </c>
    </row>
    <row r="408" hidden="1">
      <c r="A408" s="1" t="s">
        <v>642</v>
      </c>
      <c r="I408" s="2" t="s">
        <v>959</v>
      </c>
    </row>
    <row r="409" hidden="1">
      <c r="A409" s="1" t="s">
        <v>643</v>
      </c>
      <c r="I409" s="2" t="s">
        <v>960</v>
      </c>
    </row>
    <row r="410">
      <c r="A410" s="1" t="s">
        <v>961</v>
      </c>
      <c r="B410" s="2">
        <f>IFERROR(__xludf.DUMMYFUNCTION("SPLIT(A410,""_"")"),2.0150429E7)</f>
        <v>20150429</v>
      </c>
      <c r="C410" s="2" t="str">
        <f>IFERROR(__xludf.DUMMYFUNCTION("""COMPUTED_VALUE"""),"LL")</f>
        <v>LL</v>
      </c>
      <c r="D410" s="2" t="str">
        <f>LEFT(B410,4)</f>
        <v>2015</v>
      </c>
      <c r="E410" s="2" t="str">
        <f>MID(B410,5,2)</f>
        <v>04</v>
      </c>
      <c r="F410" s="2" t="str">
        <f>RIGHT(B410,2)</f>
        <v>29</v>
      </c>
      <c r="G410" s="29">
        <f>DATE(D410,E410,F410)</f>
        <v>42123</v>
      </c>
      <c r="I410" s="2" t="s">
        <v>962</v>
      </c>
    </row>
    <row r="411" hidden="1">
      <c r="A411" s="1" t="s">
        <v>642</v>
      </c>
      <c r="I411" s="2" t="s">
        <v>963</v>
      </c>
    </row>
    <row r="412" hidden="1">
      <c r="A412" s="1" t="s">
        <v>643</v>
      </c>
      <c r="I412" s="2" t="s">
        <v>964</v>
      </c>
    </row>
    <row r="413">
      <c r="A413" s="1" t="s">
        <v>965</v>
      </c>
      <c r="B413" s="2">
        <f>IFERROR(__xludf.DUMMYFUNCTION("SPLIT(A413,""_"")"),2.0150429E7)</f>
        <v>20150429</v>
      </c>
      <c r="C413" s="2" t="str">
        <f>IFERROR(__xludf.DUMMYFUNCTION("""COMPUTED_VALUE"""),"NOC")</f>
        <v>NOC</v>
      </c>
      <c r="D413" s="2" t="str">
        <f>LEFT(B413,4)</f>
        <v>2015</v>
      </c>
      <c r="E413" s="2" t="str">
        <f>MID(B413,5,2)</f>
        <v>04</v>
      </c>
      <c r="F413" s="2" t="str">
        <f>RIGHT(B413,2)</f>
        <v>29</v>
      </c>
      <c r="G413" s="29">
        <f>DATE(D413,E413,F413)</f>
        <v>42123</v>
      </c>
      <c r="I413" s="2" t="s">
        <v>966</v>
      </c>
    </row>
    <row r="414" hidden="1">
      <c r="A414" s="1" t="s">
        <v>642</v>
      </c>
      <c r="I414" s="2" t="s">
        <v>967</v>
      </c>
    </row>
    <row r="415" hidden="1">
      <c r="A415" s="1" t="s">
        <v>643</v>
      </c>
      <c r="I415" s="2" t="s">
        <v>968</v>
      </c>
    </row>
    <row r="416">
      <c r="A416" s="1" t="s">
        <v>969</v>
      </c>
      <c r="B416" s="2">
        <f>IFERROR(__xludf.DUMMYFUNCTION("SPLIT(A416,""_"")"),2.0150429E7)</f>
        <v>20150429</v>
      </c>
      <c r="C416" s="2" t="str">
        <f>IFERROR(__xludf.DUMMYFUNCTION("""COMPUTED_VALUE"""),"PKE")</f>
        <v>PKE</v>
      </c>
      <c r="D416" s="2" t="str">
        <f>LEFT(B416,4)</f>
        <v>2015</v>
      </c>
      <c r="E416" s="2" t="str">
        <f>MID(B416,5,2)</f>
        <v>04</v>
      </c>
      <c r="F416" s="2" t="str">
        <f>RIGHT(B416,2)</f>
        <v>29</v>
      </c>
      <c r="G416" s="29">
        <f>DATE(D416,E416,F416)</f>
        <v>42123</v>
      </c>
      <c r="I416" s="2" t="s">
        <v>970</v>
      </c>
    </row>
    <row r="417" hidden="1">
      <c r="A417" s="1" t="s">
        <v>642</v>
      </c>
      <c r="I417" s="2" t="s">
        <v>971</v>
      </c>
    </row>
    <row r="418" hidden="1">
      <c r="A418" s="1" t="s">
        <v>643</v>
      </c>
      <c r="I418" s="2" t="s">
        <v>972</v>
      </c>
    </row>
    <row r="419">
      <c r="A419" s="1" t="s">
        <v>973</v>
      </c>
      <c r="B419" s="2">
        <f>IFERROR(__xludf.DUMMYFUNCTION("SPLIT(A419,""_"")"),2.0150429E7)</f>
        <v>20150429</v>
      </c>
      <c r="C419" s="2" t="str">
        <f>IFERROR(__xludf.DUMMYFUNCTION("""COMPUTED_VALUE"""),"PX")</f>
        <v>PX</v>
      </c>
      <c r="D419" s="2" t="str">
        <f>LEFT(B419,4)</f>
        <v>2015</v>
      </c>
      <c r="E419" s="2" t="str">
        <f>MID(B419,5,2)</f>
        <v>04</v>
      </c>
      <c r="F419" s="2" t="str">
        <f>RIGHT(B419,2)</f>
        <v>29</v>
      </c>
      <c r="G419" s="29">
        <f>DATE(D419,E419,F419)</f>
        <v>42123</v>
      </c>
      <c r="I419" s="2" t="s">
        <v>974</v>
      </c>
    </row>
    <row r="420" hidden="1">
      <c r="A420" s="1" t="s">
        <v>642</v>
      </c>
      <c r="I420" s="2" t="s">
        <v>975</v>
      </c>
    </row>
    <row r="421" hidden="1">
      <c r="A421" s="1" t="s">
        <v>643</v>
      </c>
      <c r="I421" s="2" t="s">
        <v>976</v>
      </c>
    </row>
    <row r="422">
      <c r="A422" s="1" t="s">
        <v>977</v>
      </c>
      <c r="B422" s="2">
        <f>IFERROR(__xludf.DUMMYFUNCTION("SPLIT(A422,""_"")"),2.015043E7)</f>
        <v>20150430</v>
      </c>
      <c r="C422" s="2" t="str">
        <f>IFERROR(__xludf.DUMMYFUNCTION("""COMPUTED_VALUE"""),"ABC")</f>
        <v>ABC</v>
      </c>
      <c r="D422" s="2" t="str">
        <f>LEFT(B422,4)</f>
        <v>2015</v>
      </c>
      <c r="E422" s="2" t="str">
        <f>MID(B422,5,2)</f>
        <v>04</v>
      </c>
      <c r="F422" s="2" t="str">
        <f>RIGHT(B422,2)</f>
        <v>30</v>
      </c>
      <c r="G422" s="29">
        <f>DATE(D422,E422,F422)</f>
        <v>42124</v>
      </c>
      <c r="I422" s="2" t="s">
        <v>978</v>
      </c>
    </row>
    <row r="423" hidden="1">
      <c r="A423" s="1" t="s">
        <v>642</v>
      </c>
      <c r="I423" s="2" t="s">
        <v>979</v>
      </c>
    </row>
    <row r="424" hidden="1">
      <c r="A424" s="1" t="s">
        <v>643</v>
      </c>
      <c r="I424" s="2" t="s">
        <v>980</v>
      </c>
    </row>
    <row r="425">
      <c r="A425" s="1" t="s">
        <v>981</v>
      </c>
      <c r="B425" s="2">
        <f>IFERROR(__xludf.DUMMYFUNCTION("SPLIT(A425,""_"")"),2.015043E7)</f>
        <v>20150430</v>
      </c>
      <c r="C425" s="2" t="str">
        <f>IFERROR(__xludf.DUMMYFUNCTION("""COMPUTED_VALUE"""),"APD")</f>
        <v>APD</v>
      </c>
      <c r="D425" s="2" t="str">
        <f>LEFT(B425,4)</f>
        <v>2015</v>
      </c>
      <c r="E425" s="2" t="str">
        <f>MID(B425,5,2)</f>
        <v>04</v>
      </c>
      <c r="F425" s="2" t="str">
        <f>RIGHT(B425,2)</f>
        <v>30</v>
      </c>
      <c r="G425" s="29">
        <f>DATE(D425,E425,F425)</f>
        <v>42124</v>
      </c>
      <c r="I425" s="2" t="s">
        <v>982</v>
      </c>
    </row>
    <row r="426" hidden="1">
      <c r="A426" s="1" t="s">
        <v>642</v>
      </c>
      <c r="I426" s="2" t="s">
        <v>983</v>
      </c>
    </row>
    <row r="427" hidden="1">
      <c r="A427" s="1" t="s">
        <v>643</v>
      </c>
      <c r="I427" s="2" t="s">
        <v>984</v>
      </c>
    </row>
    <row r="428">
      <c r="A428" s="1" t="s">
        <v>985</v>
      </c>
      <c r="B428" s="2">
        <f>IFERROR(__xludf.DUMMYFUNCTION("SPLIT(A428,""_"")"),2.015043E7)</f>
        <v>20150430</v>
      </c>
      <c r="C428" s="2" t="str">
        <f>IFERROR(__xludf.DUMMYFUNCTION("""COMPUTED_VALUE"""),"ARW")</f>
        <v>ARW</v>
      </c>
      <c r="D428" s="2" t="str">
        <f>LEFT(B428,4)</f>
        <v>2015</v>
      </c>
      <c r="E428" s="2" t="str">
        <f>MID(B428,5,2)</f>
        <v>04</v>
      </c>
      <c r="F428" s="2" t="str">
        <f>RIGHT(B428,2)</f>
        <v>30</v>
      </c>
      <c r="G428" s="29">
        <f>DATE(D428,E428,F428)</f>
        <v>42124</v>
      </c>
      <c r="I428" s="2" t="s">
        <v>986</v>
      </c>
    </row>
    <row r="429" hidden="1">
      <c r="A429" s="1" t="s">
        <v>642</v>
      </c>
      <c r="I429" s="2" t="s">
        <v>987</v>
      </c>
    </row>
    <row r="430" hidden="1">
      <c r="A430" s="1" t="s">
        <v>643</v>
      </c>
      <c r="I430" s="2" t="s">
        <v>988</v>
      </c>
    </row>
    <row r="431">
      <c r="A431" s="1" t="s">
        <v>989</v>
      </c>
      <c r="B431" s="2">
        <f>IFERROR(__xludf.DUMMYFUNCTION("SPLIT(A431,""_"")"),2.015043E7)</f>
        <v>20150430</v>
      </c>
      <c r="C431" s="2" t="str">
        <f>IFERROR(__xludf.DUMMYFUNCTION("""COMPUTED_VALUE"""),"CHSP")</f>
        <v>CHSP</v>
      </c>
      <c r="D431" s="2" t="str">
        <f>LEFT(B431,4)</f>
        <v>2015</v>
      </c>
      <c r="E431" s="2" t="str">
        <f>MID(B431,5,2)</f>
        <v>04</v>
      </c>
      <c r="F431" s="2" t="str">
        <f>RIGHT(B431,2)</f>
        <v>30</v>
      </c>
      <c r="G431" s="29">
        <f>DATE(D431,E431,F431)</f>
        <v>42124</v>
      </c>
      <c r="I431" s="2" t="s">
        <v>990</v>
      </c>
    </row>
    <row r="432" hidden="1">
      <c r="A432" s="1" t="s">
        <v>642</v>
      </c>
      <c r="I432" s="2" t="s">
        <v>991</v>
      </c>
    </row>
    <row r="433" hidden="1">
      <c r="A433" s="1" t="s">
        <v>643</v>
      </c>
      <c r="I433" s="2" t="s">
        <v>992</v>
      </c>
    </row>
    <row r="434">
      <c r="A434" s="1" t="s">
        <v>993</v>
      </c>
      <c r="B434" s="2">
        <f>IFERROR(__xludf.DUMMYFUNCTION("SPLIT(A434,""_"")"),2.015043E7)</f>
        <v>20150430</v>
      </c>
      <c r="C434" s="2" t="str">
        <f>IFERROR(__xludf.DUMMYFUNCTION("""COMPUTED_VALUE"""),"COP")</f>
        <v>COP</v>
      </c>
      <c r="D434" s="2" t="str">
        <f>LEFT(B434,4)</f>
        <v>2015</v>
      </c>
      <c r="E434" s="2" t="str">
        <f>MID(B434,5,2)</f>
        <v>04</v>
      </c>
      <c r="F434" s="2" t="str">
        <f>RIGHT(B434,2)</f>
        <v>30</v>
      </c>
      <c r="G434" s="29">
        <f>DATE(D434,E434,F434)</f>
        <v>42124</v>
      </c>
      <c r="I434" s="2" t="s">
        <v>994</v>
      </c>
    </row>
    <row r="435" hidden="1">
      <c r="A435" s="1" t="s">
        <v>642</v>
      </c>
      <c r="I435" s="2" t="s">
        <v>995</v>
      </c>
    </row>
    <row r="436" hidden="1">
      <c r="A436" s="1" t="s">
        <v>643</v>
      </c>
      <c r="I436" s="2" t="s">
        <v>996</v>
      </c>
    </row>
    <row r="437">
      <c r="A437" s="1" t="s">
        <v>997</v>
      </c>
      <c r="B437" s="2">
        <f>IFERROR(__xludf.DUMMYFUNCTION("SPLIT(A437,""_"")"),2.015043E7)</f>
        <v>20150430</v>
      </c>
      <c r="C437" s="2" t="str">
        <f>IFERROR(__xludf.DUMMYFUNCTION("""COMPUTED_VALUE"""),"CRR")</f>
        <v>CRR</v>
      </c>
      <c r="D437" s="2" t="str">
        <f>LEFT(B437,4)</f>
        <v>2015</v>
      </c>
      <c r="E437" s="2" t="str">
        <f>MID(B437,5,2)</f>
        <v>04</v>
      </c>
      <c r="F437" s="2" t="str">
        <f>RIGHT(B437,2)</f>
        <v>30</v>
      </c>
      <c r="G437" s="29">
        <f>DATE(D437,E437,F437)</f>
        <v>42124</v>
      </c>
      <c r="I437" s="2" t="s">
        <v>998</v>
      </c>
    </row>
    <row r="438" hidden="1">
      <c r="A438" s="1" t="s">
        <v>642</v>
      </c>
      <c r="I438" s="2" t="s">
        <v>999</v>
      </c>
    </row>
    <row r="439" hidden="1">
      <c r="A439" s="1" t="s">
        <v>643</v>
      </c>
      <c r="I439" s="2" t="s">
        <v>1000</v>
      </c>
    </row>
    <row r="440">
      <c r="A440" s="1" t="s">
        <v>1001</v>
      </c>
      <c r="B440" s="2">
        <f>IFERROR(__xludf.DUMMYFUNCTION("SPLIT(A440,""_"")"),2.015043E7)</f>
        <v>20150430</v>
      </c>
      <c r="C440" s="2" t="str">
        <f>IFERROR(__xludf.DUMMYFUNCTION("""COMPUTED_VALUE"""),"CYTK")</f>
        <v>CYTK</v>
      </c>
      <c r="D440" s="2" t="str">
        <f>LEFT(B440,4)</f>
        <v>2015</v>
      </c>
      <c r="E440" s="2" t="str">
        <f>MID(B440,5,2)</f>
        <v>04</v>
      </c>
      <c r="F440" s="2" t="str">
        <f>RIGHT(B440,2)</f>
        <v>30</v>
      </c>
      <c r="G440" s="29">
        <f>DATE(D440,E440,F440)</f>
        <v>42124</v>
      </c>
      <c r="I440" s="2" t="s">
        <v>1002</v>
      </c>
    </row>
    <row r="441" hidden="1">
      <c r="A441" s="1" t="s">
        <v>642</v>
      </c>
      <c r="I441" s="2" t="s">
        <v>1003</v>
      </c>
    </row>
    <row r="442" hidden="1">
      <c r="A442" s="1" t="s">
        <v>643</v>
      </c>
      <c r="I442" s="2" t="s">
        <v>1004</v>
      </c>
    </row>
    <row r="443">
      <c r="A443" s="1" t="s">
        <v>1005</v>
      </c>
      <c r="B443" s="2">
        <f>IFERROR(__xludf.DUMMYFUNCTION("SPLIT(A443,""_"")"),2.015043E7)</f>
        <v>20150430</v>
      </c>
      <c r="C443" s="2" t="str">
        <f>IFERROR(__xludf.DUMMYFUNCTION("""COMPUTED_VALUE"""),"FSS")</f>
        <v>FSS</v>
      </c>
      <c r="D443" s="2" t="str">
        <f>LEFT(B443,4)</f>
        <v>2015</v>
      </c>
      <c r="E443" s="2" t="str">
        <f>MID(B443,5,2)</f>
        <v>04</v>
      </c>
      <c r="F443" s="2" t="str">
        <f>RIGHT(B443,2)</f>
        <v>30</v>
      </c>
      <c r="G443" s="29">
        <f>DATE(D443,E443,F443)</f>
        <v>42124</v>
      </c>
      <c r="I443" s="2" t="s">
        <v>1006</v>
      </c>
    </row>
    <row r="444" hidden="1">
      <c r="A444" s="1" t="s">
        <v>642</v>
      </c>
      <c r="I444" s="2" t="s">
        <v>1007</v>
      </c>
    </row>
    <row r="445" hidden="1">
      <c r="A445" s="1" t="s">
        <v>643</v>
      </c>
      <c r="I445" s="2" t="s">
        <v>1008</v>
      </c>
    </row>
    <row r="446">
      <c r="A446" s="1" t="s">
        <v>1009</v>
      </c>
      <c r="B446" s="2">
        <f>IFERROR(__xludf.DUMMYFUNCTION("SPLIT(A446,""_"")"),2.015043E7)</f>
        <v>20150430</v>
      </c>
      <c r="C446" s="2" t="str">
        <f>IFERROR(__xludf.DUMMYFUNCTION("""COMPUTED_VALUE"""),"GEO")</f>
        <v>GEO</v>
      </c>
      <c r="D446" s="2" t="str">
        <f>LEFT(B446,4)</f>
        <v>2015</v>
      </c>
      <c r="E446" s="2" t="str">
        <f>MID(B446,5,2)</f>
        <v>04</v>
      </c>
      <c r="F446" s="2" t="str">
        <f>RIGHT(B446,2)</f>
        <v>30</v>
      </c>
      <c r="G446" s="29">
        <f>DATE(D446,E446,F446)</f>
        <v>42124</v>
      </c>
      <c r="I446" s="2" t="s">
        <v>1010</v>
      </c>
    </row>
    <row r="447" hidden="1">
      <c r="A447" s="1" t="s">
        <v>642</v>
      </c>
      <c r="I447" s="2" t="s">
        <v>1011</v>
      </c>
    </row>
    <row r="448" hidden="1">
      <c r="A448" s="1" t="s">
        <v>643</v>
      </c>
      <c r="I448" s="2" t="s">
        <v>1012</v>
      </c>
    </row>
    <row r="449">
      <c r="A449" s="1" t="s">
        <v>1013</v>
      </c>
      <c r="B449" s="2">
        <f>IFERROR(__xludf.DUMMYFUNCTION("SPLIT(A449,""_"")"),2.015043E7)</f>
        <v>20150430</v>
      </c>
      <c r="C449" s="2" t="str">
        <f>IFERROR(__xludf.DUMMYFUNCTION("""COMPUTED_VALUE"""),"HST")</f>
        <v>HST</v>
      </c>
      <c r="D449" s="2" t="str">
        <f>LEFT(B449,4)</f>
        <v>2015</v>
      </c>
      <c r="E449" s="2" t="str">
        <f>MID(B449,5,2)</f>
        <v>04</v>
      </c>
      <c r="F449" s="2" t="str">
        <f>RIGHT(B449,2)</f>
        <v>30</v>
      </c>
      <c r="G449" s="29">
        <f>DATE(D449,E449,F449)</f>
        <v>42124</v>
      </c>
      <c r="I449" s="2" t="s">
        <v>1014</v>
      </c>
    </row>
    <row r="450" hidden="1">
      <c r="A450" s="1" t="s">
        <v>642</v>
      </c>
      <c r="I450" s="2" t="s">
        <v>1015</v>
      </c>
    </row>
    <row r="451" hidden="1">
      <c r="A451" s="1" t="s">
        <v>643</v>
      </c>
      <c r="I451" s="2" t="s">
        <v>1016</v>
      </c>
    </row>
    <row r="452">
      <c r="A452" s="1" t="s">
        <v>1017</v>
      </c>
      <c r="B452" s="2">
        <f>IFERROR(__xludf.DUMMYFUNCTION("SPLIT(A452,""_"")"),2.015043E7)</f>
        <v>20150430</v>
      </c>
      <c r="C452" s="2" t="str">
        <f>IFERROR(__xludf.DUMMYFUNCTION("""COMPUTED_VALUE"""),"INCY")</f>
        <v>INCY</v>
      </c>
      <c r="D452" s="2" t="str">
        <f>LEFT(B452,4)</f>
        <v>2015</v>
      </c>
      <c r="E452" s="2" t="str">
        <f>MID(B452,5,2)</f>
        <v>04</v>
      </c>
      <c r="F452" s="2" t="str">
        <f>RIGHT(B452,2)</f>
        <v>30</v>
      </c>
      <c r="G452" s="29">
        <f>DATE(D452,E452,F452)</f>
        <v>42124</v>
      </c>
      <c r="I452" s="2" t="s">
        <v>1018</v>
      </c>
    </row>
    <row r="453" hidden="1">
      <c r="A453" s="1" t="s">
        <v>642</v>
      </c>
      <c r="I453" s="2" t="s">
        <v>1019</v>
      </c>
    </row>
    <row r="454" hidden="1">
      <c r="A454" s="1" t="s">
        <v>643</v>
      </c>
      <c r="I454" s="2" t="s">
        <v>1020</v>
      </c>
    </row>
    <row r="455">
      <c r="A455" s="1" t="s">
        <v>1021</v>
      </c>
      <c r="B455" s="2">
        <f>IFERROR(__xludf.DUMMYFUNCTION("SPLIT(A455,""_"")"),2.015043E7)</f>
        <v>20150430</v>
      </c>
      <c r="C455" s="2" t="str">
        <f>IFERROR(__xludf.DUMMYFUNCTION("""COMPUTED_VALUE"""),"LLL")</f>
        <v>LLL</v>
      </c>
      <c r="D455" s="2" t="str">
        <f>LEFT(B455,4)</f>
        <v>2015</v>
      </c>
      <c r="E455" s="2" t="str">
        <f>MID(B455,5,2)</f>
        <v>04</v>
      </c>
      <c r="F455" s="2" t="str">
        <f>RIGHT(B455,2)</f>
        <v>30</v>
      </c>
      <c r="G455" s="29">
        <f>DATE(D455,E455,F455)</f>
        <v>42124</v>
      </c>
      <c r="I455" s="2" t="s">
        <v>1022</v>
      </c>
    </row>
    <row r="456" hidden="1">
      <c r="A456" s="1" t="s">
        <v>642</v>
      </c>
      <c r="I456" s="2" t="s">
        <v>1023</v>
      </c>
    </row>
    <row r="457" hidden="1">
      <c r="A457" s="1" t="s">
        <v>643</v>
      </c>
      <c r="I457" s="2" t="s">
        <v>1024</v>
      </c>
    </row>
    <row r="458">
      <c r="A458" s="1" t="s">
        <v>1025</v>
      </c>
      <c r="B458" s="2">
        <f>IFERROR(__xludf.DUMMYFUNCTION("SPLIT(A458,""_"")"),2.015043E7)</f>
        <v>20150430</v>
      </c>
      <c r="C458" s="2" t="str">
        <f>IFERROR(__xludf.DUMMYFUNCTION("""COMPUTED_VALUE"""),"LYV")</f>
        <v>LYV</v>
      </c>
      <c r="D458" s="2" t="str">
        <f>LEFT(B458,4)</f>
        <v>2015</v>
      </c>
      <c r="E458" s="2" t="str">
        <f>MID(B458,5,2)</f>
        <v>04</v>
      </c>
      <c r="F458" s="2" t="str">
        <f>RIGHT(B458,2)</f>
        <v>30</v>
      </c>
      <c r="G458" s="29">
        <f>DATE(D458,E458,F458)</f>
        <v>42124</v>
      </c>
      <c r="I458" s="2" t="s">
        <v>1026</v>
      </c>
    </row>
    <row r="459" hidden="1">
      <c r="A459" s="1" t="s">
        <v>642</v>
      </c>
      <c r="I459" s="2" t="s">
        <v>1027</v>
      </c>
    </row>
    <row r="460" hidden="1">
      <c r="A460" s="1" t="s">
        <v>643</v>
      </c>
      <c r="I460" s="2" t="s">
        <v>1028</v>
      </c>
    </row>
    <row r="461">
      <c r="A461" s="1" t="s">
        <v>1029</v>
      </c>
      <c r="B461" s="2">
        <f>IFERROR(__xludf.DUMMYFUNCTION("SPLIT(A461,""_"")"),2.015043E7)</f>
        <v>20150430</v>
      </c>
      <c r="C461" s="2" t="str">
        <f>IFERROR(__xludf.DUMMYFUNCTION("""COMPUTED_VALUE"""),"NI")</f>
        <v>NI</v>
      </c>
      <c r="D461" s="2" t="str">
        <f>LEFT(B461,4)</f>
        <v>2015</v>
      </c>
      <c r="E461" s="2" t="str">
        <f>MID(B461,5,2)</f>
        <v>04</v>
      </c>
      <c r="F461" s="2" t="str">
        <f>RIGHT(B461,2)</f>
        <v>30</v>
      </c>
      <c r="G461" s="29">
        <f>DATE(D461,E461,F461)</f>
        <v>42124</v>
      </c>
      <c r="I461" s="2" t="s">
        <v>1030</v>
      </c>
    </row>
    <row r="462" hidden="1">
      <c r="A462" s="1" t="s">
        <v>642</v>
      </c>
      <c r="I462" s="2" t="s">
        <v>1031</v>
      </c>
    </row>
    <row r="463" hidden="1">
      <c r="A463" s="1" t="s">
        <v>643</v>
      </c>
      <c r="I463" s="2" t="s">
        <v>1032</v>
      </c>
    </row>
    <row r="464">
      <c r="A464" s="1" t="s">
        <v>1033</v>
      </c>
      <c r="B464" s="2">
        <f>IFERROR(__xludf.DUMMYFUNCTION("SPLIT(A464,""_"")"),2.015043E7)</f>
        <v>20150430</v>
      </c>
      <c r="C464" s="2" t="str">
        <f>IFERROR(__xludf.DUMMYFUNCTION("""COMPUTED_VALUE"""),"NTRI")</f>
        <v>NTRI</v>
      </c>
      <c r="D464" s="2" t="str">
        <f>LEFT(B464,4)</f>
        <v>2015</v>
      </c>
      <c r="E464" s="2" t="str">
        <f>MID(B464,5,2)</f>
        <v>04</v>
      </c>
      <c r="F464" s="2" t="str">
        <f>RIGHT(B464,2)</f>
        <v>30</v>
      </c>
      <c r="G464" s="29">
        <f>DATE(D464,E464,F464)</f>
        <v>42124</v>
      </c>
      <c r="I464" s="2" t="s">
        <v>1034</v>
      </c>
    </row>
    <row r="465" hidden="1">
      <c r="A465" s="1" t="s">
        <v>642</v>
      </c>
      <c r="I465" s="2" t="s">
        <v>1035</v>
      </c>
    </row>
    <row r="466" hidden="1">
      <c r="A466" s="1" t="s">
        <v>643</v>
      </c>
      <c r="I466" s="2" t="s">
        <v>1036</v>
      </c>
    </row>
    <row r="467">
      <c r="A467" s="1" t="s">
        <v>1037</v>
      </c>
      <c r="B467" s="2">
        <f>IFERROR(__xludf.DUMMYFUNCTION("SPLIT(A467,""_"")"),2.015043E7)</f>
        <v>20150430</v>
      </c>
      <c r="C467" s="2" t="str">
        <f>IFERROR(__xludf.DUMMYFUNCTION("""COMPUTED_VALUE"""),"ODFL")</f>
        <v>ODFL</v>
      </c>
      <c r="D467" s="2" t="str">
        <f>LEFT(B467,4)</f>
        <v>2015</v>
      </c>
      <c r="E467" s="2" t="str">
        <f>MID(B467,5,2)</f>
        <v>04</v>
      </c>
      <c r="F467" s="2" t="str">
        <f>RIGHT(B467,2)</f>
        <v>30</v>
      </c>
      <c r="G467" s="29">
        <f>DATE(D467,E467,F467)</f>
        <v>42124</v>
      </c>
      <c r="I467" s="2" t="s">
        <v>1038</v>
      </c>
    </row>
    <row r="468" hidden="1">
      <c r="A468" s="1" t="s">
        <v>642</v>
      </c>
      <c r="I468" s="2" t="s">
        <v>1039</v>
      </c>
    </row>
    <row r="469" hidden="1">
      <c r="A469" s="1" t="s">
        <v>643</v>
      </c>
      <c r="I469" s="2" t="s">
        <v>1040</v>
      </c>
    </row>
    <row r="470">
      <c r="A470" s="1" t="s">
        <v>1041</v>
      </c>
      <c r="B470" s="2">
        <f>IFERROR(__xludf.DUMMYFUNCTION("SPLIT(A470,""_"")"),2.015043E7)</f>
        <v>20150430</v>
      </c>
      <c r="C470" s="2" t="str">
        <f>IFERROR(__xludf.DUMMYFUNCTION("""COMPUTED_VALUE"""),"OIS")</f>
        <v>OIS</v>
      </c>
      <c r="D470" s="2" t="str">
        <f>LEFT(B470,4)</f>
        <v>2015</v>
      </c>
      <c r="E470" s="2" t="str">
        <f>MID(B470,5,2)</f>
        <v>04</v>
      </c>
      <c r="F470" s="2" t="str">
        <f>RIGHT(B470,2)</f>
        <v>30</v>
      </c>
      <c r="G470" s="29">
        <f>DATE(D470,E470,F470)</f>
        <v>42124</v>
      </c>
      <c r="I470" s="2" t="s">
        <v>1042</v>
      </c>
    </row>
    <row r="471" hidden="1">
      <c r="A471" s="1" t="s">
        <v>642</v>
      </c>
      <c r="I471" s="2" t="s">
        <v>1043</v>
      </c>
    </row>
    <row r="472" hidden="1">
      <c r="A472" s="1" t="s">
        <v>643</v>
      </c>
      <c r="I472" s="2" t="s">
        <v>1044</v>
      </c>
    </row>
    <row r="473">
      <c r="A473" s="1" t="s">
        <v>1045</v>
      </c>
      <c r="B473" s="2">
        <f>IFERROR(__xludf.DUMMYFUNCTION("SPLIT(A473,""_"")"),2.015043E7)</f>
        <v>20150430</v>
      </c>
      <c r="C473" s="2" t="str">
        <f>IFERROR(__xludf.DUMMYFUNCTION("""COMPUTED_VALUE"""),"PBI")</f>
        <v>PBI</v>
      </c>
      <c r="D473" s="2" t="str">
        <f>LEFT(B473,4)</f>
        <v>2015</v>
      </c>
      <c r="E473" s="2" t="str">
        <f>MID(B473,5,2)</f>
        <v>04</v>
      </c>
      <c r="F473" s="2" t="str">
        <f>RIGHT(B473,2)</f>
        <v>30</v>
      </c>
      <c r="G473" s="29">
        <f>DATE(D473,E473,F473)</f>
        <v>42124</v>
      </c>
      <c r="I473" s="2" t="s">
        <v>1046</v>
      </c>
    </row>
    <row r="474" hidden="1">
      <c r="A474" s="1" t="s">
        <v>642</v>
      </c>
      <c r="I474" s="2" t="s">
        <v>1047</v>
      </c>
    </row>
    <row r="475" hidden="1">
      <c r="A475" s="1" t="s">
        <v>643</v>
      </c>
      <c r="I475" s="2" t="s">
        <v>1048</v>
      </c>
    </row>
    <row r="476">
      <c r="A476" s="1" t="s">
        <v>1049</v>
      </c>
      <c r="B476" s="2">
        <f>IFERROR(__xludf.DUMMYFUNCTION("SPLIT(A476,""_"")"),2.015043E7)</f>
        <v>20150430</v>
      </c>
      <c r="C476" s="2" t="str">
        <f>IFERROR(__xludf.DUMMYFUNCTION("""COMPUTED_VALUE"""),"PKI")</f>
        <v>PKI</v>
      </c>
      <c r="D476" s="2" t="str">
        <f>LEFT(B476,4)</f>
        <v>2015</v>
      </c>
      <c r="E476" s="2" t="str">
        <f>MID(B476,5,2)</f>
        <v>04</v>
      </c>
      <c r="F476" s="2" t="str">
        <f>RIGHT(B476,2)</f>
        <v>30</v>
      </c>
      <c r="G476" s="29">
        <f>DATE(D476,E476,F476)</f>
        <v>42124</v>
      </c>
      <c r="I476" s="2" t="s">
        <v>1050</v>
      </c>
    </row>
    <row r="477" hidden="1">
      <c r="A477" s="1" t="s">
        <v>642</v>
      </c>
      <c r="I477" s="2" t="s">
        <v>1051</v>
      </c>
    </row>
    <row r="478" hidden="1">
      <c r="A478" s="1" t="s">
        <v>643</v>
      </c>
      <c r="I478" s="2" t="s">
        <v>1052</v>
      </c>
    </row>
    <row r="479">
      <c r="A479" s="1" t="s">
        <v>1053</v>
      </c>
      <c r="B479" s="2">
        <f>IFERROR(__xludf.DUMMYFUNCTION("SPLIT(A479,""_"")"),2.015043E7)</f>
        <v>20150430</v>
      </c>
      <c r="C479" s="2" t="str">
        <f>IFERROR(__xludf.DUMMYFUNCTION("""COMPUTED_VALUE"""),"RGS")</f>
        <v>RGS</v>
      </c>
      <c r="D479" s="2" t="str">
        <f>LEFT(B479,4)</f>
        <v>2015</v>
      </c>
      <c r="E479" s="2" t="str">
        <f>MID(B479,5,2)</f>
        <v>04</v>
      </c>
      <c r="F479" s="2" t="str">
        <f>RIGHT(B479,2)</f>
        <v>30</v>
      </c>
      <c r="G479" s="29">
        <f>DATE(D479,E479,F479)</f>
        <v>42124</v>
      </c>
      <c r="I479" s="2" t="s">
        <v>1054</v>
      </c>
    </row>
    <row r="480" hidden="1">
      <c r="A480" s="1" t="s">
        <v>642</v>
      </c>
      <c r="I480" s="2" t="s">
        <v>1055</v>
      </c>
    </row>
    <row r="481" hidden="1">
      <c r="A481" s="1" t="s">
        <v>643</v>
      </c>
      <c r="I481" s="2" t="s">
        <v>1056</v>
      </c>
    </row>
    <row r="482">
      <c r="A482" s="1" t="s">
        <v>1057</v>
      </c>
      <c r="B482" s="2">
        <f>IFERROR(__xludf.DUMMYFUNCTION("SPLIT(A482,""_"")"),2.015043E7)</f>
        <v>20150430</v>
      </c>
      <c r="C482" s="2" t="str">
        <f>IFERROR(__xludf.DUMMYFUNCTION("""COMPUTED_VALUE"""),"SKYW")</f>
        <v>SKYW</v>
      </c>
      <c r="D482" s="2" t="str">
        <f>LEFT(B482,4)</f>
        <v>2015</v>
      </c>
      <c r="E482" s="2" t="str">
        <f>MID(B482,5,2)</f>
        <v>04</v>
      </c>
      <c r="F482" s="2" t="str">
        <f>RIGHT(B482,2)</f>
        <v>30</v>
      </c>
      <c r="G482" s="29">
        <f>DATE(D482,E482,F482)</f>
        <v>42124</v>
      </c>
      <c r="I482" s="2" t="s">
        <v>1058</v>
      </c>
    </row>
    <row r="483" hidden="1">
      <c r="A483" s="1" t="s">
        <v>642</v>
      </c>
      <c r="I483" s="2" t="s">
        <v>1059</v>
      </c>
    </row>
    <row r="484" hidden="1">
      <c r="A484" s="1" t="s">
        <v>643</v>
      </c>
      <c r="I484" s="2" t="s">
        <v>1060</v>
      </c>
    </row>
    <row r="485">
      <c r="A485" s="1" t="s">
        <v>1061</v>
      </c>
      <c r="B485" s="2">
        <f>IFERROR(__xludf.DUMMYFUNCTION("SPLIT(A485,""_"")"),2.015043E7)</f>
        <v>20150430</v>
      </c>
      <c r="C485" s="2" t="str">
        <f>IFERROR(__xludf.DUMMYFUNCTION("""COMPUTED_VALUE"""),"SWKS")</f>
        <v>SWKS</v>
      </c>
      <c r="D485" s="2" t="str">
        <f>LEFT(B485,4)</f>
        <v>2015</v>
      </c>
      <c r="E485" s="2" t="str">
        <f>MID(B485,5,2)</f>
        <v>04</v>
      </c>
      <c r="F485" s="2" t="str">
        <f>RIGHT(B485,2)</f>
        <v>30</v>
      </c>
      <c r="G485" s="29">
        <f>DATE(D485,E485,F485)</f>
        <v>42124</v>
      </c>
      <c r="I485" s="2" t="s">
        <v>1062</v>
      </c>
    </row>
    <row r="486" hidden="1">
      <c r="A486" s="1" t="s">
        <v>642</v>
      </c>
      <c r="I486" s="2" t="s">
        <v>1063</v>
      </c>
    </row>
    <row r="487" hidden="1">
      <c r="A487" s="1" t="s">
        <v>643</v>
      </c>
      <c r="I487" s="2" t="s">
        <v>1064</v>
      </c>
    </row>
    <row r="488">
      <c r="A488" s="1" t="s">
        <v>1065</v>
      </c>
      <c r="B488" s="2">
        <f>IFERROR(__xludf.DUMMYFUNCTION("SPLIT(A488,""_"")"),2.015043E7)</f>
        <v>20150430</v>
      </c>
      <c r="C488" s="2" t="str">
        <f>IFERROR(__xludf.DUMMYFUNCTION("""COMPUTED_VALUE"""),"TFX")</f>
        <v>TFX</v>
      </c>
      <c r="D488" s="2" t="str">
        <f>LEFT(B488,4)</f>
        <v>2015</v>
      </c>
      <c r="E488" s="2" t="str">
        <f>MID(B488,5,2)</f>
        <v>04</v>
      </c>
      <c r="F488" s="2" t="str">
        <f>RIGHT(B488,2)</f>
        <v>30</v>
      </c>
      <c r="G488" s="29">
        <f>DATE(D488,E488,F488)</f>
        <v>42124</v>
      </c>
      <c r="I488" s="2" t="s">
        <v>1066</v>
      </c>
    </row>
    <row r="489" hidden="1">
      <c r="A489" s="1" t="s">
        <v>642</v>
      </c>
      <c r="I489" s="2" t="s">
        <v>1067</v>
      </c>
    </row>
    <row r="490" hidden="1">
      <c r="A490" s="1" t="s">
        <v>643</v>
      </c>
      <c r="I490" s="2" t="s">
        <v>1068</v>
      </c>
    </row>
    <row r="491">
      <c r="A491" s="1" t="s">
        <v>1069</v>
      </c>
      <c r="B491" s="2">
        <f>IFERROR(__xludf.DUMMYFUNCTION("SPLIT(A491,""_"")"),2.015043E7)</f>
        <v>20150430</v>
      </c>
      <c r="C491" s="2" t="str">
        <f>IFERROR(__xludf.DUMMYFUNCTION("""COMPUTED_VALUE"""),"WRLD")</f>
        <v>WRLD</v>
      </c>
      <c r="D491" s="2" t="str">
        <f>LEFT(B491,4)</f>
        <v>2015</v>
      </c>
      <c r="E491" s="2" t="str">
        <f>MID(B491,5,2)</f>
        <v>04</v>
      </c>
      <c r="F491" s="2" t="str">
        <f>RIGHT(B491,2)</f>
        <v>30</v>
      </c>
      <c r="G491" s="29">
        <f>DATE(D491,E491,F491)</f>
        <v>42124</v>
      </c>
      <c r="I491" s="2" t="s">
        <v>1070</v>
      </c>
    </row>
    <row r="492" hidden="1">
      <c r="A492" s="1" t="s">
        <v>642</v>
      </c>
      <c r="I492" s="2" t="s">
        <v>1071</v>
      </c>
    </row>
    <row r="493" hidden="1">
      <c r="A493" s="1" t="s">
        <v>643</v>
      </c>
      <c r="I493" s="2" t="s">
        <v>1072</v>
      </c>
    </row>
    <row r="494">
      <c r="A494" s="1" t="s">
        <v>1073</v>
      </c>
      <c r="B494" s="2">
        <f>IFERROR(__xludf.DUMMYFUNCTION("SPLIT(A494,""_"")"),2.015043E7)</f>
        <v>20150430</v>
      </c>
      <c r="C494" s="2" t="str">
        <f>IFERROR(__xludf.DUMMYFUNCTION("""COMPUTED_VALUE"""),"WU")</f>
        <v>WU</v>
      </c>
      <c r="D494" s="2" t="str">
        <f>LEFT(B494,4)</f>
        <v>2015</v>
      </c>
      <c r="E494" s="2" t="str">
        <f>MID(B494,5,2)</f>
        <v>04</v>
      </c>
      <c r="F494" s="2" t="str">
        <f>RIGHT(B494,2)</f>
        <v>30</v>
      </c>
      <c r="G494" s="29">
        <f>DATE(D494,E494,F494)</f>
        <v>42124</v>
      </c>
      <c r="I494" s="2" t="s">
        <v>1074</v>
      </c>
    </row>
    <row r="495" hidden="1">
      <c r="A495" s="1" t="s">
        <v>642</v>
      </c>
      <c r="I495" s="2" t="s">
        <v>1075</v>
      </c>
    </row>
    <row r="496" hidden="1">
      <c r="A496" s="1" t="s">
        <v>643</v>
      </c>
      <c r="I496" s="2" t="s">
        <v>1076</v>
      </c>
    </row>
    <row r="497">
      <c r="A497" s="1" t="s">
        <v>1077</v>
      </c>
      <c r="B497" s="2">
        <f>IFERROR(__xludf.DUMMYFUNCTION("SPLIT(A497,""_"")"),2.015043E7)</f>
        <v>20150430</v>
      </c>
      <c r="C497" s="2" t="str">
        <f>IFERROR(__xludf.DUMMYFUNCTION("""COMPUTED_VALUE"""),"XOM")</f>
        <v>XOM</v>
      </c>
      <c r="D497" s="2" t="str">
        <f>LEFT(B497,4)</f>
        <v>2015</v>
      </c>
      <c r="E497" s="2" t="str">
        <f>MID(B497,5,2)</f>
        <v>04</v>
      </c>
      <c r="F497" s="2" t="str">
        <f>RIGHT(B497,2)</f>
        <v>30</v>
      </c>
      <c r="G497" s="29">
        <f>DATE(D497,E497,F497)</f>
        <v>42124</v>
      </c>
      <c r="I497" s="2" t="s">
        <v>1078</v>
      </c>
    </row>
    <row r="498" hidden="1">
      <c r="A498" s="1" t="s">
        <v>642</v>
      </c>
      <c r="I498" s="2" t="s">
        <v>1079</v>
      </c>
    </row>
    <row r="499" hidden="1">
      <c r="A499" s="1" t="s">
        <v>643</v>
      </c>
      <c r="I499" s="2" t="s">
        <v>1080</v>
      </c>
    </row>
    <row r="500">
      <c r="A500" s="1" t="s">
        <v>1081</v>
      </c>
      <c r="B500" s="2">
        <f>IFERROR(__xludf.DUMMYFUNCTION("SPLIT(A500,""_"")"),2.015043E7)</f>
        <v>20150430</v>
      </c>
      <c r="C500" s="2" t="str">
        <f>IFERROR(__xludf.DUMMYFUNCTION("""COMPUTED_VALUE"""),"XYL")</f>
        <v>XYL</v>
      </c>
      <c r="D500" s="2" t="str">
        <f>LEFT(B500,4)</f>
        <v>2015</v>
      </c>
      <c r="E500" s="2" t="str">
        <f>MID(B500,5,2)</f>
        <v>04</v>
      </c>
      <c r="F500" s="2" t="str">
        <f>RIGHT(B500,2)</f>
        <v>30</v>
      </c>
      <c r="G500" s="29">
        <f>DATE(D500,E500,F500)</f>
        <v>42124</v>
      </c>
      <c r="I500" s="2" t="s">
        <v>1082</v>
      </c>
    </row>
    <row r="501" hidden="1">
      <c r="A501" s="1" t="s">
        <v>642</v>
      </c>
      <c r="I501" s="2" t="s">
        <v>1083</v>
      </c>
    </row>
    <row r="502" hidden="1">
      <c r="A502" s="1" t="s">
        <v>643</v>
      </c>
      <c r="I502" s="2" t="s">
        <v>1084</v>
      </c>
    </row>
    <row r="503">
      <c r="A503" s="1" t="s">
        <v>1085</v>
      </c>
      <c r="B503" s="2">
        <f>IFERROR(__xludf.DUMMYFUNCTION("SPLIT(A503,""_"")"),2.0150501E7)</f>
        <v>20150501</v>
      </c>
      <c r="C503" s="2" t="str">
        <f>IFERROR(__xludf.DUMMYFUNCTION("""COMPUTED_VALUE"""),"AXL")</f>
        <v>AXL</v>
      </c>
      <c r="D503" s="2" t="str">
        <f>LEFT(B503,4)</f>
        <v>2015</v>
      </c>
      <c r="E503" s="2" t="str">
        <f>MID(B503,5,2)</f>
        <v>05</v>
      </c>
      <c r="F503" s="2" t="str">
        <f>RIGHT(B503,2)</f>
        <v>01</v>
      </c>
      <c r="G503" s="29">
        <f>DATE(D503,E503,F503)</f>
        <v>42125</v>
      </c>
      <c r="I503" s="2" t="s">
        <v>1086</v>
      </c>
    </row>
    <row r="504" hidden="1">
      <c r="A504" s="1" t="s">
        <v>642</v>
      </c>
      <c r="I504" s="2" t="s">
        <v>1087</v>
      </c>
    </row>
    <row r="505" hidden="1">
      <c r="A505" s="1" t="s">
        <v>643</v>
      </c>
      <c r="I505" s="2" t="s">
        <v>1088</v>
      </c>
    </row>
    <row r="506">
      <c r="A506" s="1" t="s">
        <v>1089</v>
      </c>
      <c r="B506" s="2">
        <f>IFERROR(__xludf.DUMMYFUNCTION("SPLIT(A506,""_"")"),2.0150501E7)</f>
        <v>20150501</v>
      </c>
      <c r="C506" s="2" t="str">
        <f>IFERROR(__xludf.DUMMYFUNCTION("""COMPUTED_VALUE"""),"CBOE")</f>
        <v>CBOE</v>
      </c>
      <c r="D506" s="2" t="str">
        <f>LEFT(B506,4)</f>
        <v>2015</v>
      </c>
      <c r="E506" s="2" t="str">
        <f>MID(B506,5,2)</f>
        <v>05</v>
      </c>
      <c r="F506" s="2" t="str">
        <f>RIGHT(B506,2)</f>
        <v>01</v>
      </c>
      <c r="G506" s="29">
        <f>DATE(D506,E506,F506)</f>
        <v>42125</v>
      </c>
      <c r="I506" s="2" t="s">
        <v>1090</v>
      </c>
    </row>
    <row r="507" hidden="1">
      <c r="A507" s="1" t="s">
        <v>642</v>
      </c>
      <c r="I507" s="2" t="s">
        <v>1091</v>
      </c>
    </row>
    <row r="508" hidden="1">
      <c r="A508" s="1" t="s">
        <v>643</v>
      </c>
      <c r="I508" s="2" t="s">
        <v>1092</v>
      </c>
    </row>
    <row r="509">
      <c r="A509" s="1" t="s">
        <v>1093</v>
      </c>
      <c r="B509" s="2">
        <f>IFERROR(__xludf.DUMMYFUNCTION("SPLIT(A509,""_"")"),2.0150501E7)</f>
        <v>20150501</v>
      </c>
      <c r="C509" s="2" t="str">
        <f>IFERROR(__xludf.DUMMYFUNCTION("""COMPUTED_VALUE"""),"CTB")</f>
        <v>CTB</v>
      </c>
      <c r="D509" s="2" t="str">
        <f>LEFT(B509,4)</f>
        <v>2015</v>
      </c>
      <c r="E509" s="2" t="str">
        <f>MID(B509,5,2)</f>
        <v>05</v>
      </c>
      <c r="F509" s="2" t="str">
        <f>RIGHT(B509,2)</f>
        <v>01</v>
      </c>
      <c r="G509" s="29">
        <f>DATE(D509,E509,F509)</f>
        <v>42125</v>
      </c>
      <c r="I509" s="2" t="s">
        <v>1094</v>
      </c>
    </row>
    <row r="510" hidden="1">
      <c r="A510" s="1" t="s">
        <v>642</v>
      </c>
      <c r="I510" s="2" t="s">
        <v>1095</v>
      </c>
    </row>
    <row r="511" hidden="1">
      <c r="A511" s="1" t="s">
        <v>643</v>
      </c>
      <c r="I511" s="2" t="s">
        <v>1096</v>
      </c>
    </row>
    <row r="512">
      <c r="A512" s="1" t="s">
        <v>1097</v>
      </c>
      <c r="B512" s="2">
        <f>IFERROR(__xludf.DUMMYFUNCTION("SPLIT(A512,""_"")"),2.0150501E7)</f>
        <v>20150501</v>
      </c>
      <c r="C512" s="2" t="str">
        <f>IFERROR(__xludf.DUMMYFUNCTION("""COMPUTED_VALUE"""),"FE")</f>
        <v>FE</v>
      </c>
      <c r="D512" s="2" t="str">
        <f>LEFT(B512,4)</f>
        <v>2015</v>
      </c>
      <c r="E512" s="2" t="str">
        <f>MID(B512,5,2)</f>
        <v>05</v>
      </c>
      <c r="F512" s="2" t="str">
        <f>RIGHT(B512,2)</f>
        <v>01</v>
      </c>
      <c r="G512" s="29">
        <f>DATE(D512,E512,F512)</f>
        <v>42125</v>
      </c>
      <c r="I512" s="2" t="s">
        <v>1098</v>
      </c>
    </row>
    <row r="513" hidden="1">
      <c r="A513" s="1" t="s">
        <v>642</v>
      </c>
      <c r="I513" s="2" t="s">
        <v>1099</v>
      </c>
    </row>
    <row r="514" hidden="1">
      <c r="A514" s="1" t="s">
        <v>643</v>
      </c>
      <c r="I514" s="2" t="s">
        <v>1100</v>
      </c>
    </row>
    <row r="515">
      <c r="A515" s="1" t="s">
        <v>1101</v>
      </c>
      <c r="B515" s="2">
        <f>IFERROR(__xludf.DUMMYFUNCTION("SPLIT(A515,""_"")"),2.0150501E7)</f>
        <v>20150501</v>
      </c>
      <c r="C515" s="2" t="str">
        <f>IFERROR(__xludf.DUMMYFUNCTION("""COMPUTED_VALUE"""),"GWR")</f>
        <v>GWR</v>
      </c>
      <c r="D515" s="2" t="str">
        <f>LEFT(B515,4)</f>
        <v>2015</v>
      </c>
      <c r="E515" s="2" t="str">
        <f>MID(B515,5,2)</f>
        <v>05</v>
      </c>
      <c r="F515" s="2" t="str">
        <f>RIGHT(B515,2)</f>
        <v>01</v>
      </c>
      <c r="G515" s="29">
        <f>DATE(D515,E515,F515)</f>
        <v>42125</v>
      </c>
      <c r="I515" s="2" t="s">
        <v>1102</v>
      </c>
    </row>
    <row r="516" hidden="1">
      <c r="A516" s="1" t="s">
        <v>642</v>
      </c>
      <c r="I516" s="2" t="s">
        <v>1103</v>
      </c>
    </row>
    <row r="517" hidden="1">
      <c r="A517" s="1" t="s">
        <v>643</v>
      </c>
      <c r="I517" s="2" t="s">
        <v>1104</v>
      </c>
    </row>
    <row r="518">
      <c r="A518" s="1" t="s">
        <v>1105</v>
      </c>
      <c r="B518" s="2">
        <f>IFERROR(__xludf.DUMMYFUNCTION("SPLIT(A518,""_"")"),2.0150501E7)</f>
        <v>20150501</v>
      </c>
      <c r="C518" s="2" t="str">
        <f>IFERROR(__xludf.DUMMYFUNCTION("""COMPUTED_VALUE"""),"LM")</f>
        <v>LM</v>
      </c>
      <c r="D518" s="2" t="str">
        <f>LEFT(B518,4)</f>
        <v>2015</v>
      </c>
      <c r="E518" s="2" t="str">
        <f>MID(B518,5,2)</f>
        <v>05</v>
      </c>
      <c r="F518" s="2" t="str">
        <f>RIGHT(B518,2)</f>
        <v>01</v>
      </c>
      <c r="G518" s="29">
        <f>DATE(D518,E518,F518)</f>
        <v>42125</v>
      </c>
      <c r="I518" s="2" t="s">
        <v>1106</v>
      </c>
    </row>
    <row r="519" hidden="1">
      <c r="A519" s="1" t="s">
        <v>642</v>
      </c>
      <c r="I519" s="2" t="s">
        <v>1107</v>
      </c>
    </row>
    <row r="520" hidden="1">
      <c r="A520" s="1" t="s">
        <v>643</v>
      </c>
      <c r="I520" s="2" t="s">
        <v>1108</v>
      </c>
    </row>
    <row r="521">
      <c r="A521" s="1" t="s">
        <v>1109</v>
      </c>
      <c r="B521" s="2">
        <f>IFERROR(__xludf.DUMMYFUNCTION("SPLIT(A521,""_"")"),2.0150501E7)</f>
        <v>20150501</v>
      </c>
      <c r="C521" s="2" t="str">
        <f>IFERROR(__xludf.DUMMYFUNCTION("""COMPUTED_VALUE"""),"LPNT")</f>
        <v>LPNT</v>
      </c>
      <c r="D521" s="2" t="str">
        <f>LEFT(B521,4)</f>
        <v>2015</v>
      </c>
      <c r="E521" s="2" t="str">
        <f>MID(B521,5,2)</f>
        <v>05</v>
      </c>
      <c r="F521" s="2" t="str">
        <f>RIGHT(B521,2)</f>
        <v>01</v>
      </c>
      <c r="G521" s="29">
        <f>DATE(D521,E521,F521)</f>
        <v>42125</v>
      </c>
      <c r="I521" s="2" t="s">
        <v>1110</v>
      </c>
    </row>
    <row r="522" hidden="1">
      <c r="A522" s="1" t="s">
        <v>642</v>
      </c>
      <c r="I522" s="2" t="s">
        <v>1111</v>
      </c>
    </row>
    <row r="523" hidden="1">
      <c r="A523" s="1" t="s">
        <v>643</v>
      </c>
      <c r="I523" s="2" t="s">
        <v>1112</v>
      </c>
    </row>
    <row r="524">
      <c r="A524" s="1" t="s">
        <v>1113</v>
      </c>
      <c r="B524" s="2">
        <f>IFERROR(__xludf.DUMMYFUNCTION("SPLIT(A524,""_"")"),2.0150501E7)</f>
        <v>20150501</v>
      </c>
      <c r="C524" s="2" t="str">
        <f>IFERROR(__xludf.DUMMYFUNCTION("""COMPUTED_VALUE"""),"MCO")</f>
        <v>MCO</v>
      </c>
      <c r="D524" s="2" t="str">
        <f>LEFT(B524,4)</f>
        <v>2015</v>
      </c>
      <c r="E524" s="2" t="str">
        <f>MID(B524,5,2)</f>
        <v>05</v>
      </c>
      <c r="F524" s="2" t="str">
        <f>RIGHT(B524,2)</f>
        <v>01</v>
      </c>
      <c r="G524" s="29">
        <f>DATE(D524,E524,F524)</f>
        <v>42125</v>
      </c>
      <c r="I524" s="2" t="s">
        <v>1114</v>
      </c>
    </row>
    <row r="525" hidden="1">
      <c r="A525" s="1" t="s">
        <v>642</v>
      </c>
      <c r="I525" s="2" t="s">
        <v>1115</v>
      </c>
    </row>
    <row r="526" hidden="1">
      <c r="A526" s="1" t="s">
        <v>643</v>
      </c>
      <c r="I526" s="2" t="s">
        <v>1116</v>
      </c>
    </row>
    <row r="527">
      <c r="A527" s="1" t="s">
        <v>1117</v>
      </c>
      <c r="B527" s="2">
        <f>IFERROR(__xludf.DUMMYFUNCTION("SPLIT(A527,""_"")"),2.0150501E7)</f>
        <v>20150501</v>
      </c>
      <c r="C527" s="2" t="str">
        <f>IFERROR(__xludf.DUMMYFUNCTION("""COMPUTED_VALUE"""),"NSP")</f>
        <v>NSP</v>
      </c>
      <c r="D527" s="2" t="str">
        <f>LEFT(B527,4)</f>
        <v>2015</v>
      </c>
      <c r="E527" s="2" t="str">
        <f>MID(B527,5,2)</f>
        <v>05</v>
      </c>
      <c r="F527" s="2" t="str">
        <f>RIGHT(B527,2)</f>
        <v>01</v>
      </c>
      <c r="G527" s="29">
        <f>DATE(D527,E527,F527)</f>
        <v>42125</v>
      </c>
      <c r="I527" s="2" t="s">
        <v>1118</v>
      </c>
    </row>
    <row r="528" hidden="1">
      <c r="A528" s="1" t="s">
        <v>642</v>
      </c>
      <c r="I528" s="2" t="s">
        <v>1119</v>
      </c>
    </row>
    <row r="529" hidden="1">
      <c r="A529" s="1" t="s">
        <v>643</v>
      </c>
      <c r="I529" s="2" t="s">
        <v>1120</v>
      </c>
    </row>
    <row r="530">
      <c r="A530" s="1" t="s">
        <v>1121</v>
      </c>
      <c r="B530" s="2">
        <f>IFERROR(__xludf.DUMMYFUNCTION("SPLIT(A530,""_"")"),2.0150501E7)</f>
        <v>20150501</v>
      </c>
      <c r="C530" s="2" t="str">
        <f>IFERROR(__xludf.DUMMYFUNCTION("""COMPUTED_VALUE"""),"PEG")</f>
        <v>PEG</v>
      </c>
      <c r="D530" s="2" t="str">
        <f>LEFT(B530,4)</f>
        <v>2015</v>
      </c>
      <c r="E530" s="2" t="str">
        <f>MID(B530,5,2)</f>
        <v>05</v>
      </c>
      <c r="F530" s="2" t="str">
        <f>RIGHT(B530,2)</f>
        <v>01</v>
      </c>
      <c r="G530" s="29">
        <f>DATE(D530,E530,F530)</f>
        <v>42125</v>
      </c>
      <c r="I530" s="2" t="s">
        <v>1122</v>
      </c>
    </row>
    <row r="531" hidden="1">
      <c r="A531" s="1" t="s">
        <v>642</v>
      </c>
      <c r="I531" s="2" t="s">
        <v>1123</v>
      </c>
    </row>
    <row r="532" hidden="1">
      <c r="A532" s="1" t="s">
        <v>643</v>
      </c>
      <c r="I532" s="2" t="s">
        <v>1124</v>
      </c>
    </row>
    <row r="533">
      <c r="A533" s="1" t="s">
        <v>1125</v>
      </c>
      <c r="B533" s="2">
        <f>IFERROR(__xludf.DUMMYFUNCTION("SPLIT(A533,""_"")"),2.0150501E7)</f>
        <v>20150501</v>
      </c>
      <c r="C533" s="2" t="str">
        <f>IFERROR(__xludf.DUMMYFUNCTION("""COMPUTED_VALUE"""),"TDS")</f>
        <v>TDS</v>
      </c>
      <c r="D533" s="2" t="str">
        <f>LEFT(B533,4)</f>
        <v>2015</v>
      </c>
      <c r="E533" s="2" t="str">
        <f>MID(B533,5,2)</f>
        <v>05</v>
      </c>
      <c r="F533" s="2" t="str">
        <f>RIGHT(B533,2)</f>
        <v>01</v>
      </c>
      <c r="G533" s="29">
        <f>DATE(D533,E533,F533)</f>
        <v>42125</v>
      </c>
      <c r="I533" s="2" t="s">
        <v>1126</v>
      </c>
    </row>
    <row r="534" hidden="1">
      <c r="A534" s="1" t="s">
        <v>642</v>
      </c>
      <c r="I534" s="2" t="s">
        <v>1127</v>
      </c>
    </row>
    <row r="535" hidden="1">
      <c r="A535" s="1" t="s">
        <v>643</v>
      </c>
      <c r="I535" s="2" t="s">
        <v>1128</v>
      </c>
    </row>
    <row r="536">
      <c r="A536" s="1" t="s">
        <v>1129</v>
      </c>
      <c r="B536" s="2">
        <f>IFERROR(__xludf.DUMMYFUNCTION("SPLIT(A536,""_"")"),2.0150501E7)</f>
        <v>20150501</v>
      </c>
      <c r="C536" s="2" t="str">
        <f>IFERROR(__xludf.DUMMYFUNCTION("""COMPUTED_VALUE"""),"VFC")</f>
        <v>VFC</v>
      </c>
      <c r="D536" s="2" t="str">
        <f>LEFT(B536,4)</f>
        <v>2015</v>
      </c>
      <c r="E536" s="2" t="str">
        <f>MID(B536,5,2)</f>
        <v>05</v>
      </c>
      <c r="F536" s="2" t="str">
        <f>RIGHT(B536,2)</f>
        <v>01</v>
      </c>
      <c r="G536" s="29">
        <f>DATE(D536,E536,F536)</f>
        <v>42125</v>
      </c>
      <c r="I536" s="2" t="s">
        <v>1130</v>
      </c>
    </row>
    <row r="537" hidden="1">
      <c r="A537" s="1" t="s">
        <v>642</v>
      </c>
      <c r="I537" s="2" t="s">
        <v>1131</v>
      </c>
    </row>
    <row r="538" hidden="1">
      <c r="A538" s="1" t="s">
        <v>643</v>
      </c>
      <c r="I538" s="2" t="s">
        <v>1132</v>
      </c>
    </row>
    <row r="539">
      <c r="A539" s="1" t="s">
        <v>1133</v>
      </c>
      <c r="B539" s="2">
        <f>IFERROR(__xludf.DUMMYFUNCTION("SPLIT(A539,""_"")"),2.0150504E7)</f>
        <v>20150504</v>
      </c>
      <c r="C539" s="2" t="str">
        <f>IFERROR(__xludf.DUMMYFUNCTION("""COMPUTED_VALUE"""),"CEVA")</f>
        <v>CEVA</v>
      </c>
      <c r="D539" s="2" t="str">
        <f>LEFT(B539,4)</f>
        <v>2015</v>
      </c>
      <c r="E539" s="2" t="str">
        <f>MID(B539,5,2)</f>
        <v>05</v>
      </c>
      <c r="F539" s="2" t="str">
        <f>RIGHT(B539,2)</f>
        <v>04</v>
      </c>
      <c r="G539" s="29">
        <f>DATE(D539,E539,F539)</f>
        <v>42128</v>
      </c>
      <c r="I539" s="2" t="s">
        <v>1134</v>
      </c>
    </row>
    <row r="540" hidden="1">
      <c r="A540" s="1" t="s">
        <v>642</v>
      </c>
      <c r="I540" s="2" t="s">
        <v>1135</v>
      </c>
    </row>
    <row r="541" hidden="1">
      <c r="A541" s="1" t="s">
        <v>643</v>
      </c>
      <c r="I541" s="2" t="s">
        <v>1136</v>
      </c>
    </row>
    <row r="542">
      <c r="A542" s="1" t="s">
        <v>1137</v>
      </c>
      <c r="B542" s="2">
        <f>IFERROR(__xludf.DUMMYFUNCTION("SPLIT(A542,""_"")"),2.0150504E7)</f>
        <v>20150504</v>
      </c>
      <c r="C542" s="2" t="str">
        <f>IFERROR(__xludf.DUMMYFUNCTION("""COMPUTED_VALUE"""),"CHUY")</f>
        <v>CHUY</v>
      </c>
      <c r="D542" s="2" t="str">
        <f>LEFT(B542,4)</f>
        <v>2015</v>
      </c>
      <c r="E542" s="2" t="str">
        <f>MID(B542,5,2)</f>
        <v>05</v>
      </c>
      <c r="F542" s="2" t="str">
        <f>RIGHT(B542,2)</f>
        <v>04</v>
      </c>
      <c r="G542" s="29">
        <f>DATE(D542,E542,F542)</f>
        <v>42128</v>
      </c>
      <c r="I542" s="2" t="s">
        <v>1138</v>
      </c>
    </row>
    <row r="543" hidden="1">
      <c r="A543" s="1" t="s">
        <v>642</v>
      </c>
      <c r="I543" s="2" t="s">
        <v>1139</v>
      </c>
    </row>
    <row r="544" hidden="1">
      <c r="A544" s="1" t="s">
        <v>643</v>
      </c>
      <c r="I544" s="2" t="s">
        <v>1140</v>
      </c>
    </row>
    <row r="545">
      <c r="A545" s="1" t="s">
        <v>1141</v>
      </c>
      <c r="B545" s="2">
        <f>IFERROR(__xludf.DUMMYFUNCTION("SPLIT(A545,""_"")"),2.0150504E7)</f>
        <v>20150504</v>
      </c>
      <c r="C545" s="2" t="str">
        <f>IFERROR(__xludf.DUMMYFUNCTION("""COMPUTED_VALUE"""),"CMCSA")</f>
        <v>CMCSA</v>
      </c>
      <c r="D545" s="2" t="str">
        <f>LEFT(B545,4)</f>
        <v>2015</v>
      </c>
      <c r="E545" s="2" t="str">
        <f>MID(B545,5,2)</f>
        <v>05</v>
      </c>
      <c r="F545" s="2" t="str">
        <f>RIGHT(B545,2)</f>
        <v>04</v>
      </c>
      <c r="G545" s="29">
        <f>DATE(D545,E545,F545)</f>
        <v>42128</v>
      </c>
      <c r="I545" s="2" t="s">
        <v>1142</v>
      </c>
    </row>
    <row r="546" hidden="1">
      <c r="A546" s="1" t="s">
        <v>642</v>
      </c>
      <c r="I546" s="2" t="s">
        <v>1143</v>
      </c>
    </row>
    <row r="547" hidden="1">
      <c r="A547" s="1" t="s">
        <v>643</v>
      </c>
      <c r="I547" s="2" t="s">
        <v>1144</v>
      </c>
    </row>
    <row r="548">
      <c r="A548" s="1" t="s">
        <v>1145</v>
      </c>
      <c r="B548" s="2">
        <f>IFERROR(__xludf.DUMMYFUNCTION("SPLIT(A548,""_"")"),2.0150504E7)</f>
        <v>20150504</v>
      </c>
      <c r="C548" s="2" t="str">
        <f>IFERROR(__xludf.DUMMYFUNCTION("""COMPUTED_VALUE"""),"DO")</f>
        <v>DO</v>
      </c>
      <c r="D548" s="2" t="str">
        <f>LEFT(B548,4)</f>
        <v>2015</v>
      </c>
      <c r="E548" s="2" t="str">
        <f>MID(B548,5,2)</f>
        <v>05</v>
      </c>
      <c r="F548" s="2" t="str">
        <f>RIGHT(B548,2)</f>
        <v>04</v>
      </c>
      <c r="G548" s="29">
        <f>DATE(D548,E548,F548)</f>
        <v>42128</v>
      </c>
      <c r="I548" s="2" t="s">
        <v>1146</v>
      </c>
    </row>
    <row r="549" hidden="1">
      <c r="A549" s="1" t="s">
        <v>642</v>
      </c>
      <c r="I549" s="2" t="s">
        <v>1147</v>
      </c>
    </row>
    <row r="550" hidden="1">
      <c r="A550" s="1" t="s">
        <v>643</v>
      </c>
      <c r="I550" s="2" t="s">
        <v>1148</v>
      </c>
    </row>
    <row r="551">
      <c r="A551" s="1" t="s">
        <v>1149</v>
      </c>
      <c r="B551" s="2">
        <f>IFERROR(__xludf.DUMMYFUNCTION("SPLIT(A551,""_"")"),2.0150504E7)</f>
        <v>20150504</v>
      </c>
      <c r="C551" s="2" t="str">
        <f>IFERROR(__xludf.DUMMYFUNCTION("""COMPUTED_VALUE"""),"FN")</f>
        <v>FN</v>
      </c>
      <c r="D551" s="2" t="str">
        <f>LEFT(B551,4)</f>
        <v>2015</v>
      </c>
      <c r="E551" s="2" t="str">
        <f>MID(B551,5,2)</f>
        <v>05</v>
      </c>
      <c r="F551" s="2" t="str">
        <f>RIGHT(B551,2)</f>
        <v>04</v>
      </c>
      <c r="G551" s="29">
        <f>DATE(D551,E551,F551)</f>
        <v>42128</v>
      </c>
      <c r="I551" s="2" t="s">
        <v>1150</v>
      </c>
    </row>
    <row r="552" hidden="1">
      <c r="A552" s="1" t="s">
        <v>642</v>
      </c>
      <c r="I552" s="2" t="s">
        <v>1151</v>
      </c>
    </row>
    <row r="553" hidden="1">
      <c r="A553" s="1" t="s">
        <v>643</v>
      </c>
      <c r="I553" s="2" t="s">
        <v>1152</v>
      </c>
    </row>
    <row r="554">
      <c r="A554" s="1" t="s">
        <v>1153</v>
      </c>
      <c r="B554" s="2">
        <f>IFERROR(__xludf.DUMMYFUNCTION("SPLIT(A554,""_"")"),2.0150504E7)</f>
        <v>20150504</v>
      </c>
      <c r="C554" s="2" t="str">
        <f>IFERROR(__xludf.DUMMYFUNCTION("""COMPUTED_VALUE"""),"L")</f>
        <v>L</v>
      </c>
      <c r="D554" s="2" t="str">
        <f>LEFT(B554,4)</f>
        <v>2015</v>
      </c>
      <c r="E554" s="2" t="str">
        <f>MID(B554,5,2)</f>
        <v>05</v>
      </c>
      <c r="F554" s="2" t="str">
        <f>RIGHT(B554,2)</f>
        <v>04</v>
      </c>
      <c r="G554" s="29">
        <f>DATE(D554,E554,F554)</f>
        <v>42128</v>
      </c>
      <c r="I554" s="2" t="s">
        <v>1154</v>
      </c>
    </row>
    <row r="555" hidden="1">
      <c r="A555" s="1" t="s">
        <v>642</v>
      </c>
      <c r="I555" s="2" t="s">
        <v>1155</v>
      </c>
    </row>
    <row r="556" hidden="1">
      <c r="A556" s="1" t="s">
        <v>643</v>
      </c>
      <c r="I556" s="2" t="s">
        <v>1156</v>
      </c>
    </row>
    <row r="557">
      <c r="A557" s="1" t="s">
        <v>1157</v>
      </c>
      <c r="B557" s="2">
        <f>IFERROR(__xludf.DUMMYFUNCTION("SPLIT(A557,""_"")"),2.0150504E7)</f>
        <v>20150504</v>
      </c>
      <c r="C557" s="2" t="str">
        <f>IFERROR(__xludf.DUMMYFUNCTION("""COMPUTED_VALUE"""),"NUVA")</f>
        <v>NUVA</v>
      </c>
      <c r="D557" s="2" t="str">
        <f>LEFT(B557,4)</f>
        <v>2015</v>
      </c>
      <c r="E557" s="2" t="str">
        <f>MID(B557,5,2)</f>
        <v>05</v>
      </c>
      <c r="F557" s="2" t="str">
        <f>RIGHT(B557,2)</f>
        <v>04</v>
      </c>
      <c r="G557" s="29">
        <f>DATE(D557,E557,F557)</f>
        <v>42128</v>
      </c>
      <c r="I557" s="2" t="s">
        <v>1158</v>
      </c>
    </row>
    <row r="558" hidden="1">
      <c r="A558" s="1" t="s">
        <v>642</v>
      </c>
      <c r="I558" s="2" t="s">
        <v>1159</v>
      </c>
    </row>
    <row r="559" hidden="1">
      <c r="A559" s="1" t="s">
        <v>643</v>
      </c>
      <c r="I559" s="2" t="s">
        <v>1160</v>
      </c>
    </row>
    <row r="560">
      <c r="A560" s="1" t="s">
        <v>1161</v>
      </c>
      <c r="B560" s="2">
        <f>IFERROR(__xludf.DUMMYFUNCTION("SPLIT(A560,""_"")"),2.0150504E7)</f>
        <v>20150504</v>
      </c>
      <c r="C560" s="2" t="str">
        <f>IFERROR(__xludf.DUMMYFUNCTION("""COMPUTED_VALUE"""),"TXRH")</f>
        <v>TXRH</v>
      </c>
      <c r="D560" s="2" t="str">
        <f>LEFT(B560,4)</f>
        <v>2015</v>
      </c>
      <c r="E560" s="2" t="str">
        <f>MID(B560,5,2)</f>
        <v>05</v>
      </c>
      <c r="F560" s="2" t="str">
        <f>RIGHT(B560,2)</f>
        <v>04</v>
      </c>
      <c r="G560" s="29">
        <f>DATE(D560,E560,F560)</f>
        <v>42128</v>
      </c>
      <c r="I560" s="2" t="s">
        <v>1162</v>
      </c>
    </row>
    <row r="561" hidden="1">
      <c r="A561" s="1" t="s">
        <v>642</v>
      </c>
      <c r="I561" s="2" t="s">
        <v>1163</v>
      </c>
    </row>
    <row r="562" hidden="1">
      <c r="A562" s="1" t="s">
        <v>643</v>
      </c>
      <c r="I562" s="2" t="s">
        <v>1164</v>
      </c>
    </row>
    <row r="563">
      <c r="A563" s="1" t="s">
        <v>1165</v>
      </c>
      <c r="B563" s="2">
        <f>IFERROR(__xludf.DUMMYFUNCTION("SPLIT(A563,""_"")"),2.0150505E7)</f>
        <v>20150505</v>
      </c>
      <c r="C563" s="2" t="str">
        <f>IFERROR(__xludf.DUMMYFUNCTION("""COMPUTED_VALUE"""),"ABMD")</f>
        <v>ABMD</v>
      </c>
      <c r="D563" s="2" t="str">
        <f>LEFT(B563,4)</f>
        <v>2015</v>
      </c>
      <c r="E563" s="2" t="str">
        <f>MID(B563,5,2)</f>
        <v>05</v>
      </c>
      <c r="F563" s="2" t="str">
        <f>RIGHT(B563,2)</f>
        <v>05</v>
      </c>
      <c r="G563" s="29">
        <f>DATE(D563,E563,F563)</f>
        <v>42129</v>
      </c>
      <c r="I563" s="2" t="s">
        <v>1166</v>
      </c>
    </row>
    <row r="564" hidden="1">
      <c r="A564" s="1" t="s">
        <v>642</v>
      </c>
      <c r="I564" s="2" t="s">
        <v>1167</v>
      </c>
    </row>
    <row r="565" hidden="1">
      <c r="A565" s="1" t="s">
        <v>643</v>
      </c>
      <c r="I565" s="2" t="s">
        <v>1168</v>
      </c>
    </row>
    <row r="566">
      <c r="A566" s="1" t="s">
        <v>1169</v>
      </c>
      <c r="B566" s="2">
        <f>IFERROR(__xludf.DUMMYFUNCTION("SPLIT(A566,""_"")"),2.0150505E7)</f>
        <v>20150505</v>
      </c>
      <c r="C566" s="2" t="str">
        <f>IFERROR(__xludf.DUMMYFUNCTION("""COMPUTED_VALUE"""),"ACLS")</f>
        <v>ACLS</v>
      </c>
      <c r="D566" s="2" t="str">
        <f>LEFT(B566,4)</f>
        <v>2015</v>
      </c>
      <c r="E566" s="2" t="str">
        <f>MID(B566,5,2)</f>
        <v>05</v>
      </c>
      <c r="F566" s="2" t="str">
        <f>RIGHT(B566,2)</f>
        <v>05</v>
      </c>
      <c r="G566" s="29">
        <f>DATE(D566,E566,F566)</f>
        <v>42129</v>
      </c>
      <c r="I566" s="2" t="s">
        <v>1170</v>
      </c>
    </row>
    <row r="567" hidden="1">
      <c r="A567" s="1" t="s">
        <v>642</v>
      </c>
      <c r="I567" s="2" t="s">
        <v>1171</v>
      </c>
    </row>
    <row r="568" hidden="1">
      <c r="A568" s="1" t="s">
        <v>643</v>
      </c>
      <c r="I568" s="2" t="s">
        <v>1172</v>
      </c>
    </row>
    <row r="569">
      <c r="A569" s="1" t="s">
        <v>1173</v>
      </c>
      <c r="B569" s="2">
        <f>IFERROR(__xludf.DUMMYFUNCTION("SPLIT(A569,""_"")"),2.0150505E7)</f>
        <v>20150505</v>
      </c>
      <c r="C569" s="2" t="str">
        <f>IFERROR(__xludf.DUMMYFUNCTION("""COMPUTED_VALUE"""),"CRAY")</f>
        <v>CRAY</v>
      </c>
      <c r="D569" s="2" t="str">
        <f>LEFT(B569,4)</f>
        <v>2015</v>
      </c>
      <c r="E569" s="2" t="str">
        <f>MID(B569,5,2)</f>
        <v>05</v>
      </c>
      <c r="F569" s="2" t="str">
        <f>RIGHT(B569,2)</f>
        <v>05</v>
      </c>
      <c r="G569" s="29">
        <f>DATE(D569,E569,F569)</f>
        <v>42129</v>
      </c>
      <c r="I569" s="2" t="s">
        <v>1174</v>
      </c>
    </row>
    <row r="570" hidden="1">
      <c r="A570" s="1" t="s">
        <v>642</v>
      </c>
      <c r="I570" s="2" t="s">
        <v>1175</v>
      </c>
    </row>
    <row r="571" hidden="1">
      <c r="A571" s="1" t="s">
        <v>643</v>
      </c>
      <c r="I571" s="2" t="s">
        <v>1176</v>
      </c>
    </row>
    <row r="572">
      <c r="A572" s="1" t="s">
        <v>1177</v>
      </c>
      <c r="B572" s="2">
        <f>IFERROR(__xludf.DUMMYFUNCTION("SPLIT(A572,""_"")"),2.0150505E7)</f>
        <v>20150505</v>
      </c>
      <c r="C572" s="2" t="str">
        <f>IFERROR(__xludf.DUMMYFUNCTION("""COMPUTED_VALUE"""),"CTL")</f>
        <v>CTL</v>
      </c>
      <c r="D572" s="2" t="str">
        <f>LEFT(B572,4)</f>
        <v>2015</v>
      </c>
      <c r="E572" s="2" t="str">
        <f>MID(B572,5,2)</f>
        <v>05</v>
      </c>
      <c r="F572" s="2" t="str">
        <f>RIGHT(B572,2)</f>
        <v>05</v>
      </c>
      <c r="G572" s="29">
        <f>DATE(D572,E572,F572)</f>
        <v>42129</v>
      </c>
      <c r="I572" s="2" t="s">
        <v>1178</v>
      </c>
    </row>
    <row r="573" hidden="1">
      <c r="A573" s="1" t="s">
        <v>642</v>
      </c>
      <c r="I573" s="2" t="s">
        <v>1179</v>
      </c>
    </row>
    <row r="574" hidden="1">
      <c r="A574" s="1" t="s">
        <v>643</v>
      </c>
      <c r="I574" s="2" t="s">
        <v>1180</v>
      </c>
    </row>
    <row r="575">
      <c r="A575" s="1" t="s">
        <v>1181</v>
      </c>
      <c r="B575" s="2">
        <f>IFERROR(__xludf.DUMMYFUNCTION("SPLIT(A575,""_"")"),2.0150505E7)</f>
        <v>20150505</v>
      </c>
      <c r="C575" s="2" t="str">
        <f>IFERROR(__xludf.DUMMYFUNCTION("""COMPUTED_VALUE"""),"CVLT")</f>
        <v>CVLT</v>
      </c>
      <c r="D575" s="2" t="str">
        <f>LEFT(B575,4)</f>
        <v>2015</v>
      </c>
      <c r="E575" s="2" t="str">
        <f>MID(B575,5,2)</f>
        <v>05</v>
      </c>
      <c r="F575" s="2" t="str">
        <f>RIGHT(B575,2)</f>
        <v>05</v>
      </c>
      <c r="G575" s="29">
        <f>DATE(D575,E575,F575)</f>
        <v>42129</v>
      </c>
      <c r="I575" s="2" t="s">
        <v>1182</v>
      </c>
    </row>
    <row r="576" hidden="1">
      <c r="A576" s="1" t="s">
        <v>642</v>
      </c>
      <c r="I576" s="2" t="s">
        <v>1183</v>
      </c>
    </row>
    <row r="577" hidden="1">
      <c r="A577" s="1" t="s">
        <v>643</v>
      </c>
      <c r="I577" s="2" t="s">
        <v>1184</v>
      </c>
    </row>
    <row r="578">
      <c r="A578" s="1" t="s">
        <v>1185</v>
      </c>
      <c r="B578" s="2">
        <f>IFERROR(__xludf.DUMMYFUNCTION("SPLIT(A578,""_"")"),2.0150505E7)</f>
        <v>20150505</v>
      </c>
      <c r="C578" s="2" t="str">
        <f>IFERROR(__xludf.DUMMYFUNCTION("""COMPUTED_VALUE"""),"DIS")</f>
        <v>DIS</v>
      </c>
      <c r="D578" s="2" t="str">
        <f>LEFT(B578,4)</f>
        <v>2015</v>
      </c>
      <c r="E578" s="2" t="str">
        <f>MID(B578,5,2)</f>
        <v>05</v>
      </c>
      <c r="F578" s="2" t="str">
        <f>RIGHT(B578,2)</f>
        <v>05</v>
      </c>
      <c r="G578" s="29">
        <f>DATE(D578,E578,F578)</f>
        <v>42129</v>
      </c>
      <c r="I578" s="2" t="s">
        <v>1186</v>
      </c>
    </row>
    <row r="579" hidden="1">
      <c r="A579" s="1" t="s">
        <v>642</v>
      </c>
      <c r="I579" s="2" t="s">
        <v>1187</v>
      </c>
    </row>
    <row r="580" hidden="1">
      <c r="A580" s="1" t="s">
        <v>643</v>
      </c>
      <c r="I580" s="2" t="s">
        <v>1188</v>
      </c>
    </row>
    <row r="581">
      <c r="A581" s="1" t="s">
        <v>1189</v>
      </c>
      <c r="B581" s="2">
        <f>IFERROR(__xludf.DUMMYFUNCTION("SPLIT(A581,""_"")"),2.0150505E7)</f>
        <v>20150505</v>
      </c>
      <c r="C581" s="2" t="str">
        <f>IFERROR(__xludf.DUMMYFUNCTION("""COMPUTED_VALUE"""),"ESE")</f>
        <v>ESE</v>
      </c>
      <c r="D581" s="2" t="str">
        <f>LEFT(B581,4)</f>
        <v>2015</v>
      </c>
      <c r="E581" s="2" t="str">
        <f>MID(B581,5,2)</f>
        <v>05</v>
      </c>
      <c r="F581" s="2" t="str">
        <f>RIGHT(B581,2)</f>
        <v>05</v>
      </c>
      <c r="G581" s="29">
        <f>DATE(D581,E581,F581)</f>
        <v>42129</v>
      </c>
      <c r="I581" s="2" t="s">
        <v>1190</v>
      </c>
    </row>
    <row r="582" hidden="1">
      <c r="A582" s="1" t="s">
        <v>642</v>
      </c>
      <c r="I582" s="2" t="s">
        <v>1191</v>
      </c>
    </row>
    <row r="583" hidden="1">
      <c r="A583" s="1" t="s">
        <v>643</v>
      </c>
      <c r="I583" s="2" t="s">
        <v>1192</v>
      </c>
    </row>
    <row r="584">
      <c r="A584" s="1" t="s">
        <v>1193</v>
      </c>
      <c r="B584" s="2">
        <f>IFERROR(__xludf.DUMMYFUNCTION("SPLIT(A584,""_"")"),2.0150505E7)</f>
        <v>20150505</v>
      </c>
      <c r="C584" s="2" t="str">
        <f>IFERROR(__xludf.DUMMYFUNCTION("""COMPUTED_VALUE"""),"HCA")</f>
        <v>HCA</v>
      </c>
      <c r="D584" s="2" t="str">
        <f>LEFT(B584,4)</f>
        <v>2015</v>
      </c>
      <c r="E584" s="2" t="str">
        <f>MID(B584,5,2)</f>
        <v>05</v>
      </c>
      <c r="F584" s="2" t="str">
        <f>RIGHT(B584,2)</f>
        <v>05</v>
      </c>
      <c r="G584" s="29">
        <f>DATE(D584,E584,F584)</f>
        <v>42129</v>
      </c>
      <c r="I584" s="2" t="s">
        <v>1194</v>
      </c>
    </row>
    <row r="585" hidden="1">
      <c r="A585" s="1" t="s">
        <v>642</v>
      </c>
      <c r="I585" s="2" t="s">
        <v>1195</v>
      </c>
    </row>
    <row r="586" hidden="1">
      <c r="A586" s="1" t="s">
        <v>643</v>
      </c>
      <c r="I586" s="2" t="s">
        <v>1196</v>
      </c>
    </row>
    <row r="587">
      <c r="A587" s="1" t="s">
        <v>1197</v>
      </c>
      <c r="B587" s="2">
        <f>IFERROR(__xludf.DUMMYFUNCTION("SPLIT(A587,""_"")"),2.0150505E7)</f>
        <v>20150505</v>
      </c>
      <c r="C587" s="2" t="str">
        <f>IFERROR(__xludf.DUMMYFUNCTION("""COMPUTED_VALUE"""),"ICUI")</f>
        <v>ICUI</v>
      </c>
      <c r="D587" s="2" t="str">
        <f>LEFT(B587,4)</f>
        <v>2015</v>
      </c>
      <c r="E587" s="2" t="str">
        <f>MID(B587,5,2)</f>
        <v>05</v>
      </c>
      <c r="F587" s="2" t="str">
        <f>RIGHT(B587,2)</f>
        <v>05</v>
      </c>
      <c r="G587" s="29">
        <f>DATE(D587,E587,F587)</f>
        <v>42129</v>
      </c>
      <c r="I587" s="2" t="s">
        <v>1198</v>
      </c>
    </row>
    <row r="588" hidden="1">
      <c r="A588" s="1" t="s">
        <v>642</v>
      </c>
      <c r="I588" s="2" t="s">
        <v>1199</v>
      </c>
    </row>
    <row r="589" hidden="1">
      <c r="A589" s="1" t="s">
        <v>643</v>
      </c>
      <c r="I589" s="2" t="s">
        <v>1200</v>
      </c>
    </row>
    <row r="590">
      <c r="A590" s="1" t="s">
        <v>1201</v>
      </c>
      <c r="B590" s="2">
        <f>IFERROR(__xludf.DUMMYFUNCTION("SPLIT(A590,""_"")"),2.0150505E7)</f>
        <v>20150505</v>
      </c>
      <c r="C590" s="2" t="str">
        <f>IFERROR(__xludf.DUMMYFUNCTION("""COMPUTED_VALUE"""),"K")</f>
        <v>K</v>
      </c>
      <c r="D590" s="2" t="str">
        <f>LEFT(B590,4)</f>
        <v>2015</v>
      </c>
      <c r="E590" s="2" t="str">
        <f>MID(B590,5,2)</f>
        <v>05</v>
      </c>
      <c r="F590" s="2" t="str">
        <f>RIGHT(B590,2)</f>
        <v>05</v>
      </c>
      <c r="G590" s="29">
        <f>DATE(D590,E590,F590)</f>
        <v>42129</v>
      </c>
      <c r="I590" s="2" t="s">
        <v>1202</v>
      </c>
    </row>
    <row r="591" hidden="1">
      <c r="A591" s="1" t="s">
        <v>642</v>
      </c>
      <c r="I591" s="2" t="s">
        <v>1203</v>
      </c>
    </row>
    <row r="592" hidden="1">
      <c r="A592" s="1" t="s">
        <v>643</v>
      </c>
      <c r="I592" s="2" t="s">
        <v>1204</v>
      </c>
    </row>
    <row r="593">
      <c r="A593" s="1" t="s">
        <v>1205</v>
      </c>
      <c r="B593" s="2">
        <f>IFERROR(__xludf.DUMMYFUNCTION("SPLIT(A593,""_"")"),2.0150505E7)</f>
        <v>20150505</v>
      </c>
      <c r="C593" s="2" t="str">
        <f>IFERROR(__xludf.DUMMYFUNCTION("""COMPUTED_VALUE"""),"KLIC")</f>
        <v>KLIC</v>
      </c>
      <c r="D593" s="2" t="str">
        <f>LEFT(B593,4)</f>
        <v>2015</v>
      </c>
      <c r="E593" s="2" t="str">
        <f>MID(B593,5,2)</f>
        <v>05</v>
      </c>
      <c r="F593" s="2" t="str">
        <f>RIGHT(B593,2)</f>
        <v>05</v>
      </c>
      <c r="G593" s="29">
        <f>DATE(D593,E593,F593)</f>
        <v>42129</v>
      </c>
      <c r="I593" s="2" t="s">
        <v>1206</v>
      </c>
    </row>
    <row r="594" hidden="1">
      <c r="A594" s="1" t="s">
        <v>642</v>
      </c>
      <c r="I594" s="2" t="s">
        <v>1207</v>
      </c>
    </row>
    <row r="595" hidden="1">
      <c r="A595" s="1" t="s">
        <v>643</v>
      </c>
      <c r="I595" s="2" t="s">
        <v>1208</v>
      </c>
    </row>
    <row r="596">
      <c r="A596" s="1" t="s">
        <v>1209</v>
      </c>
      <c r="B596" s="2">
        <f>IFERROR(__xludf.DUMMYFUNCTION("SPLIT(A596,""_"")"),2.0150505E7)</f>
        <v>20150505</v>
      </c>
      <c r="C596" s="2" t="str">
        <f>IFERROR(__xludf.DUMMYFUNCTION("""COMPUTED_VALUE"""),"KMT")</f>
        <v>KMT</v>
      </c>
      <c r="D596" s="2" t="str">
        <f>LEFT(B596,4)</f>
        <v>2015</v>
      </c>
      <c r="E596" s="2" t="str">
        <f>MID(B596,5,2)</f>
        <v>05</v>
      </c>
      <c r="F596" s="2" t="str">
        <f>RIGHT(B596,2)</f>
        <v>05</v>
      </c>
      <c r="G596" s="29">
        <f>DATE(D596,E596,F596)</f>
        <v>42129</v>
      </c>
      <c r="I596" s="2" t="s">
        <v>1210</v>
      </c>
    </row>
    <row r="597" hidden="1">
      <c r="A597" s="1" t="s">
        <v>642</v>
      </c>
      <c r="I597" s="2" t="s">
        <v>1211</v>
      </c>
    </row>
    <row r="598" hidden="1">
      <c r="A598" s="1" t="s">
        <v>643</v>
      </c>
      <c r="I598" s="2" t="s">
        <v>1212</v>
      </c>
    </row>
    <row r="599">
      <c r="A599" s="1" t="s">
        <v>1213</v>
      </c>
      <c r="B599" s="2">
        <f>IFERROR(__xludf.DUMMYFUNCTION("SPLIT(A599,""_"")"),2.0150505E7)</f>
        <v>20150505</v>
      </c>
      <c r="C599" s="2" t="str">
        <f>IFERROR(__xludf.DUMMYFUNCTION("""COMPUTED_VALUE"""),"MDC")</f>
        <v>MDC</v>
      </c>
      <c r="D599" s="2" t="str">
        <f>LEFT(B599,4)</f>
        <v>2015</v>
      </c>
      <c r="E599" s="2" t="str">
        <f>MID(B599,5,2)</f>
        <v>05</v>
      </c>
      <c r="F599" s="2" t="str">
        <f>RIGHT(B599,2)</f>
        <v>05</v>
      </c>
      <c r="G599" s="29">
        <f>DATE(D599,E599,F599)</f>
        <v>42129</v>
      </c>
      <c r="I599" s="2" t="s">
        <v>1214</v>
      </c>
    </row>
    <row r="600" hidden="1">
      <c r="A600" s="1" t="s">
        <v>642</v>
      </c>
      <c r="I600" s="2" t="s">
        <v>1215</v>
      </c>
    </row>
    <row r="601" hidden="1">
      <c r="A601" s="1" t="s">
        <v>643</v>
      </c>
      <c r="I601" s="2" t="s">
        <v>1216</v>
      </c>
    </row>
    <row r="602">
      <c r="A602" s="1" t="s">
        <v>1217</v>
      </c>
      <c r="B602" s="2">
        <f>IFERROR(__xludf.DUMMYFUNCTION("SPLIT(A602,""_"")"),2.0150505E7)</f>
        <v>20150505</v>
      </c>
      <c r="C602" s="2" t="str">
        <f>IFERROR(__xludf.DUMMYFUNCTION("""COMPUTED_VALUE"""),"MDCO")</f>
        <v>MDCO</v>
      </c>
      <c r="D602" s="2" t="str">
        <f>LEFT(B602,4)</f>
        <v>2015</v>
      </c>
      <c r="E602" s="2" t="str">
        <f>MID(B602,5,2)</f>
        <v>05</v>
      </c>
      <c r="F602" s="2" t="str">
        <f>RIGHT(B602,2)</f>
        <v>05</v>
      </c>
      <c r="G602" s="29">
        <f>DATE(D602,E602,F602)</f>
        <v>42129</v>
      </c>
      <c r="I602" s="2" t="s">
        <v>1218</v>
      </c>
    </row>
    <row r="603" hidden="1">
      <c r="A603" s="1" t="s">
        <v>642</v>
      </c>
      <c r="I603" s="2" t="s">
        <v>1219</v>
      </c>
    </row>
    <row r="604" hidden="1">
      <c r="A604" s="1" t="s">
        <v>643</v>
      </c>
      <c r="I604" s="2" t="s">
        <v>1220</v>
      </c>
    </row>
    <row r="605">
      <c r="A605" s="1" t="s">
        <v>1221</v>
      </c>
      <c r="B605" s="2">
        <f>IFERROR(__xludf.DUMMYFUNCTION("SPLIT(A605,""_"")"),2.0150505E7)</f>
        <v>20150505</v>
      </c>
      <c r="C605" s="2" t="str">
        <f>IFERROR(__xludf.DUMMYFUNCTION("""COMPUTED_VALUE"""),"MYGN")</f>
        <v>MYGN</v>
      </c>
      <c r="D605" s="2" t="str">
        <f>LEFT(B605,4)</f>
        <v>2015</v>
      </c>
      <c r="E605" s="2" t="str">
        <f>MID(B605,5,2)</f>
        <v>05</v>
      </c>
      <c r="F605" s="2" t="str">
        <f>RIGHT(B605,2)</f>
        <v>05</v>
      </c>
      <c r="G605" s="29">
        <f>DATE(D605,E605,F605)</f>
        <v>42129</v>
      </c>
      <c r="I605" s="2" t="s">
        <v>1222</v>
      </c>
    </row>
    <row r="606" hidden="1">
      <c r="A606" s="1" t="s">
        <v>642</v>
      </c>
      <c r="I606" s="2" t="s">
        <v>1223</v>
      </c>
    </row>
    <row r="607" hidden="1">
      <c r="A607" s="1" t="s">
        <v>643</v>
      </c>
      <c r="I607" s="2" t="s">
        <v>1224</v>
      </c>
    </row>
    <row r="608">
      <c r="A608" s="1" t="s">
        <v>1225</v>
      </c>
      <c r="B608" s="2">
        <f>IFERROR(__xludf.DUMMYFUNCTION("SPLIT(A608,""_"")"),2.0150505E7)</f>
        <v>20150505</v>
      </c>
      <c r="C608" s="2" t="str">
        <f>IFERROR(__xludf.DUMMYFUNCTION("""COMPUTED_VALUE"""),"NWN")</f>
        <v>NWN</v>
      </c>
      <c r="D608" s="2" t="str">
        <f>LEFT(B608,4)</f>
        <v>2015</v>
      </c>
      <c r="E608" s="2" t="str">
        <f>MID(B608,5,2)</f>
        <v>05</v>
      </c>
      <c r="F608" s="2" t="str">
        <f>RIGHT(B608,2)</f>
        <v>05</v>
      </c>
      <c r="G608" s="29">
        <f>DATE(D608,E608,F608)</f>
        <v>42129</v>
      </c>
      <c r="I608" s="2" t="s">
        <v>1226</v>
      </c>
    </row>
    <row r="609" hidden="1">
      <c r="A609" s="1" t="s">
        <v>642</v>
      </c>
      <c r="I609" s="2" t="s">
        <v>1227</v>
      </c>
    </row>
    <row r="610" hidden="1">
      <c r="A610" s="1" t="s">
        <v>643</v>
      </c>
      <c r="I610" s="2" t="s">
        <v>1228</v>
      </c>
    </row>
    <row r="611">
      <c r="A611" s="1" t="s">
        <v>1229</v>
      </c>
      <c r="B611" s="2">
        <f>IFERROR(__xludf.DUMMYFUNCTION("SPLIT(A611,""_"")"),2.0150505E7)</f>
        <v>20150505</v>
      </c>
      <c r="C611" s="2" t="str">
        <f>IFERROR(__xludf.DUMMYFUNCTION("""COMPUTED_VALUE"""),"SMG")</f>
        <v>SMG</v>
      </c>
      <c r="D611" s="2" t="str">
        <f>LEFT(B611,4)</f>
        <v>2015</v>
      </c>
      <c r="E611" s="2" t="str">
        <f>MID(B611,5,2)</f>
        <v>05</v>
      </c>
      <c r="F611" s="2" t="str">
        <f>RIGHT(B611,2)</f>
        <v>05</v>
      </c>
      <c r="G611" s="29">
        <f>DATE(D611,E611,F611)</f>
        <v>42129</v>
      </c>
      <c r="I611" s="2" t="s">
        <v>1230</v>
      </c>
    </row>
    <row r="612" hidden="1">
      <c r="A612" s="1" t="s">
        <v>642</v>
      </c>
      <c r="I612" s="2" t="s">
        <v>1231</v>
      </c>
    </row>
    <row r="613" hidden="1">
      <c r="A613" s="1" t="s">
        <v>643</v>
      </c>
      <c r="I613" s="2" t="s">
        <v>1232</v>
      </c>
    </row>
    <row r="614">
      <c r="A614" s="1" t="s">
        <v>1233</v>
      </c>
      <c r="B614" s="2">
        <f>IFERROR(__xludf.DUMMYFUNCTION("SPLIT(A614,""_"")"),2.0150506E7)</f>
        <v>20150506</v>
      </c>
      <c r="C614" s="2" t="str">
        <f>IFERROR(__xludf.DUMMYFUNCTION("""COMPUTED_VALUE"""),"ANDE")</f>
        <v>ANDE</v>
      </c>
      <c r="D614" s="2" t="str">
        <f>LEFT(B614,4)</f>
        <v>2015</v>
      </c>
      <c r="E614" s="2" t="str">
        <f>MID(B614,5,2)</f>
        <v>05</v>
      </c>
      <c r="F614" s="2" t="str">
        <f>RIGHT(B614,2)</f>
        <v>06</v>
      </c>
      <c r="G614" s="29">
        <f>DATE(D614,E614,F614)</f>
        <v>42130</v>
      </c>
      <c r="I614" s="2" t="s">
        <v>1234</v>
      </c>
    </row>
    <row r="615" hidden="1">
      <c r="A615" s="1" t="s">
        <v>642</v>
      </c>
      <c r="I615" s="2" t="s">
        <v>1235</v>
      </c>
    </row>
    <row r="616" hidden="1">
      <c r="A616" s="1" t="s">
        <v>643</v>
      </c>
      <c r="I616" s="2" t="s">
        <v>1236</v>
      </c>
    </row>
    <row r="617">
      <c r="A617" s="1" t="s">
        <v>1237</v>
      </c>
      <c r="B617" s="2">
        <f>IFERROR(__xludf.DUMMYFUNCTION("SPLIT(A617,""_"")"),2.0150506E7)</f>
        <v>20150506</v>
      </c>
      <c r="C617" s="2" t="str">
        <f>IFERROR(__xludf.DUMMYFUNCTION("""COMPUTED_VALUE"""),"CLH")</f>
        <v>CLH</v>
      </c>
      <c r="D617" s="2" t="str">
        <f>LEFT(B617,4)</f>
        <v>2015</v>
      </c>
      <c r="E617" s="2" t="str">
        <f>MID(B617,5,2)</f>
        <v>05</v>
      </c>
      <c r="F617" s="2" t="str">
        <f>RIGHT(B617,2)</f>
        <v>06</v>
      </c>
      <c r="G617" s="29">
        <f>DATE(D617,E617,F617)</f>
        <v>42130</v>
      </c>
      <c r="I617" s="2" t="s">
        <v>1238</v>
      </c>
    </row>
    <row r="618" hidden="1">
      <c r="A618" s="1" t="s">
        <v>642</v>
      </c>
      <c r="I618" s="2" t="s">
        <v>1239</v>
      </c>
    </row>
    <row r="619" hidden="1">
      <c r="A619" s="1" t="s">
        <v>643</v>
      </c>
      <c r="I619" s="2" t="s">
        <v>1240</v>
      </c>
    </row>
    <row r="620">
      <c r="A620" s="1" t="s">
        <v>1241</v>
      </c>
      <c r="B620" s="2">
        <f>IFERROR(__xludf.DUMMYFUNCTION("SPLIT(A620,""_"")"),2.0150506E7)</f>
        <v>20150506</v>
      </c>
      <c r="C620" s="2" t="str">
        <f>IFERROR(__xludf.DUMMYFUNCTION("""COMPUTED_VALUE"""),"CRZO")</f>
        <v>CRZO</v>
      </c>
      <c r="D620" s="2" t="str">
        <f>LEFT(B620,4)</f>
        <v>2015</v>
      </c>
      <c r="E620" s="2" t="str">
        <f>MID(B620,5,2)</f>
        <v>05</v>
      </c>
      <c r="F620" s="2" t="str">
        <f>RIGHT(B620,2)</f>
        <v>06</v>
      </c>
      <c r="G620" s="29">
        <f>DATE(D620,E620,F620)</f>
        <v>42130</v>
      </c>
      <c r="I620" s="2" t="s">
        <v>1242</v>
      </c>
    </row>
    <row r="621" hidden="1">
      <c r="A621" s="1" t="s">
        <v>642</v>
      </c>
      <c r="I621" s="2" t="s">
        <v>1243</v>
      </c>
    </row>
    <row r="622" hidden="1">
      <c r="A622" s="1" t="s">
        <v>643</v>
      </c>
      <c r="I622" s="2" t="s">
        <v>1244</v>
      </c>
    </row>
    <row r="623">
      <c r="A623" s="1" t="s">
        <v>1245</v>
      </c>
      <c r="B623" s="2">
        <f>IFERROR(__xludf.DUMMYFUNCTION("SPLIT(A623,""_"")"),2.0150506E7)</f>
        <v>20150506</v>
      </c>
      <c r="C623" s="2" t="str">
        <f>IFERROR(__xludf.DUMMYFUNCTION("""COMPUTED_VALUE"""),"DDD")</f>
        <v>DDD</v>
      </c>
      <c r="D623" s="2" t="str">
        <f>LEFT(B623,4)</f>
        <v>2015</v>
      </c>
      <c r="E623" s="2" t="str">
        <f>MID(B623,5,2)</f>
        <v>05</v>
      </c>
      <c r="F623" s="2" t="str">
        <f>RIGHT(B623,2)</f>
        <v>06</v>
      </c>
      <c r="G623" s="29">
        <f>DATE(D623,E623,F623)</f>
        <v>42130</v>
      </c>
    </row>
    <row r="624" hidden="1">
      <c r="A624" s="1" t="s">
        <v>642</v>
      </c>
    </row>
    <row r="625" hidden="1">
      <c r="A625" s="1" t="s">
        <v>643</v>
      </c>
    </row>
    <row r="626">
      <c r="A626" s="1" t="s">
        <v>1246</v>
      </c>
      <c r="B626" s="2">
        <f>IFERROR(__xludf.DUMMYFUNCTION("SPLIT(A626,""_"")"),2.0150506E7)</f>
        <v>20150506</v>
      </c>
      <c r="C626" s="2" t="str">
        <f>IFERROR(__xludf.DUMMYFUNCTION("""COMPUTED_VALUE"""),"HFC")</f>
        <v>HFC</v>
      </c>
      <c r="D626" s="2" t="str">
        <f>LEFT(B626,4)</f>
        <v>2015</v>
      </c>
      <c r="E626" s="2" t="str">
        <f>MID(B626,5,2)</f>
        <v>05</v>
      </c>
      <c r="F626" s="2" t="str">
        <f>RIGHT(B626,2)</f>
        <v>06</v>
      </c>
      <c r="G626" s="29">
        <f>DATE(D626,E626,F626)</f>
        <v>42130</v>
      </c>
    </row>
    <row r="627" hidden="1">
      <c r="A627" s="1" t="s">
        <v>642</v>
      </c>
    </row>
    <row r="628" hidden="1">
      <c r="A628" s="1" t="s">
        <v>643</v>
      </c>
    </row>
    <row r="629">
      <c r="A629" s="1" t="s">
        <v>1247</v>
      </c>
      <c r="B629" s="2">
        <f>IFERROR(__xludf.DUMMYFUNCTION("SPLIT(A629,""_"")"),2.0150506E7)</f>
        <v>20150506</v>
      </c>
      <c r="C629" s="2" t="str">
        <f>IFERROR(__xludf.DUMMYFUNCTION("""COMPUTED_VALUE"""),"HSC")</f>
        <v>HSC</v>
      </c>
      <c r="D629" s="2" t="str">
        <f>LEFT(B629,4)</f>
        <v>2015</v>
      </c>
      <c r="E629" s="2" t="str">
        <f>MID(B629,5,2)</f>
        <v>05</v>
      </c>
      <c r="F629" s="2" t="str">
        <f>RIGHT(B629,2)</f>
        <v>06</v>
      </c>
      <c r="G629" s="29">
        <f>DATE(D629,E629,F629)</f>
        <v>42130</v>
      </c>
    </row>
    <row r="630" hidden="1">
      <c r="A630" s="1" t="s">
        <v>642</v>
      </c>
    </row>
    <row r="631" hidden="1">
      <c r="A631" s="1" t="s">
        <v>643</v>
      </c>
    </row>
    <row r="632">
      <c r="A632" s="1" t="s">
        <v>1248</v>
      </c>
      <c r="B632" s="2">
        <f>IFERROR(__xludf.DUMMYFUNCTION("SPLIT(A632,""_"")"),2.0150506E7)</f>
        <v>20150506</v>
      </c>
      <c r="C632" s="2" t="str">
        <f>IFERROR(__xludf.DUMMYFUNCTION("""COMPUTED_VALUE"""),"LAMR")</f>
        <v>LAMR</v>
      </c>
      <c r="D632" s="2" t="str">
        <f>LEFT(B632,4)</f>
        <v>2015</v>
      </c>
      <c r="E632" s="2" t="str">
        <f>MID(B632,5,2)</f>
        <v>05</v>
      </c>
      <c r="F632" s="2" t="str">
        <f>RIGHT(B632,2)</f>
        <v>06</v>
      </c>
      <c r="G632" s="29">
        <f>DATE(D632,E632,F632)</f>
        <v>42130</v>
      </c>
    </row>
    <row r="633" hidden="1">
      <c r="A633" s="1" t="s">
        <v>642</v>
      </c>
    </row>
    <row r="634" hidden="1">
      <c r="A634" s="1" t="s">
        <v>643</v>
      </c>
    </row>
    <row r="635">
      <c r="A635" s="1" t="s">
        <v>1249</v>
      </c>
      <c r="B635" s="2">
        <f>IFERROR(__xludf.DUMMYFUNCTION("SPLIT(A635,""_"")"),2.0150506E7)</f>
        <v>20150506</v>
      </c>
      <c r="C635" s="2" t="str">
        <f>IFERROR(__xludf.DUMMYFUNCTION("""COMPUTED_VALUE"""),"MSI")</f>
        <v>MSI</v>
      </c>
      <c r="D635" s="2" t="str">
        <f>LEFT(B635,4)</f>
        <v>2015</v>
      </c>
      <c r="E635" s="2" t="str">
        <f>MID(B635,5,2)</f>
        <v>05</v>
      </c>
      <c r="F635" s="2" t="str">
        <f>RIGHT(B635,2)</f>
        <v>06</v>
      </c>
      <c r="G635" s="29">
        <f>DATE(D635,E635,F635)</f>
        <v>42130</v>
      </c>
    </row>
    <row r="636" hidden="1">
      <c r="A636" s="1" t="s">
        <v>642</v>
      </c>
    </row>
    <row r="637" hidden="1">
      <c r="A637" s="1" t="s">
        <v>643</v>
      </c>
    </row>
    <row r="638">
      <c r="A638" s="1" t="s">
        <v>1250</v>
      </c>
      <c r="B638" s="2">
        <f>IFERROR(__xludf.DUMMYFUNCTION("SPLIT(A638,""_"")"),2.0150506E7)</f>
        <v>20150506</v>
      </c>
      <c r="C638" s="2" t="str">
        <f>IFERROR(__xludf.DUMMYFUNCTION("""COMPUTED_VALUE"""),"NSIT")</f>
        <v>NSIT</v>
      </c>
      <c r="D638" s="2" t="str">
        <f>LEFT(B638,4)</f>
        <v>2015</v>
      </c>
      <c r="E638" s="2" t="str">
        <f>MID(B638,5,2)</f>
        <v>05</v>
      </c>
      <c r="F638" s="2" t="str">
        <f>RIGHT(B638,2)</f>
        <v>06</v>
      </c>
      <c r="G638" s="29">
        <f>DATE(D638,E638,F638)</f>
        <v>42130</v>
      </c>
    </row>
    <row r="639" hidden="1">
      <c r="A639" s="1" t="s">
        <v>642</v>
      </c>
    </row>
    <row r="640" hidden="1">
      <c r="A640" s="1" t="s">
        <v>643</v>
      </c>
    </row>
    <row r="641">
      <c r="A641" s="1" t="s">
        <v>1251</v>
      </c>
      <c r="B641" s="2">
        <f>IFERROR(__xludf.DUMMYFUNCTION("SPLIT(A641,""_"")"),2.0150506E7)</f>
        <v>20150506</v>
      </c>
      <c r="C641" s="2" t="str">
        <f>IFERROR(__xludf.DUMMYFUNCTION("""COMPUTED_VALUE"""),"RDC")</f>
        <v>RDC</v>
      </c>
      <c r="D641" s="2" t="str">
        <f>LEFT(B641,4)</f>
        <v>2015</v>
      </c>
      <c r="E641" s="2" t="str">
        <f>MID(B641,5,2)</f>
        <v>05</v>
      </c>
      <c r="F641" s="2" t="str">
        <f>RIGHT(B641,2)</f>
        <v>06</v>
      </c>
      <c r="G641" s="29">
        <f>DATE(D641,E641,F641)</f>
        <v>42130</v>
      </c>
    </row>
    <row r="642" hidden="1">
      <c r="A642" s="1" t="s">
        <v>642</v>
      </c>
    </row>
    <row r="643" hidden="1">
      <c r="A643" s="1" t="s">
        <v>643</v>
      </c>
    </row>
    <row r="644">
      <c r="A644" s="1" t="s">
        <v>1252</v>
      </c>
      <c r="B644" s="2">
        <f>IFERROR(__xludf.DUMMYFUNCTION("SPLIT(A644,""_"")"),2.0150506E7)</f>
        <v>20150506</v>
      </c>
      <c r="C644" s="2" t="str">
        <f>IFERROR(__xludf.DUMMYFUNCTION("""COMPUTED_VALUE"""),"SNH")</f>
        <v>SNH</v>
      </c>
      <c r="D644" s="2" t="str">
        <f>LEFT(B644,4)</f>
        <v>2015</v>
      </c>
      <c r="E644" s="2" t="str">
        <f>MID(B644,5,2)</f>
        <v>05</v>
      </c>
      <c r="F644" s="2" t="str">
        <f>RIGHT(B644,2)</f>
        <v>06</v>
      </c>
      <c r="G644" s="29">
        <f>DATE(D644,E644,F644)</f>
        <v>42130</v>
      </c>
    </row>
    <row r="645" hidden="1">
      <c r="A645" s="1" t="s">
        <v>642</v>
      </c>
    </row>
    <row r="646" hidden="1">
      <c r="A646" s="1" t="s">
        <v>643</v>
      </c>
    </row>
    <row r="647">
      <c r="A647" s="1" t="s">
        <v>1253</v>
      </c>
      <c r="B647" s="2">
        <f>IFERROR(__xludf.DUMMYFUNCTION("SPLIT(A647,""_"")"),2.0150506E7)</f>
        <v>20150506</v>
      </c>
      <c r="C647" s="2" t="str">
        <f>IFERROR(__xludf.DUMMYFUNCTION("""COMPUTED_VALUE"""),"VECO")</f>
        <v>VECO</v>
      </c>
      <c r="D647" s="2" t="str">
        <f>LEFT(B647,4)</f>
        <v>2015</v>
      </c>
      <c r="E647" s="2" t="str">
        <f>MID(B647,5,2)</f>
        <v>05</v>
      </c>
      <c r="F647" s="2" t="str">
        <f>RIGHT(B647,2)</f>
        <v>06</v>
      </c>
      <c r="G647" s="29">
        <f>DATE(D647,E647,F647)</f>
        <v>42130</v>
      </c>
    </row>
    <row r="648" hidden="1">
      <c r="A648" s="1" t="s">
        <v>642</v>
      </c>
    </row>
    <row r="649" hidden="1">
      <c r="A649" s="1" t="s">
        <v>643</v>
      </c>
    </row>
    <row r="650">
      <c r="A650" s="1" t="s">
        <v>1254</v>
      </c>
      <c r="B650" s="2">
        <f>IFERROR(__xludf.DUMMYFUNCTION("SPLIT(A650,""_"")"),2.0150506E7)</f>
        <v>20150506</v>
      </c>
      <c r="C650" s="2" t="str">
        <f>IFERROR(__xludf.DUMMYFUNCTION("""COMPUTED_VALUE"""),"VSI")</f>
        <v>VSI</v>
      </c>
      <c r="D650" s="2" t="str">
        <f>LEFT(B650,4)</f>
        <v>2015</v>
      </c>
      <c r="E650" s="2" t="str">
        <f>MID(B650,5,2)</f>
        <v>05</v>
      </c>
      <c r="F650" s="2" t="str">
        <f>RIGHT(B650,2)</f>
        <v>06</v>
      </c>
      <c r="G650" s="29">
        <f>DATE(D650,E650,F650)</f>
        <v>42130</v>
      </c>
    </row>
    <row r="651" hidden="1">
      <c r="A651" s="1" t="s">
        <v>642</v>
      </c>
    </row>
    <row r="652" hidden="1">
      <c r="A652" s="1" t="s">
        <v>643</v>
      </c>
    </row>
    <row r="653">
      <c r="A653" s="1" t="s">
        <v>1255</v>
      </c>
      <c r="B653" s="2">
        <f>IFERROR(__xludf.DUMMYFUNCTION("SPLIT(A653,""_"")"),2.0150506E7)</f>
        <v>20150506</v>
      </c>
      <c r="C653" s="2" t="str">
        <f>IFERROR(__xludf.DUMMYFUNCTION("""COMPUTED_VALUE"""),"WD")</f>
        <v>WD</v>
      </c>
      <c r="D653" s="2" t="str">
        <f>LEFT(B653,4)</f>
        <v>2015</v>
      </c>
      <c r="E653" s="2" t="str">
        <f>MID(B653,5,2)</f>
        <v>05</v>
      </c>
      <c r="F653" s="2" t="str">
        <f>RIGHT(B653,2)</f>
        <v>06</v>
      </c>
      <c r="G653" s="29">
        <f>DATE(D653,E653,F653)</f>
        <v>42130</v>
      </c>
    </row>
    <row r="654" hidden="1">
      <c r="A654" s="1" t="s">
        <v>642</v>
      </c>
    </row>
    <row r="655" hidden="1">
      <c r="A655" s="1" t="s">
        <v>643</v>
      </c>
    </row>
    <row r="656">
      <c r="A656" s="1" t="s">
        <v>1256</v>
      </c>
      <c r="B656" s="2">
        <f>IFERROR(__xludf.DUMMYFUNCTION("SPLIT(A656,""_"")"),2.0150507E7)</f>
        <v>20150507</v>
      </c>
      <c r="C656" s="2" t="str">
        <f>IFERROR(__xludf.DUMMYFUNCTION("""COMPUTED_VALUE"""),"ALEX")</f>
        <v>ALEX</v>
      </c>
      <c r="D656" s="2" t="str">
        <f>LEFT(B656,4)</f>
        <v>2015</v>
      </c>
      <c r="E656" s="2" t="str">
        <f>MID(B656,5,2)</f>
        <v>05</v>
      </c>
      <c r="F656" s="2" t="str">
        <f>RIGHT(B656,2)</f>
        <v>07</v>
      </c>
      <c r="G656" s="29">
        <f>DATE(D656,E656,F656)</f>
        <v>42131</v>
      </c>
    </row>
    <row r="657" hidden="1">
      <c r="A657" s="1" t="s">
        <v>642</v>
      </c>
    </row>
    <row r="658" hidden="1">
      <c r="A658" s="1" t="s">
        <v>643</v>
      </c>
    </row>
    <row r="659">
      <c r="A659" s="1" t="s">
        <v>1257</v>
      </c>
      <c r="B659" s="2">
        <f>IFERROR(__xludf.DUMMYFUNCTION("SPLIT(A659,""_"")"),2.0150507E7)</f>
        <v>20150507</v>
      </c>
      <c r="C659" s="2" t="str">
        <f>IFERROR(__xludf.DUMMYFUNCTION("""COMPUTED_VALUE"""),"BKNG")</f>
        <v>BKNG</v>
      </c>
      <c r="D659" s="2" t="str">
        <f>LEFT(B659,4)</f>
        <v>2015</v>
      </c>
      <c r="E659" s="2" t="str">
        <f>MID(B659,5,2)</f>
        <v>05</v>
      </c>
      <c r="F659" s="2" t="str">
        <f>RIGHT(B659,2)</f>
        <v>07</v>
      </c>
      <c r="G659" s="29">
        <f>DATE(D659,E659,F659)</f>
        <v>42131</v>
      </c>
    </row>
    <row r="660" hidden="1">
      <c r="A660" s="1" t="s">
        <v>642</v>
      </c>
    </row>
    <row r="661" hidden="1">
      <c r="A661" s="1" t="s">
        <v>643</v>
      </c>
    </row>
    <row r="662">
      <c r="A662" s="1" t="s">
        <v>1258</v>
      </c>
      <c r="B662" s="2">
        <f>IFERROR(__xludf.DUMMYFUNCTION("SPLIT(A662,""_"")"),2.0150507E7)</f>
        <v>20150507</v>
      </c>
      <c r="C662" s="2" t="str">
        <f>IFERROR(__xludf.DUMMYFUNCTION("""COMPUTED_VALUE"""),"CBB")</f>
        <v>CBB</v>
      </c>
      <c r="D662" s="2" t="str">
        <f>LEFT(B662,4)</f>
        <v>2015</v>
      </c>
      <c r="E662" s="2" t="str">
        <f>MID(B662,5,2)</f>
        <v>05</v>
      </c>
      <c r="F662" s="2" t="str">
        <f>RIGHT(B662,2)</f>
        <v>07</v>
      </c>
      <c r="G662" s="29">
        <f>DATE(D662,E662,F662)</f>
        <v>42131</v>
      </c>
    </row>
    <row r="663" hidden="1">
      <c r="A663" s="1" t="s">
        <v>642</v>
      </c>
    </row>
    <row r="664" hidden="1">
      <c r="A664" s="1" t="s">
        <v>643</v>
      </c>
    </row>
    <row r="665">
      <c r="A665" s="1" t="s">
        <v>1259</v>
      </c>
      <c r="B665" s="2">
        <f>IFERROR(__xludf.DUMMYFUNCTION("SPLIT(A665,""_"")"),2.0150507E7)</f>
        <v>20150507</v>
      </c>
      <c r="C665" s="2" t="str">
        <f>IFERROR(__xludf.DUMMYFUNCTION("""COMPUTED_VALUE"""),"CNK")</f>
        <v>CNK</v>
      </c>
      <c r="D665" s="2" t="str">
        <f>LEFT(B665,4)</f>
        <v>2015</v>
      </c>
      <c r="E665" s="2" t="str">
        <f>MID(B665,5,2)</f>
        <v>05</v>
      </c>
      <c r="F665" s="2" t="str">
        <f>RIGHT(B665,2)</f>
        <v>07</v>
      </c>
      <c r="G665" s="29">
        <f>DATE(D665,E665,F665)</f>
        <v>42131</v>
      </c>
    </row>
    <row r="666" hidden="1">
      <c r="A666" s="1" t="s">
        <v>642</v>
      </c>
    </row>
    <row r="667" hidden="1">
      <c r="A667" s="1" t="s">
        <v>643</v>
      </c>
    </row>
    <row r="668">
      <c r="A668" s="1" t="s">
        <v>1260</v>
      </c>
      <c r="B668" s="2">
        <f>IFERROR(__xludf.DUMMYFUNCTION("SPLIT(A668,""_"")"),2.0150507E7)</f>
        <v>20150507</v>
      </c>
      <c r="C668" s="2" t="str">
        <f>IFERROR(__xludf.DUMMYFUNCTION("""COMPUTED_VALUE"""),"CNSL")</f>
        <v>CNSL</v>
      </c>
      <c r="D668" s="2" t="str">
        <f>LEFT(B668,4)</f>
        <v>2015</v>
      </c>
      <c r="E668" s="2" t="str">
        <f>MID(B668,5,2)</f>
        <v>05</v>
      </c>
      <c r="F668" s="2" t="str">
        <f>RIGHT(B668,2)</f>
        <v>07</v>
      </c>
      <c r="G668" s="29">
        <f>DATE(D668,E668,F668)</f>
        <v>42131</v>
      </c>
    </row>
    <row r="669" hidden="1">
      <c r="A669" s="1" t="s">
        <v>642</v>
      </c>
    </row>
    <row r="670" hidden="1">
      <c r="A670" s="1" t="s">
        <v>643</v>
      </c>
    </row>
    <row r="671">
      <c r="A671" s="1" t="s">
        <v>1261</v>
      </c>
      <c r="B671" s="2">
        <f>IFERROR(__xludf.DUMMYFUNCTION("SPLIT(A671,""_"")"),2.0150507E7)</f>
        <v>20150507</v>
      </c>
      <c r="C671" s="2" t="str">
        <f>IFERROR(__xludf.DUMMYFUNCTION("""COMPUTED_VALUE"""),"CUTR")</f>
        <v>CUTR</v>
      </c>
      <c r="D671" s="2" t="str">
        <f>LEFT(B671,4)</f>
        <v>2015</v>
      </c>
      <c r="E671" s="2" t="str">
        <f>MID(B671,5,2)</f>
        <v>05</v>
      </c>
      <c r="F671" s="2" t="str">
        <f>RIGHT(B671,2)</f>
        <v>07</v>
      </c>
      <c r="G671" s="29">
        <f>DATE(D671,E671,F671)</f>
        <v>42131</v>
      </c>
    </row>
    <row r="672" hidden="1">
      <c r="A672" s="1" t="s">
        <v>642</v>
      </c>
    </row>
    <row r="673" hidden="1">
      <c r="A673" s="1" t="s">
        <v>643</v>
      </c>
    </row>
    <row r="674">
      <c r="A674" s="1" t="s">
        <v>1262</v>
      </c>
      <c r="B674" s="2">
        <f>IFERROR(__xludf.DUMMYFUNCTION("SPLIT(A674,""_"")"),2.0150507E7)</f>
        <v>20150507</v>
      </c>
      <c r="C674" s="2" t="str">
        <f>IFERROR(__xludf.DUMMYFUNCTION("""COMPUTED_VALUE"""),"EBS")</f>
        <v>EBS</v>
      </c>
      <c r="D674" s="2" t="str">
        <f>LEFT(B674,4)</f>
        <v>2015</v>
      </c>
      <c r="E674" s="2" t="str">
        <f>MID(B674,5,2)</f>
        <v>05</v>
      </c>
      <c r="F674" s="2" t="str">
        <f>RIGHT(B674,2)</f>
        <v>07</v>
      </c>
      <c r="G674" s="29">
        <f>DATE(D674,E674,F674)</f>
        <v>42131</v>
      </c>
    </row>
    <row r="675" hidden="1">
      <c r="A675" s="1" t="s">
        <v>642</v>
      </c>
    </row>
    <row r="676" hidden="1">
      <c r="A676" s="1" t="s">
        <v>643</v>
      </c>
    </row>
    <row r="677">
      <c r="A677" s="1" t="s">
        <v>1263</v>
      </c>
      <c r="B677" s="2">
        <f>IFERROR(__xludf.DUMMYFUNCTION("SPLIT(A677,""_"")"),2.0150507E7)</f>
        <v>20150507</v>
      </c>
      <c r="C677" s="2" t="str">
        <f>IFERROR(__xludf.DUMMYFUNCTION("""COMPUTED_VALUE"""),"GDOT")</f>
        <v>GDOT</v>
      </c>
      <c r="D677" s="2" t="str">
        <f>LEFT(B677,4)</f>
        <v>2015</v>
      </c>
      <c r="E677" s="2" t="str">
        <f>MID(B677,5,2)</f>
        <v>05</v>
      </c>
      <c r="F677" s="2" t="str">
        <f>RIGHT(B677,2)</f>
        <v>07</v>
      </c>
      <c r="G677" s="29">
        <f>DATE(D677,E677,F677)</f>
        <v>42131</v>
      </c>
    </row>
    <row r="678" hidden="1">
      <c r="A678" s="1" t="s">
        <v>642</v>
      </c>
    </row>
    <row r="679" hidden="1">
      <c r="A679" s="1" t="s">
        <v>643</v>
      </c>
    </row>
    <row r="680">
      <c r="A680" s="1" t="s">
        <v>1264</v>
      </c>
      <c r="B680" s="2">
        <f>IFERROR(__xludf.DUMMYFUNCTION("SPLIT(A680,""_"")"),2.0150507E7)</f>
        <v>20150507</v>
      </c>
      <c r="C680" s="2" t="str">
        <f>IFERROR(__xludf.DUMMYFUNCTION("""COMPUTED_VALUE"""),"ILG")</f>
        <v>ILG</v>
      </c>
      <c r="D680" s="2" t="str">
        <f>LEFT(B680,4)</f>
        <v>2015</v>
      </c>
      <c r="E680" s="2" t="str">
        <f>MID(B680,5,2)</f>
        <v>05</v>
      </c>
      <c r="F680" s="2" t="str">
        <f>RIGHT(B680,2)</f>
        <v>07</v>
      </c>
      <c r="G680" s="29">
        <f>DATE(D680,E680,F680)</f>
        <v>42131</v>
      </c>
    </row>
    <row r="681" hidden="1">
      <c r="A681" s="1" t="s">
        <v>642</v>
      </c>
    </row>
    <row r="682" hidden="1">
      <c r="A682" s="1" t="s">
        <v>643</v>
      </c>
    </row>
    <row r="683">
      <c r="A683" s="1" t="s">
        <v>1265</v>
      </c>
      <c r="B683" s="2">
        <f>IFERROR(__xludf.DUMMYFUNCTION("SPLIT(A683,""_"")"),2.0150507E7)</f>
        <v>20150507</v>
      </c>
      <c r="C683" s="2" t="str">
        <f>IFERROR(__xludf.DUMMYFUNCTION("""COMPUTED_VALUE"""),"JCOM")</f>
        <v>JCOM</v>
      </c>
      <c r="D683" s="2" t="str">
        <f>LEFT(B683,4)</f>
        <v>2015</v>
      </c>
      <c r="E683" s="2" t="str">
        <f>MID(B683,5,2)</f>
        <v>05</v>
      </c>
      <c r="F683" s="2" t="str">
        <f>RIGHT(B683,2)</f>
        <v>07</v>
      </c>
      <c r="G683" s="29">
        <f>DATE(D683,E683,F683)</f>
        <v>42131</v>
      </c>
    </row>
    <row r="684" hidden="1">
      <c r="A684" s="1" t="s">
        <v>642</v>
      </c>
    </row>
    <row r="685" hidden="1">
      <c r="A685" s="1" t="s">
        <v>643</v>
      </c>
    </row>
    <row r="686">
      <c r="A686" s="1" t="s">
        <v>1266</v>
      </c>
      <c r="B686" s="2">
        <f>IFERROR(__xludf.DUMMYFUNCTION("SPLIT(A686,""_"")"),2.0150507E7)</f>
        <v>20150507</v>
      </c>
      <c r="C686" s="2" t="str">
        <f>IFERROR(__xludf.DUMMYFUNCTION("""COMPUTED_VALUE"""),"MTD")</f>
        <v>MTD</v>
      </c>
      <c r="D686" s="2" t="str">
        <f>LEFT(B686,4)</f>
        <v>2015</v>
      </c>
      <c r="E686" s="2" t="str">
        <f>MID(B686,5,2)</f>
        <v>05</v>
      </c>
      <c r="F686" s="2" t="str">
        <f>RIGHT(B686,2)</f>
        <v>07</v>
      </c>
      <c r="G686" s="29">
        <f>DATE(D686,E686,F686)</f>
        <v>42131</v>
      </c>
    </row>
    <row r="687" hidden="1">
      <c r="A687" s="1" t="s">
        <v>642</v>
      </c>
    </row>
    <row r="688" hidden="1">
      <c r="A688" s="1" t="s">
        <v>643</v>
      </c>
    </row>
    <row r="689">
      <c r="A689" s="1" t="s">
        <v>1267</v>
      </c>
      <c r="B689" s="2">
        <f>IFERROR(__xludf.DUMMYFUNCTION("SPLIT(A689,""_"")"),2.0150507E7)</f>
        <v>20150507</v>
      </c>
      <c r="C689" s="2" t="str">
        <f>IFERROR(__xludf.DUMMYFUNCTION("""COMPUTED_VALUE"""),"NVDA")</f>
        <v>NVDA</v>
      </c>
      <c r="D689" s="2" t="str">
        <f>LEFT(B689,4)</f>
        <v>2015</v>
      </c>
      <c r="E689" s="2" t="str">
        <f>MID(B689,5,2)</f>
        <v>05</v>
      </c>
      <c r="F689" s="2" t="str">
        <f>RIGHT(B689,2)</f>
        <v>07</v>
      </c>
      <c r="G689" s="29">
        <f>DATE(D689,E689,F689)</f>
        <v>42131</v>
      </c>
    </row>
    <row r="690" hidden="1">
      <c r="A690" s="1" t="s">
        <v>642</v>
      </c>
    </row>
    <row r="691" hidden="1">
      <c r="A691" s="1" t="s">
        <v>643</v>
      </c>
    </row>
    <row r="692">
      <c r="A692" s="1" t="s">
        <v>1268</v>
      </c>
      <c r="B692" s="2">
        <f>IFERROR(__xludf.DUMMYFUNCTION("SPLIT(A692,""_"")"),2.0150507E7)</f>
        <v>20150507</v>
      </c>
      <c r="C692" s="2" t="str">
        <f>IFERROR(__xludf.DUMMYFUNCTION("""COMPUTED_VALUE"""),"ROCK")</f>
        <v>ROCK</v>
      </c>
      <c r="D692" s="2" t="str">
        <f>LEFT(B692,4)</f>
        <v>2015</v>
      </c>
      <c r="E692" s="2" t="str">
        <f>MID(B692,5,2)</f>
        <v>05</v>
      </c>
      <c r="F692" s="2" t="str">
        <f>RIGHT(B692,2)</f>
        <v>07</v>
      </c>
      <c r="G692" s="29">
        <f>DATE(D692,E692,F692)</f>
        <v>42131</v>
      </c>
    </row>
    <row r="693" hidden="1">
      <c r="A693" s="1" t="s">
        <v>642</v>
      </c>
    </row>
    <row r="694" hidden="1">
      <c r="A694" s="1" t="s">
        <v>643</v>
      </c>
    </row>
    <row r="695">
      <c r="A695" s="1" t="s">
        <v>1269</v>
      </c>
      <c r="B695" s="2">
        <f>IFERROR(__xludf.DUMMYFUNCTION("SPLIT(A695,""_"")"),2.0150507E7)</f>
        <v>20150507</v>
      </c>
      <c r="C695" s="2" t="str">
        <f>IFERROR(__xludf.DUMMYFUNCTION("""COMPUTED_VALUE"""),"SPPI")</f>
        <v>SPPI</v>
      </c>
      <c r="D695" s="2" t="str">
        <f>LEFT(B695,4)</f>
        <v>2015</v>
      </c>
      <c r="E695" s="2" t="str">
        <f>MID(B695,5,2)</f>
        <v>05</v>
      </c>
      <c r="F695" s="2" t="str">
        <f>RIGHT(B695,2)</f>
        <v>07</v>
      </c>
      <c r="G695" s="29">
        <f>DATE(D695,E695,F695)</f>
        <v>42131</v>
      </c>
    </row>
    <row r="696" hidden="1">
      <c r="A696" s="1" t="s">
        <v>642</v>
      </c>
    </row>
    <row r="697" hidden="1">
      <c r="A697" s="1" t="s">
        <v>643</v>
      </c>
    </row>
    <row r="698">
      <c r="A698" s="1" t="s">
        <v>1270</v>
      </c>
      <c r="B698" s="2">
        <f>IFERROR(__xludf.DUMMYFUNCTION("SPLIT(A698,""_"")"),2.0150507E7)</f>
        <v>20150507</v>
      </c>
      <c r="C698" s="2" t="str">
        <f>IFERROR(__xludf.DUMMYFUNCTION("""COMPUTED_VALUE"""),"TAP")</f>
        <v>TAP</v>
      </c>
      <c r="D698" s="2" t="str">
        <f>LEFT(B698,4)</f>
        <v>2015</v>
      </c>
      <c r="E698" s="2" t="str">
        <f>MID(B698,5,2)</f>
        <v>05</v>
      </c>
      <c r="F698" s="2" t="str">
        <f>RIGHT(B698,2)</f>
        <v>07</v>
      </c>
      <c r="G698" s="29">
        <f>DATE(D698,E698,F698)</f>
        <v>42131</v>
      </c>
    </row>
    <row r="699" hidden="1">
      <c r="A699" s="1" t="s">
        <v>642</v>
      </c>
    </row>
    <row r="700" hidden="1">
      <c r="A700" s="1" t="s">
        <v>643</v>
      </c>
    </row>
    <row r="701">
      <c r="A701" s="1" t="s">
        <v>1271</v>
      </c>
      <c r="B701" s="2">
        <f>IFERROR(__xludf.DUMMYFUNCTION("SPLIT(A701,""_"")"),2.0150508E7)</f>
        <v>20150508</v>
      </c>
      <c r="C701" s="2" t="str">
        <f>IFERROR(__xludf.DUMMYFUNCTION("""COMPUTED_VALUE"""),"CROX")</f>
        <v>CROX</v>
      </c>
      <c r="D701" s="2" t="str">
        <f>LEFT(B701,4)</f>
        <v>2015</v>
      </c>
      <c r="E701" s="2" t="str">
        <f>MID(B701,5,2)</f>
        <v>05</v>
      </c>
      <c r="F701" s="2" t="str">
        <f>RIGHT(B701,2)</f>
        <v>08</v>
      </c>
      <c r="G701" s="29">
        <f>DATE(D701,E701,F701)</f>
        <v>42132</v>
      </c>
    </row>
    <row r="702" hidden="1">
      <c r="A702" s="1" t="s">
        <v>642</v>
      </c>
    </row>
    <row r="703" hidden="1">
      <c r="A703" s="1" t="s">
        <v>643</v>
      </c>
    </row>
    <row r="704">
      <c r="A704" s="1" t="s">
        <v>1272</v>
      </c>
      <c r="B704" s="2">
        <f>IFERROR(__xludf.DUMMYFUNCTION("SPLIT(A704,""_"")"),2.0150508E7)</f>
        <v>20150508</v>
      </c>
      <c r="C704" s="2" t="str">
        <f>IFERROR(__xludf.DUMMYFUNCTION("""COMPUTED_VALUE"""),"EBIX")</f>
        <v>EBIX</v>
      </c>
      <c r="D704" s="2" t="str">
        <f>LEFT(B704,4)</f>
        <v>2015</v>
      </c>
      <c r="E704" s="2" t="str">
        <f>MID(B704,5,2)</f>
        <v>05</v>
      </c>
      <c r="F704" s="2" t="str">
        <f>RIGHT(B704,2)</f>
        <v>08</v>
      </c>
      <c r="G704" s="29">
        <f>DATE(D704,E704,F704)</f>
        <v>42132</v>
      </c>
    </row>
    <row r="705" hidden="1">
      <c r="A705" s="1" t="s">
        <v>642</v>
      </c>
    </row>
    <row r="706" hidden="1">
      <c r="A706" s="1" t="s">
        <v>643</v>
      </c>
    </row>
    <row r="707">
      <c r="A707" s="1" t="s">
        <v>1273</v>
      </c>
      <c r="B707" s="2">
        <f>IFERROR(__xludf.DUMMYFUNCTION("SPLIT(A707,""_"")"),2.0150508E7)</f>
        <v>20150508</v>
      </c>
      <c r="C707" s="2" t="str">
        <f>IFERROR(__xludf.DUMMYFUNCTION("""COMPUTED_VALUE"""),"SSP")</f>
        <v>SSP</v>
      </c>
      <c r="D707" s="2" t="str">
        <f>LEFT(B707,4)</f>
        <v>2015</v>
      </c>
      <c r="E707" s="2" t="str">
        <f>MID(B707,5,2)</f>
        <v>05</v>
      </c>
      <c r="F707" s="2" t="str">
        <f>RIGHT(B707,2)</f>
        <v>08</v>
      </c>
      <c r="G707" s="29">
        <f>DATE(D707,E707,F707)</f>
        <v>42132</v>
      </c>
    </row>
    <row r="708" hidden="1">
      <c r="A708" s="1" t="s">
        <v>642</v>
      </c>
    </row>
    <row r="709" hidden="1">
      <c r="A709" s="1" t="s">
        <v>643</v>
      </c>
    </row>
    <row r="710">
      <c r="A710" s="1" t="s">
        <v>1274</v>
      </c>
      <c r="B710" s="2">
        <f>IFERROR(__xludf.DUMMYFUNCTION("SPLIT(A710,""_"")"),2.0150508E7)</f>
        <v>20150508</v>
      </c>
      <c r="C710" s="2" t="str">
        <f>IFERROR(__xludf.DUMMYFUNCTION("""COMPUTED_VALUE"""),"TREX")</f>
        <v>TREX</v>
      </c>
      <c r="D710" s="2" t="str">
        <f>LEFT(B710,4)</f>
        <v>2015</v>
      </c>
      <c r="E710" s="2" t="str">
        <f>MID(B710,5,2)</f>
        <v>05</v>
      </c>
      <c r="F710" s="2" t="str">
        <f>RIGHT(B710,2)</f>
        <v>08</v>
      </c>
      <c r="G710" s="29">
        <f>DATE(D710,E710,F710)</f>
        <v>42132</v>
      </c>
    </row>
    <row r="711" hidden="1">
      <c r="A711" s="1" t="s">
        <v>642</v>
      </c>
    </row>
    <row r="712" hidden="1">
      <c r="A712" s="1" t="s">
        <v>643</v>
      </c>
    </row>
    <row r="713">
      <c r="A713" s="1" t="s">
        <v>1275</v>
      </c>
      <c r="B713" s="2">
        <f>IFERROR(__xludf.DUMMYFUNCTION("SPLIT(A713,""_"")"),2.0150508E7)</f>
        <v>20150508</v>
      </c>
      <c r="C713" s="2" t="str">
        <f>IFERROR(__xludf.DUMMYFUNCTION("""COMPUTED_VALUE"""),"WELL")</f>
        <v>WELL</v>
      </c>
      <c r="D713" s="2" t="str">
        <f>LEFT(B713,4)</f>
        <v>2015</v>
      </c>
      <c r="E713" s="2" t="str">
        <f>MID(B713,5,2)</f>
        <v>05</v>
      </c>
      <c r="F713" s="2" t="str">
        <f>RIGHT(B713,2)</f>
        <v>08</v>
      </c>
      <c r="G713" s="29">
        <f>DATE(D713,E713,F713)</f>
        <v>42132</v>
      </c>
    </row>
    <row r="714" hidden="1">
      <c r="A714" s="1" t="s">
        <v>642</v>
      </c>
    </row>
    <row r="715" hidden="1">
      <c r="A715" s="1" t="s">
        <v>643</v>
      </c>
    </row>
    <row r="716">
      <c r="A716" s="1" t="s">
        <v>1276</v>
      </c>
      <c r="B716" s="2">
        <f>IFERROR(__xludf.DUMMYFUNCTION("SPLIT(A716,""_"")"),2.0150511E7)</f>
        <v>20150511</v>
      </c>
      <c r="C716" s="2" t="str">
        <f>IFERROR(__xludf.DUMMYFUNCTION("""COMPUTED_VALUE"""),"BID")</f>
        <v>BID</v>
      </c>
      <c r="D716" s="2" t="str">
        <f>LEFT(B716,4)</f>
        <v>2015</v>
      </c>
      <c r="E716" s="2" t="str">
        <f>MID(B716,5,2)</f>
        <v>05</v>
      </c>
      <c r="F716" s="2" t="str">
        <f>RIGHT(B716,2)</f>
        <v>11</v>
      </c>
      <c r="G716" s="29">
        <f>DATE(D716,E716,F716)</f>
        <v>42135</v>
      </c>
    </row>
    <row r="717" hidden="1">
      <c r="A717" s="1" t="s">
        <v>642</v>
      </c>
    </row>
    <row r="718" hidden="1">
      <c r="A718" s="1" t="s">
        <v>643</v>
      </c>
    </row>
    <row r="719">
      <c r="A719" s="1" t="s">
        <v>1277</v>
      </c>
      <c r="B719" s="2">
        <f>IFERROR(__xludf.DUMMYFUNCTION("SPLIT(A719,""_"")"),2.0150511E7)</f>
        <v>20150511</v>
      </c>
      <c r="C719" s="2" t="str">
        <f>IFERROR(__xludf.DUMMYFUNCTION("""COMPUTED_VALUE"""),"ENDP")</f>
        <v>ENDP</v>
      </c>
      <c r="D719" s="2" t="str">
        <f>LEFT(B719,4)</f>
        <v>2015</v>
      </c>
      <c r="E719" s="2" t="str">
        <f>MID(B719,5,2)</f>
        <v>05</v>
      </c>
      <c r="F719" s="2" t="str">
        <f>RIGHT(B719,2)</f>
        <v>11</v>
      </c>
      <c r="G719" s="29">
        <f>DATE(D719,E719,F719)</f>
        <v>42135</v>
      </c>
    </row>
    <row r="720" hidden="1">
      <c r="A720" s="1" t="s">
        <v>642</v>
      </c>
    </row>
    <row r="721" hidden="1">
      <c r="A721" s="1" t="s">
        <v>643</v>
      </c>
    </row>
    <row r="722">
      <c r="A722" s="1" t="s">
        <v>1278</v>
      </c>
      <c r="B722" s="2">
        <f>IFERROR(__xludf.DUMMYFUNCTION("SPLIT(A722,""_"")"),2.0150511E7)</f>
        <v>20150511</v>
      </c>
      <c r="C722" s="2" t="str">
        <f>IFERROR(__xludf.DUMMYFUNCTION("""COMPUTED_VALUE"""),"GTY")</f>
        <v>GTY</v>
      </c>
      <c r="D722" s="2" t="str">
        <f>LEFT(B722,4)</f>
        <v>2015</v>
      </c>
      <c r="E722" s="2" t="str">
        <f>MID(B722,5,2)</f>
        <v>05</v>
      </c>
      <c r="F722" s="2" t="str">
        <f>RIGHT(B722,2)</f>
        <v>11</v>
      </c>
      <c r="G722" s="29">
        <f>DATE(D722,E722,F722)</f>
        <v>42135</v>
      </c>
    </row>
    <row r="723" hidden="1">
      <c r="A723" s="1" t="s">
        <v>642</v>
      </c>
    </row>
    <row r="724" hidden="1">
      <c r="A724" s="1" t="s">
        <v>643</v>
      </c>
    </row>
    <row r="725">
      <c r="A725" s="1" t="s">
        <v>1279</v>
      </c>
      <c r="B725" s="2">
        <f>IFERROR(__xludf.DUMMYFUNCTION("SPLIT(A725,""_"")"),2.0150511E7)</f>
        <v>20150511</v>
      </c>
      <c r="C725" s="2" t="str">
        <f>IFERROR(__xludf.DUMMYFUNCTION("""COMPUTED_VALUE"""),"RBC")</f>
        <v>RBC</v>
      </c>
      <c r="D725" s="2" t="str">
        <f>LEFT(B725,4)</f>
        <v>2015</v>
      </c>
      <c r="E725" s="2" t="str">
        <f>MID(B725,5,2)</f>
        <v>05</v>
      </c>
      <c r="F725" s="2" t="str">
        <f>RIGHT(B725,2)</f>
        <v>11</v>
      </c>
      <c r="G725" s="29">
        <f>DATE(D725,E725,F725)</f>
        <v>42135</v>
      </c>
    </row>
    <row r="726" hidden="1">
      <c r="A726" s="1" t="s">
        <v>642</v>
      </c>
    </row>
    <row r="727" hidden="1">
      <c r="A727" s="1" t="s">
        <v>643</v>
      </c>
    </row>
    <row r="728">
      <c r="A728" s="1" t="s">
        <v>1280</v>
      </c>
      <c r="B728" s="2">
        <f>IFERROR(__xludf.DUMMYFUNCTION("SPLIT(A728,""_"")"),2.0150512E7)</f>
        <v>20150512</v>
      </c>
      <c r="C728" s="2" t="str">
        <f>IFERROR(__xludf.DUMMYFUNCTION("""COMPUTED_VALUE"""),"IFF")</f>
        <v>IFF</v>
      </c>
      <c r="D728" s="2" t="str">
        <f>LEFT(B728,4)</f>
        <v>2015</v>
      </c>
      <c r="E728" s="2" t="str">
        <f>MID(B728,5,2)</f>
        <v>05</v>
      </c>
      <c r="F728" s="2" t="str">
        <f>RIGHT(B728,2)</f>
        <v>12</v>
      </c>
      <c r="G728" s="29">
        <f>DATE(D728,E728,F728)</f>
        <v>42136</v>
      </c>
    </row>
    <row r="729" hidden="1">
      <c r="A729" s="1" t="s">
        <v>642</v>
      </c>
    </row>
    <row r="730" hidden="1">
      <c r="A730" s="1" t="s">
        <v>643</v>
      </c>
    </row>
    <row r="731">
      <c r="A731" s="1" t="s">
        <v>1281</v>
      </c>
      <c r="B731" s="2">
        <f>IFERROR(__xludf.DUMMYFUNCTION("SPLIT(A731,""_"")"),2.0150512E7)</f>
        <v>20150512</v>
      </c>
      <c r="C731" s="2" t="str">
        <f>IFERROR(__xludf.DUMMYFUNCTION("""COMPUTED_VALUE"""),"MCK")</f>
        <v>MCK</v>
      </c>
      <c r="D731" s="2" t="str">
        <f>LEFT(B731,4)</f>
        <v>2015</v>
      </c>
      <c r="E731" s="2" t="str">
        <f>MID(B731,5,2)</f>
        <v>05</v>
      </c>
      <c r="F731" s="2" t="str">
        <f>RIGHT(B731,2)</f>
        <v>12</v>
      </c>
      <c r="G731" s="29">
        <f>DATE(D731,E731,F731)</f>
        <v>42136</v>
      </c>
    </row>
    <row r="732" hidden="1">
      <c r="A732" s="1" t="s">
        <v>642</v>
      </c>
    </row>
    <row r="733" hidden="1">
      <c r="A733" s="1" t="s">
        <v>643</v>
      </c>
    </row>
    <row r="734">
      <c r="A734" s="1" t="s">
        <v>1282</v>
      </c>
      <c r="B734" s="2">
        <f>IFERROR(__xludf.DUMMYFUNCTION("SPLIT(A734,""_"")"),2.0150513E7)</f>
        <v>20150513</v>
      </c>
      <c r="C734" s="2" t="str">
        <f>IFERROR(__xludf.DUMMYFUNCTION("""COMPUTED_VALUE"""),"JCP")</f>
        <v>JCP</v>
      </c>
      <c r="D734" s="2" t="str">
        <f>LEFT(B734,4)</f>
        <v>2015</v>
      </c>
      <c r="E734" s="2" t="str">
        <f>MID(B734,5,2)</f>
        <v>05</v>
      </c>
      <c r="F734" s="2" t="str">
        <f>RIGHT(B734,2)</f>
        <v>13</v>
      </c>
      <c r="G734" s="29">
        <f>DATE(D734,E734,F734)</f>
        <v>42137</v>
      </c>
    </row>
    <row r="735" hidden="1">
      <c r="A735" s="1" t="s">
        <v>642</v>
      </c>
    </row>
    <row r="736" hidden="1">
      <c r="A736" s="1" t="s">
        <v>643</v>
      </c>
    </row>
    <row r="737">
      <c r="A737" s="1" t="s">
        <v>1283</v>
      </c>
      <c r="B737" s="2">
        <f>IFERROR(__xludf.DUMMYFUNCTION("SPLIT(A737,""_"")"),2.0150514E7)</f>
        <v>20150514</v>
      </c>
      <c r="C737" s="2" t="str">
        <f>IFERROR(__xludf.DUMMYFUNCTION("""COMPUTED_VALUE"""),"JACK")</f>
        <v>JACK</v>
      </c>
      <c r="D737" s="2" t="str">
        <f>LEFT(B737,4)</f>
        <v>2015</v>
      </c>
      <c r="E737" s="2" t="str">
        <f>MID(B737,5,2)</f>
        <v>05</v>
      </c>
      <c r="F737" s="2" t="str">
        <f>RIGHT(B737,2)</f>
        <v>14</v>
      </c>
      <c r="G737" s="29">
        <f>DATE(D737,E737,F737)</f>
        <v>42138</v>
      </c>
    </row>
    <row r="738" hidden="1">
      <c r="A738" s="1" t="s">
        <v>642</v>
      </c>
    </row>
    <row r="739" hidden="1">
      <c r="A739" s="1" t="s">
        <v>643</v>
      </c>
    </row>
    <row r="740">
      <c r="A740" s="1" t="s">
        <v>1284</v>
      </c>
      <c r="B740" s="2">
        <f>IFERROR(__xludf.DUMMYFUNCTION("SPLIT(A740,""_"")"),2.0150514E7)</f>
        <v>20150514</v>
      </c>
      <c r="C740" s="2" t="str">
        <f>IFERROR(__xludf.DUMMYFUNCTION("""COMPUTED_VALUE"""),"JWN")</f>
        <v>JWN</v>
      </c>
      <c r="D740" s="2" t="str">
        <f>LEFT(B740,4)</f>
        <v>2015</v>
      </c>
      <c r="E740" s="2" t="str">
        <f>MID(B740,5,2)</f>
        <v>05</v>
      </c>
      <c r="F740" s="2" t="str">
        <f>RIGHT(B740,2)</f>
        <v>14</v>
      </c>
      <c r="G740" s="29">
        <f>DATE(D740,E740,F740)</f>
        <v>42138</v>
      </c>
    </row>
    <row r="741" hidden="1">
      <c r="A741" s="1" t="s">
        <v>642</v>
      </c>
    </row>
    <row r="742" hidden="1">
      <c r="A742" s="1" t="s">
        <v>643</v>
      </c>
    </row>
    <row r="743">
      <c r="A743" s="1" t="s">
        <v>1285</v>
      </c>
      <c r="B743" s="2">
        <f>IFERROR(__xludf.DUMMYFUNCTION("SPLIT(A743,""_"")"),2.0150514E7)</f>
        <v>20150514</v>
      </c>
      <c r="C743" s="2" t="str">
        <f>IFERROR(__xludf.DUMMYFUNCTION("""COMPUTED_VALUE"""),"PERY")</f>
        <v>PERY</v>
      </c>
      <c r="D743" s="2" t="str">
        <f>LEFT(B743,4)</f>
        <v>2015</v>
      </c>
      <c r="E743" s="2" t="str">
        <f>MID(B743,5,2)</f>
        <v>05</v>
      </c>
      <c r="F743" s="2" t="str">
        <f>RIGHT(B743,2)</f>
        <v>14</v>
      </c>
      <c r="G743" s="29">
        <f>DATE(D743,E743,F743)</f>
        <v>42138</v>
      </c>
    </row>
    <row r="744" hidden="1">
      <c r="A744" s="1" t="s">
        <v>642</v>
      </c>
    </row>
    <row r="745" hidden="1">
      <c r="A745" s="1" t="s">
        <v>643</v>
      </c>
    </row>
    <row r="746">
      <c r="A746" s="1" t="s">
        <v>1286</v>
      </c>
      <c r="B746" s="2">
        <f>IFERROR(__xludf.DUMMYFUNCTION("SPLIT(A746,""_"")"),2.0150519E7)</f>
        <v>20150519</v>
      </c>
      <c r="C746" s="2" t="str">
        <f>IFERROR(__xludf.DUMMYFUNCTION("""COMPUTED_VALUE"""),"HD")</f>
        <v>HD</v>
      </c>
      <c r="D746" s="2" t="str">
        <f>LEFT(B746,4)</f>
        <v>2015</v>
      </c>
      <c r="E746" s="2" t="str">
        <f>MID(B746,5,2)</f>
        <v>05</v>
      </c>
      <c r="F746" s="2" t="str">
        <f>RIGHT(B746,2)</f>
        <v>19</v>
      </c>
      <c r="G746" s="29">
        <f>DATE(D746,E746,F746)</f>
        <v>42143</v>
      </c>
    </row>
    <row r="747" hidden="1">
      <c r="A747" s="1" t="s">
        <v>642</v>
      </c>
    </row>
    <row r="748" hidden="1">
      <c r="A748" s="1" t="s">
        <v>643</v>
      </c>
    </row>
    <row r="749">
      <c r="A749" s="1" t="s">
        <v>1287</v>
      </c>
      <c r="B749" s="2">
        <f>IFERROR(__xludf.DUMMYFUNCTION("SPLIT(A749,""_"")"),2.0150519E7)</f>
        <v>20150519</v>
      </c>
      <c r="C749" s="2" t="str">
        <f>IFERROR(__xludf.DUMMYFUNCTION("""COMPUTED_VALUE"""),"RRGB")</f>
        <v>RRGB</v>
      </c>
      <c r="D749" s="2" t="str">
        <f>LEFT(B749,4)</f>
        <v>2015</v>
      </c>
      <c r="E749" s="2" t="str">
        <f>MID(B749,5,2)</f>
        <v>05</v>
      </c>
      <c r="F749" s="2" t="str">
        <f>RIGHT(B749,2)</f>
        <v>19</v>
      </c>
      <c r="G749" s="29">
        <f>DATE(D749,E749,F749)</f>
        <v>42143</v>
      </c>
    </row>
    <row r="750" hidden="1">
      <c r="A750" s="1" t="s">
        <v>642</v>
      </c>
    </row>
    <row r="751" hidden="1">
      <c r="A751" s="1" t="s">
        <v>643</v>
      </c>
    </row>
    <row r="752">
      <c r="A752" s="1" t="s">
        <v>1288</v>
      </c>
      <c r="B752" s="2">
        <f>IFERROR(__xludf.DUMMYFUNCTION("SPLIT(A752,""_"")"),2.0150519E7)</f>
        <v>20150519</v>
      </c>
      <c r="C752" s="2" t="str">
        <f>IFERROR(__xludf.DUMMYFUNCTION("""COMPUTED_VALUE"""),"VSAT")</f>
        <v>VSAT</v>
      </c>
      <c r="D752" s="2" t="str">
        <f>LEFT(B752,4)</f>
        <v>2015</v>
      </c>
      <c r="E752" s="2" t="str">
        <f>MID(B752,5,2)</f>
        <v>05</v>
      </c>
      <c r="F752" s="2" t="str">
        <f>RIGHT(B752,2)</f>
        <v>19</v>
      </c>
      <c r="G752" s="29">
        <f>DATE(D752,E752,F752)</f>
        <v>42143</v>
      </c>
    </row>
    <row r="753" hidden="1">
      <c r="A753" s="1" t="s">
        <v>642</v>
      </c>
    </row>
    <row r="754" hidden="1">
      <c r="A754" s="1" t="s">
        <v>643</v>
      </c>
    </row>
    <row r="755">
      <c r="A755" s="1" t="s">
        <v>1289</v>
      </c>
      <c r="B755" s="2">
        <f>IFERROR(__xludf.DUMMYFUNCTION("SPLIT(A755,""_"")"),2.0150521E7)</f>
        <v>20150521</v>
      </c>
      <c r="C755" s="2" t="str">
        <f>IFERROR(__xludf.DUMMYFUNCTION("""COMPUTED_VALUE"""),"GPS")</f>
        <v>GPS</v>
      </c>
      <c r="D755" s="2" t="str">
        <f>LEFT(B755,4)</f>
        <v>2015</v>
      </c>
      <c r="E755" s="2" t="str">
        <f>MID(B755,5,2)</f>
        <v>05</v>
      </c>
      <c r="F755" s="2" t="str">
        <f>RIGHT(B755,2)</f>
        <v>21</v>
      </c>
      <c r="G755" s="29">
        <f>DATE(D755,E755,F755)</f>
        <v>42145</v>
      </c>
    </row>
    <row r="756" hidden="1">
      <c r="A756" s="1" t="s">
        <v>642</v>
      </c>
    </row>
    <row r="757" hidden="1">
      <c r="A757" s="1" t="s">
        <v>643</v>
      </c>
    </row>
    <row r="758">
      <c r="A758" s="1" t="s">
        <v>1290</v>
      </c>
      <c r="B758" s="2">
        <f>IFERROR(__xludf.DUMMYFUNCTION("SPLIT(A758,""_"")"),2.0150521E7)</f>
        <v>20150521</v>
      </c>
      <c r="C758" s="2" t="str">
        <f>IFERROR(__xludf.DUMMYFUNCTION("""COMPUTED_VALUE"""),"HPQ")</f>
        <v>HPQ</v>
      </c>
      <c r="D758" s="2" t="str">
        <f>LEFT(B758,4)</f>
        <v>2015</v>
      </c>
      <c r="E758" s="2" t="str">
        <f>MID(B758,5,2)</f>
        <v>05</v>
      </c>
      <c r="F758" s="2" t="str">
        <f>RIGHT(B758,2)</f>
        <v>21</v>
      </c>
      <c r="G758" s="29">
        <f>DATE(D758,E758,F758)</f>
        <v>42145</v>
      </c>
    </row>
    <row r="759" hidden="1">
      <c r="A759" s="1" t="s">
        <v>642</v>
      </c>
    </row>
    <row r="760" hidden="1">
      <c r="A760" s="1" t="s">
        <v>643</v>
      </c>
    </row>
    <row r="761">
      <c r="A761" s="1" t="s">
        <v>1291</v>
      </c>
      <c r="B761" s="2">
        <f>IFERROR(__xludf.DUMMYFUNCTION("SPLIT(A761,""_"")"),2.0150521E7)</f>
        <v>20150521</v>
      </c>
      <c r="C761" s="2" t="str">
        <f>IFERROR(__xludf.DUMMYFUNCTION("""COMPUTED_VALUE"""),"MNRO")</f>
        <v>MNRO</v>
      </c>
      <c r="D761" s="2" t="str">
        <f>LEFT(B761,4)</f>
        <v>2015</v>
      </c>
      <c r="E761" s="2" t="str">
        <f>MID(B761,5,2)</f>
        <v>05</v>
      </c>
      <c r="F761" s="2" t="str">
        <f>RIGHT(B761,2)</f>
        <v>21</v>
      </c>
      <c r="G761" s="29">
        <f>DATE(D761,E761,F761)</f>
        <v>42145</v>
      </c>
    </row>
    <row r="762" hidden="1">
      <c r="A762" s="1" t="s">
        <v>642</v>
      </c>
    </row>
    <row r="763" hidden="1">
      <c r="A763" s="1" t="s">
        <v>643</v>
      </c>
    </row>
    <row r="764">
      <c r="A764" s="1" t="s">
        <v>1292</v>
      </c>
      <c r="B764" s="2">
        <f>IFERROR(__xludf.DUMMYFUNCTION("SPLIT(A764,""_"")"),2.0150521E7)</f>
        <v>20150521</v>
      </c>
      <c r="C764" s="2" t="str">
        <f>IFERROR(__xludf.DUMMYFUNCTION("""COMPUTED_VALUE"""),"ROST")</f>
        <v>ROST</v>
      </c>
      <c r="D764" s="2" t="str">
        <f>LEFT(B764,4)</f>
        <v>2015</v>
      </c>
      <c r="E764" s="2" t="str">
        <f>MID(B764,5,2)</f>
        <v>05</v>
      </c>
      <c r="F764" s="2" t="str">
        <f>RIGHT(B764,2)</f>
        <v>21</v>
      </c>
      <c r="G764" s="29">
        <f>DATE(D764,E764,F764)</f>
        <v>42145</v>
      </c>
    </row>
    <row r="765" hidden="1">
      <c r="A765" s="1" t="s">
        <v>642</v>
      </c>
    </row>
    <row r="766" hidden="1">
      <c r="A766" s="1" t="s">
        <v>643</v>
      </c>
    </row>
    <row r="767">
      <c r="A767" s="1" t="s">
        <v>1293</v>
      </c>
      <c r="B767" s="2">
        <f>IFERROR(__xludf.DUMMYFUNCTION("SPLIT(A767,""_"")"),2.0150521E7)</f>
        <v>20150521</v>
      </c>
      <c r="C767" s="2" t="str">
        <f>IFERROR(__xludf.DUMMYFUNCTION("""COMPUTED_VALUE"""),"TTC")</f>
        <v>TTC</v>
      </c>
      <c r="D767" s="2" t="str">
        <f>LEFT(B767,4)</f>
        <v>2015</v>
      </c>
      <c r="E767" s="2" t="str">
        <f>MID(B767,5,2)</f>
        <v>05</v>
      </c>
      <c r="F767" s="2" t="str">
        <f>RIGHT(B767,2)</f>
        <v>21</v>
      </c>
      <c r="G767" s="29">
        <f>DATE(D767,E767,F767)</f>
        <v>42145</v>
      </c>
    </row>
    <row r="768" hidden="1">
      <c r="A768" s="1" t="s">
        <v>642</v>
      </c>
    </row>
    <row r="769" hidden="1">
      <c r="A769" s="1" t="s">
        <v>643</v>
      </c>
    </row>
    <row r="770">
      <c r="A770" s="1" t="s">
        <v>1294</v>
      </c>
      <c r="B770" s="2">
        <f>IFERROR(__xludf.DUMMYFUNCTION("SPLIT(A770,""_"")"),2.0150527E7)</f>
        <v>20150527</v>
      </c>
      <c r="C770" s="2" t="str">
        <f>IFERROR(__xludf.DUMMYFUNCTION("""COMPUTED_VALUE"""),"CHS")</f>
        <v>CHS</v>
      </c>
      <c r="D770" s="2" t="str">
        <f>LEFT(B770,4)</f>
        <v>2015</v>
      </c>
      <c r="E770" s="2" t="str">
        <f>MID(B770,5,2)</f>
        <v>05</v>
      </c>
      <c r="F770" s="2" t="str">
        <f>RIGHT(B770,2)</f>
        <v>27</v>
      </c>
      <c r="G770" s="29">
        <f>DATE(D770,E770,F770)</f>
        <v>42151</v>
      </c>
    </row>
    <row r="771" hidden="1">
      <c r="A771" s="1" t="s">
        <v>642</v>
      </c>
    </row>
    <row r="772" hidden="1">
      <c r="A772" s="1" t="s">
        <v>643</v>
      </c>
    </row>
    <row r="773">
      <c r="A773" s="1" t="s">
        <v>1295</v>
      </c>
      <c r="B773" s="2">
        <f>IFERROR(__xludf.DUMMYFUNCTION("SPLIT(A773,""_"")"),2.0150527E7)</f>
        <v>20150527</v>
      </c>
      <c r="C773" s="2" t="str">
        <f>IFERROR(__xludf.DUMMYFUNCTION("""COMPUTED_VALUE"""),"MOV")</f>
        <v>MOV</v>
      </c>
      <c r="D773" s="2" t="str">
        <f>LEFT(B773,4)</f>
        <v>2015</v>
      </c>
      <c r="E773" s="2" t="str">
        <f>MID(B773,5,2)</f>
        <v>05</v>
      </c>
      <c r="F773" s="2" t="str">
        <f>RIGHT(B773,2)</f>
        <v>27</v>
      </c>
      <c r="G773" s="29">
        <f>DATE(D773,E773,F773)</f>
        <v>42151</v>
      </c>
    </row>
    <row r="774" hidden="1">
      <c r="A774" s="1" t="s">
        <v>642</v>
      </c>
    </row>
    <row r="775" hidden="1">
      <c r="A775" s="1" t="s">
        <v>643</v>
      </c>
    </row>
    <row r="776">
      <c r="A776" s="1" t="s">
        <v>1296</v>
      </c>
      <c r="B776" s="2">
        <f>IFERROR(__xludf.DUMMYFUNCTION("SPLIT(A776,""_"")"),2.0150529E7)</f>
        <v>20150529</v>
      </c>
      <c r="C776" s="2" t="str">
        <f>IFERROR(__xludf.DUMMYFUNCTION("""COMPUTED_VALUE"""),"BIG")</f>
        <v>BIG</v>
      </c>
      <c r="D776" s="2" t="str">
        <f>LEFT(B776,4)</f>
        <v>2015</v>
      </c>
      <c r="E776" s="2" t="str">
        <f>MID(B776,5,2)</f>
        <v>05</v>
      </c>
      <c r="F776" s="2" t="str">
        <f>RIGHT(B776,2)</f>
        <v>29</v>
      </c>
      <c r="G776" s="29">
        <f>DATE(D776,E776,F776)</f>
        <v>42153</v>
      </c>
    </row>
    <row r="777" hidden="1">
      <c r="A777" s="1" t="s">
        <v>642</v>
      </c>
    </row>
    <row r="778" hidden="1">
      <c r="A778" s="1" t="s">
        <v>643</v>
      </c>
    </row>
    <row r="779">
      <c r="A779" s="1" t="s">
        <v>1297</v>
      </c>
      <c r="B779" s="2">
        <f>IFERROR(__xludf.DUMMYFUNCTION("SPLIT(A779,""_"")"),2.0150602E7)</f>
        <v>20150602</v>
      </c>
      <c r="C779" s="2" t="str">
        <f>IFERROR(__xludf.DUMMYFUNCTION("""COMPUTED_VALUE"""),"ASNA")</f>
        <v>ASNA</v>
      </c>
      <c r="D779" s="2" t="str">
        <f>LEFT(B779,4)</f>
        <v>2015</v>
      </c>
      <c r="E779" s="2" t="str">
        <f>MID(B779,5,2)</f>
        <v>06</v>
      </c>
      <c r="F779" s="2" t="str">
        <f>RIGHT(B779,2)</f>
        <v>02</v>
      </c>
      <c r="G779" s="29">
        <f>DATE(D779,E779,F779)</f>
        <v>42157</v>
      </c>
    </row>
    <row r="780" hidden="1">
      <c r="A780" s="1" t="s">
        <v>642</v>
      </c>
    </row>
    <row r="781" hidden="1">
      <c r="A781" s="1" t="s">
        <v>643</v>
      </c>
    </row>
    <row r="782">
      <c r="A782" s="1" t="s">
        <v>1298</v>
      </c>
      <c r="B782" s="2">
        <f>IFERROR(__xludf.DUMMYFUNCTION("SPLIT(A782,""_"")"),2.0150602E7)</f>
        <v>20150602</v>
      </c>
      <c r="C782" s="2" t="str">
        <f>IFERROR(__xludf.DUMMYFUNCTION("""COMPUTED_VALUE"""),"CBRL")</f>
        <v>CBRL</v>
      </c>
      <c r="D782" s="2" t="str">
        <f>LEFT(B782,4)</f>
        <v>2015</v>
      </c>
      <c r="E782" s="2" t="str">
        <f>MID(B782,5,2)</f>
        <v>06</v>
      </c>
      <c r="F782" s="2" t="str">
        <f>RIGHT(B782,2)</f>
        <v>02</v>
      </c>
      <c r="G782" s="29">
        <f>DATE(D782,E782,F782)</f>
        <v>42157</v>
      </c>
    </row>
    <row r="783" hidden="1">
      <c r="A783" s="1" t="s">
        <v>642</v>
      </c>
    </row>
    <row r="784" hidden="1">
      <c r="A784" s="1" t="s">
        <v>643</v>
      </c>
    </row>
    <row r="785">
      <c r="A785" s="1" t="s">
        <v>1299</v>
      </c>
      <c r="B785" s="2">
        <f>IFERROR(__xludf.DUMMYFUNCTION("SPLIT(A785,""_"")"),2.0150602E7)</f>
        <v>20150602</v>
      </c>
      <c r="C785" s="2" t="str">
        <f>IFERROR(__xludf.DUMMYFUNCTION("""COMPUTED_VALUE"""),"CRVL")</f>
        <v>CRVL</v>
      </c>
      <c r="D785" s="2" t="str">
        <f>LEFT(B785,4)</f>
        <v>2015</v>
      </c>
      <c r="E785" s="2" t="str">
        <f>MID(B785,5,2)</f>
        <v>06</v>
      </c>
      <c r="F785" s="2" t="str">
        <f>RIGHT(B785,2)</f>
        <v>02</v>
      </c>
      <c r="G785" s="29">
        <f>DATE(D785,E785,F785)</f>
        <v>42157</v>
      </c>
    </row>
    <row r="786" hidden="1">
      <c r="A786" s="1" t="s">
        <v>642</v>
      </c>
    </row>
    <row r="787" hidden="1">
      <c r="A787" s="1" t="s">
        <v>643</v>
      </c>
    </row>
    <row r="788">
      <c r="A788" s="1" t="s">
        <v>1300</v>
      </c>
      <c r="B788" s="2">
        <f>IFERROR(__xludf.DUMMYFUNCTION("SPLIT(A788,""_"")"),2.0150602E7)</f>
        <v>20150602</v>
      </c>
      <c r="C788" s="2" t="str">
        <f>IFERROR(__xludf.DUMMYFUNCTION("""COMPUTED_VALUE"""),"DAKT")</f>
        <v>DAKT</v>
      </c>
      <c r="D788" s="2" t="str">
        <f>LEFT(B788,4)</f>
        <v>2015</v>
      </c>
      <c r="E788" s="2" t="str">
        <f>MID(B788,5,2)</f>
        <v>06</v>
      </c>
      <c r="F788" s="2" t="str">
        <f>RIGHT(B788,2)</f>
        <v>02</v>
      </c>
      <c r="G788" s="29">
        <f>DATE(D788,E788,F788)</f>
        <v>42157</v>
      </c>
    </row>
    <row r="789" hidden="1">
      <c r="A789" s="1" t="s">
        <v>642</v>
      </c>
    </row>
    <row r="790" hidden="1">
      <c r="A790" s="1" t="s">
        <v>643</v>
      </c>
    </row>
    <row r="791">
      <c r="A791" s="1" t="s">
        <v>1301</v>
      </c>
      <c r="B791" s="2">
        <f>IFERROR(__xludf.DUMMYFUNCTION("SPLIT(A791,""_"")"),2.0150602E7)</f>
        <v>20150602</v>
      </c>
      <c r="C791" s="2" t="str">
        <f>IFERROR(__xludf.DUMMYFUNCTION("""COMPUTED_VALUE"""),"GES")</f>
        <v>GES</v>
      </c>
      <c r="D791" s="2" t="str">
        <f>LEFT(B791,4)</f>
        <v>2015</v>
      </c>
      <c r="E791" s="2" t="str">
        <f>MID(B791,5,2)</f>
        <v>06</v>
      </c>
      <c r="F791" s="2" t="str">
        <f>RIGHT(B791,2)</f>
        <v>02</v>
      </c>
      <c r="G791" s="29">
        <f>DATE(D791,E791,F791)</f>
        <v>42157</v>
      </c>
    </row>
    <row r="792" hidden="1">
      <c r="A792" s="1" t="s">
        <v>642</v>
      </c>
    </row>
    <row r="793" hidden="1">
      <c r="A793" s="1" t="s">
        <v>643</v>
      </c>
    </row>
    <row r="794">
      <c r="A794" s="1" t="s">
        <v>1302</v>
      </c>
      <c r="B794" s="2">
        <f>IFERROR(__xludf.DUMMYFUNCTION("SPLIT(A794,""_"")"),2.0150602E7)</f>
        <v>20150602</v>
      </c>
      <c r="C794" s="2" t="str">
        <f>IFERROR(__xludf.DUMMYFUNCTION("""COMPUTED_VALUE"""),"MDT")</f>
        <v>MDT</v>
      </c>
      <c r="D794" s="2" t="str">
        <f>LEFT(B794,4)</f>
        <v>2015</v>
      </c>
      <c r="E794" s="2" t="str">
        <f>MID(B794,5,2)</f>
        <v>06</v>
      </c>
      <c r="F794" s="2" t="str">
        <f>RIGHT(B794,2)</f>
        <v>02</v>
      </c>
      <c r="G794" s="29">
        <f>DATE(D794,E794,F794)</f>
        <v>42157</v>
      </c>
    </row>
    <row r="795" hidden="1">
      <c r="A795" s="1" t="s">
        <v>642</v>
      </c>
    </row>
    <row r="796" hidden="1">
      <c r="A796" s="1" t="s">
        <v>643</v>
      </c>
    </row>
    <row r="797">
      <c r="A797" s="1" t="s">
        <v>1303</v>
      </c>
      <c r="B797" s="2">
        <f>IFERROR(__xludf.DUMMYFUNCTION("SPLIT(A797,""_"")"),2.0150604E7)</f>
        <v>20150604</v>
      </c>
      <c r="C797" s="2" t="str">
        <f>IFERROR(__xludf.DUMMYFUNCTION("""COMPUTED_VALUE"""),"COO")</f>
        <v>COO</v>
      </c>
      <c r="D797" s="2" t="str">
        <f>LEFT(B797,4)</f>
        <v>2015</v>
      </c>
      <c r="E797" s="2" t="str">
        <f>MID(B797,5,2)</f>
        <v>06</v>
      </c>
      <c r="F797" s="2" t="str">
        <f>RIGHT(B797,2)</f>
        <v>04</v>
      </c>
      <c r="G797" s="29">
        <f>DATE(D797,E797,F797)</f>
        <v>42159</v>
      </c>
    </row>
    <row r="798" hidden="1">
      <c r="A798" s="1" t="s">
        <v>642</v>
      </c>
    </row>
    <row r="799" hidden="1">
      <c r="A799" s="1" t="s">
        <v>643</v>
      </c>
    </row>
    <row r="800">
      <c r="A800" s="1" t="s">
        <v>1304</v>
      </c>
      <c r="B800" s="2">
        <f>IFERROR(__xludf.DUMMYFUNCTION("SPLIT(A800,""_"")"),2.0150605E7)</f>
        <v>20150605</v>
      </c>
      <c r="C800" s="2" t="str">
        <f>IFERROR(__xludf.DUMMYFUNCTION("""COMPUTED_VALUE"""),"LABL")</f>
        <v>LABL</v>
      </c>
      <c r="D800" s="2" t="str">
        <f>LEFT(B800,4)</f>
        <v>2015</v>
      </c>
      <c r="E800" s="2" t="str">
        <f>MID(B800,5,2)</f>
        <v>06</v>
      </c>
      <c r="F800" s="2" t="str">
        <f>RIGHT(B800,2)</f>
        <v>05</v>
      </c>
      <c r="G800" s="29">
        <f>DATE(D800,E800,F800)</f>
        <v>42160</v>
      </c>
    </row>
    <row r="801" hidden="1">
      <c r="A801" s="1" t="s">
        <v>642</v>
      </c>
    </row>
    <row r="802" hidden="1">
      <c r="A802" s="1" t="s">
        <v>643</v>
      </c>
    </row>
    <row r="803">
      <c r="A803" s="1" t="s">
        <v>1305</v>
      </c>
      <c r="B803" s="2">
        <f>IFERROR(__xludf.DUMMYFUNCTION("SPLIT(A803,""_"")"),2.0150608E7)</f>
        <v>20150608</v>
      </c>
      <c r="C803" s="2" t="str">
        <f>IFERROR(__xludf.DUMMYFUNCTION("""COMPUTED_VALUE"""),"HRB")</f>
        <v>HRB</v>
      </c>
      <c r="D803" s="2" t="str">
        <f>LEFT(B803,4)</f>
        <v>2015</v>
      </c>
      <c r="E803" s="2" t="str">
        <f>MID(B803,5,2)</f>
        <v>06</v>
      </c>
      <c r="F803" s="2" t="str">
        <f>RIGHT(B803,2)</f>
        <v>08</v>
      </c>
      <c r="G803" s="29">
        <f>DATE(D803,E803,F803)</f>
        <v>42163</v>
      </c>
    </row>
    <row r="804" hidden="1">
      <c r="A804" s="1" t="s">
        <v>642</v>
      </c>
    </row>
    <row r="805" hidden="1">
      <c r="A805" s="1" t="s">
        <v>643</v>
      </c>
    </row>
    <row r="806">
      <c r="A806" s="1" t="s">
        <v>1306</v>
      </c>
      <c r="B806" s="2">
        <f>IFERROR(__xludf.DUMMYFUNCTION("SPLIT(A806,""_"")"),2.0150608E7)</f>
        <v>20150608</v>
      </c>
      <c r="C806" s="2" t="str">
        <f>IFERROR(__xludf.DUMMYFUNCTION("""COMPUTED_VALUE"""),"UNFI")</f>
        <v>UNFI</v>
      </c>
      <c r="D806" s="2" t="str">
        <f>LEFT(B806,4)</f>
        <v>2015</v>
      </c>
      <c r="E806" s="2" t="str">
        <f>MID(B806,5,2)</f>
        <v>06</v>
      </c>
      <c r="F806" s="2" t="str">
        <f>RIGHT(B806,2)</f>
        <v>08</v>
      </c>
      <c r="G806" s="29">
        <f>DATE(D806,E806,F806)</f>
        <v>42163</v>
      </c>
    </row>
    <row r="807" hidden="1">
      <c r="A807" s="1" t="s">
        <v>642</v>
      </c>
    </row>
    <row r="808" hidden="1">
      <c r="A808" s="1" t="s">
        <v>643</v>
      </c>
    </row>
    <row r="809">
      <c r="A809" s="1" t="s">
        <v>1307</v>
      </c>
      <c r="B809" s="2">
        <f>IFERROR(__xludf.DUMMYFUNCTION("SPLIT(A809,""_"")"),2.0150619E7)</f>
        <v>20150619</v>
      </c>
      <c r="C809" s="2" t="str">
        <f>IFERROR(__xludf.DUMMYFUNCTION("""COMPUTED_VALUE"""),"KMX")</f>
        <v>KMX</v>
      </c>
      <c r="D809" s="2" t="str">
        <f>LEFT(B809,4)</f>
        <v>2015</v>
      </c>
      <c r="E809" s="2" t="str">
        <f>MID(B809,5,2)</f>
        <v>06</v>
      </c>
      <c r="F809" s="2" t="str">
        <f>RIGHT(B809,2)</f>
        <v>19</v>
      </c>
      <c r="G809" s="29">
        <f>DATE(D809,E809,F809)</f>
        <v>42174</v>
      </c>
    </row>
    <row r="810" hidden="1">
      <c r="A810" s="1" t="s">
        <v>642</v>
      </c>
    </row>
    <row r="811" hidden="1">
      <c r="A811" s="1" t="s">
        <v>643</v>
      </c>
    </row>
    <row r="812">
      <c r="A812" s="1" t="s">
        <v>1308</v>
      </c>
      <c r="B812" s="2">
        <f>IFERROR(__xludf.DUMMYFUNCTION("SPLIT(A812,""_"")"),2.0150622E7)</f>
        <v>20150622</v>
      </c>
      <c r="C812" s="2" t="str">
        <f>IFERROR(__xludf.DUMMYFUNCTION("""COMPUTED_VALUE"""),"SONC")</f>
        <v>SONC</v>
      </c>
      <c r="D812" s="2" t="str">
        <f>LEFT(B812,4)</f>
        <v>2015</v>
      </c>
      <c r="E812" s="2" t="str">
        <f>MID(B812,5,2)</f>
        <v>06</v>
      </c>
      <c r="F812" s="2" t="str">
        <f>RIGHT(B812,2)</f>
        <v>22</v>
      </c>
      <c r="G812" s="29">
        <f>DATE(D812,E812,F812)</f>
        <v>42177</v>
      </c>
    </row>
    <row r="813" hidden="1">
      <c r="A813" s="1" t="s">
        <v>642</v>
      </c>
    </row>
    <row r="814" hidden="1">
      <c r="A814" s="1" t="s">
        <v>643</v>
      </c>
    </row>
    <row r="815">
      <c r="A815" s="1" t="s">
        <v>1309</v>
      </c>
      <c r="B815" s="2">
        <f>IFERROR(__xludf.DUMMYFUNCTION("SPLIT(A815,""_"")"),2.0150623E7)</f>
        <v>20150623</v>
      </c>
      <c r="C815" s="2" t="str">
        <f>IFERROR(__xludf.DUMMYFUNCTION("""COMPUTED_VALUE"""),"CCL")</f>
        <v>CCL</v>
      </c>
      <c r="D815" s="2" t="str">
        <f>LEFT(B815,4)</f>
        <v>2015</v>
      </c>
      <c r="E815" s="2" t="str">
        <f>MID(B815,5,2)</f>
        <v>06</v>
      </c>
      <c r="F815" s="2" t="str">
        <f>RIGHT(B815,2)</f>
        <v>23</v>
      </c>
      <c r="G815" s="29">
        <f>DATE(D815,E815,F815)</f>
        <v>42178</v>
      </c>
    </row>
    <row r="816" hidden="1">
      <c r="A816" s="1" t="s">
        <v>642</v>
      </c>
    </row>
    <row r="817" hidden="1">
      <c r="A817" s="1" t="s">
        <v>643</v>
      </c>
    </row>
    <row r="818">
      <c r="A818" s="1" t="s">
        <v>1310</v>
      </c>
      <c r="B818" s="2">
        <f>IFERROR(__xludf.DUMMYFUNCTION("SPLIT(A818,""_"")"),2.0150624E7)</f>
        <v>20150624</v>
      </c>
      <c r="C818" s="2" t="str">
        <f>IFERROR(__xludf.DUMMYFUNCTION("""COMPUTED_VALUE"""),"BBBY")</f>
        <v>BBBY</v>
      </c>
      <c r="D818" s="2" t="str">
        <f>LEFT(B818,4)</f>
        <v>2015</v>
      </c>
      <c r="E818" s="2" t="str">
        <f>MID(B818,5,2)</f>
        <v>06</v>
      </c>
      <c r="F818" s="2" t="str">
        <f>RIGHT(B818,2)</f>
        <v>24</v>
      </c>
      <c r="G818" s="29">
        <f>DATE(D818,E818,F818)</f>
        <v>42179</v>
      </c>
    </row>
    <row r="819" hidden="1">
      <c r="A819" s="1" t="s">
        <v>642</v>
      </c>
    </row>
    <row r="820" hidden="1">
      <c r="A820" s="1" t="s">
        <v>643</v>
      </c>
    </row>
    <row r="821">
      <c r="A821" s="1" t="s">
        <v>1311</v>
      </c>
      <c r="B821" s="2">
        <f>IFERROR(__xludf.DUMMYFUNCTION("SPLIT(A821,""_"")"),2.0150624E7)</f>
        <v>20150624</v>
      </c>
      <c r="C821" s="2" t="str">
        <f>IFERROR(__xludf.DUMMYFUNCTION("""COMPUTED_VALUE"""),"MON")</f>
        <v>MON</v>
      </c>
      <c r="D821" s="2" t="str">
        <f>LEFT(B821,4)</f>
        <v>2015</v>
      </c>
      <c r="E821" s="2" t="str">
        <f>MID(B821,5,2)</f>
        <v>06</v>
      </c>
      <c r="F821" s="2" t="str">
        <f>RIGHT(B821,2)</f>
        <v>24</v>
      </c>
      <c r="G821" s="29">
        <f>DATE(D821,E821,F821)</f>
        <v>42179</v>
      </c>
    </row>
    <row r="822" hidden="1">
      <c r="A822" s="1" t="s">
        <v>642</v>
      </c>
    </row>
    <row r="823" hidden="1">
      <c r="A823" s="1" t="s">
        <v>643</v>
      </c>
    </row>
    <row r="824">
      <c r="A824" s="1" t="s">
        <v>1312</v>
      </c>
      <c r="B824" s="2">
        <f>IFERROR(__xludf.DUMMYFUNCTION("SPLIT(A824,""_"")"),2.0150625E7)</f>
        <v>20150625</v>
      </c>
      <c r="C824" s="2" t="str">
        <f>IFERROR(__xludf.DUMMYFUNCTION("""COMPUTED_VALUE"""),"BKS")</f>
        <v>BKS</v>
      </c>
      <c r="D824" s="2" t="str">
        <f>LEFT(B824,4)</f>
        <v>2015</v>
      </c>
      <c r="E824" s="2" t="str">
        <f>MID(B824,5,2)</f>
        <v>06</v>
      </c>
      <c r="F824" s="2" t="str">
        <f>RIGHT(B824,2)</f>
        <v>25</v>
      </c>
      <c r="G824" s="29">
        <f>DATE(D824,E824,F824)</f>
        <v>42180</v>
      </c>
    </row>
    <row r="825" hidden="1">
      <c r="A825" s="1" t="s">
        <v>642</v>
      </c>
    </row>
    <row r="826" hidden="1">
      <c r="A826" s="1" t="s">
        <v>643</v>
      </c>
    </row>
    <row r="827">
      <c r="A827" s="1" t="s">
        <v>1313</v>
      </c>
      <c r="B827" s="2">
        <f>IFERROR(__xludf.DUMMYFUNCTION("SPLIT(A827,""_"")"),2.0150701E7)</f>
        <v>20150701</v>
      </c>
      <c r="C827" s="2" t="str">
        <f>IFERROR(__xludf.DUMMYFUNCTION("""COMPUTED_VALUE"""),"AYI")</f>
        <v>AYI</v>
      </c>
      <c r="D827" s="2" t="str">
        <f>LEFT(B827,4)</f>
        <v>2015</v>
      </c>
      <c r="E827" s="2" t="str">
        <f>MID(B827,5,2)</f>
        <v>07</v>
      </c>
      <c r="F827" s="2" t="str">
        <f>RIGHT(B827,2)</f>
        <v>01</v>
      </c>
      <c r="G827" s="29">
        <f>DATE(D827,E827,F827)</f>
        <v>42186</v>
      </c>
    </row>
    <row r="828" hidden="1">
      <c r="A828" s="1" t="s">
        <v>642</v>
      </c>
    </row>
    <row r="829" hidden="1">
      <c r="A829" s="1" t="s">
        <v>643</v>
      </c>
    </row>
    <row r="830">
      <c r="A830" s="1" t="s">
        <v>1314</v>
      </c>
      <c r="B830" s="2">
        <f>IFERROR(__xludf.DUMMYFUNCTION("SPLIT(A830,""_"")"),2.0150701E7)</f>
        <v>20150701</v>
      </c>
      <c r="C830" s="2" t="str">
        <f>IFERROR(__xludf.DUMMYFUNCTION("""COMPUTED_VALUE"""),"GIS")</f>
        <v>GIS</v>
      </c>
      <c r="D830" s="2" t="str">
        <f>LEFT(B830,4)</f>
        <v>2015</v>
      </c>
      <c r="E830" s="2" t="str">
        <f>MID(B830,5,2)</f>
        <v>07</v>
      </c>
      <c r="F830" s="2" t="str">
        <f>RIGHT(B830,2)</f>
        <v>01</v>
      </c>
      <c r="G830" s="29">
        <f>DATE(D830,E830,F830)</f>
        <v>42186</v>
      </c>
    </row>
    <row r="831" hidden="1">
      <c r="A831" s="1" t="s">
        <v>642</v>
      </c>
    </row>
    <row r="832" hidden="1">
      <c r="A832" s="1" t="s">
        <v>643</v>
      </c>
    </row>
    <row r="833">
      <c r="A833" s="1" t="s">
        <v>1315</v>
      </c>
      <c r="B833" s="2">
        <f>IFERROR(__xludf.DUMMYFUNCTION("SPLIT(A833,""_"")"),2.0150701E7)</f>
        <v>20150701</v>
      </c>
      <c r="C833" s="2" t="str">
        <f>IFERROR(__xludf.DUMMYFUNCTION("""COMPUTED_VALUE"""),"STZ")</f>
        <v>STZ</v>
      </c>
      <c r="D833" s="2" t="str">
        <f>LEFT(B833,4)</f>
        <v>2015</v>
      </c>
      <c r="E833" s="2" t="str">
        <f>MID(B833,5,2)</f>
        <v>07</v>
      </c>
      <c r="F833" s="2" t="str">
        <f>RIGHT(B833,2)</f>
        <v>01</v>
      </c>
      <c r="G833" s="29">
        <f>DATE(D833,E833,F833)</f>
        <v>42186</v>
      </c>
    </row>
    <row r="834" hidden="1">
      <c r="A834" s="1" t="s">
        <v>642</v>
      </c>
    </row>
    <row r="835" hidden="1">
      <c r="A835" s="1" t="s">
        <v>643</v>
      </c>
    </row>
    <row r="836">
      <c r="A836" s="1" t="s">
        <v>1316</v>
      </c>
      <c r="B836" s="2">
        <f>IFERROR(__xludf.DUMMYFUNCTION("SPLIT(A836,""_"")"),2.0150707E7)</f>
        <v>20150707</v>
      </c>
      <c r="C836" s="2" t="str">
        <f>IFERROR(__xludf.DUMMYFUNCTION("""COMPUTED_VALUE"""),"MSM")</f>
        <v>MSM</v>
      </c>
      <c r="D836" s="2" t="str">
        <f>LEFT(B836,4)</f>
        <v>2015</v>
      </c>
      <c r="E836" s="2" t="str">
        <f>MID(B836,5,2)</f>
        <v>07</v>
      </c>
      <c r="F836" s="2" t="str">
        <f>RIGHT(B836,2)</f>
        <v>07</v>
      </c>
      <c r="G836" s="29">
        <f>DATE(D836,E836,F836)</f>
        <v>42192</v>
      </c>
    </row>
    <row r="837" hidden="1">
      <c r="A837" s="1" t="s">
        <v>642</v>
      </c>
    </row>
    <row r="838" hidden="1">
      <c r="A838" s="1" t="s">
        <v>643</v>
      </c>
    </row>
    <row r="839">
      <c r="A839" s="1" t="s">
        <v>1317</v>
      </c>
      <c r="B839" s="2">
        <f>IFERROR(__xludf.DUMMYFUNCTION("SPLIT(A839,""_"")"),2.0150709E7)</f>
        <v>20150709</v>
      </c>
      <c r="C839" s="2" t="str">
        <f>IFERROR(__xludf.DUMMYFUNCTION("""COMPUTED_VALUE"""),"HELE")</f>
        <v>HELE</v>
      </c>
      <c r="D839" s="2" t="str">
        <f>LEFT(B839,4)</f>
        <v>2015</v>
      </c>
      <c r="E839" s="2" t="str">
        <f>MID(B839,5,2)</f>
        <v>07</v>
      </c>
      <c r="F839" s="2" t="str">
        <f>RIGHT(B839,2)</f>
        <v>09</v>
      </c>
      <c r="G839" s="29">
        <f>DATE(D839,E839,F839)</f>
        <v>42194</v>
      </c>
    </row>
    <row r="840" hidden="1">
      <c r="A840" s="1" t="s">
        <v>642</v>
      </c>
    </row>
    <row r="841" hidden="1">
      <c r="A841" s="1" t="s">
        <v>643</v>
      </c>
    </row>
    <row r="842">
      <c r="A842" s="1" t="s">
        <v>1318</v>
      </c>
      <c r="B842" s="2">
        <f>IFERROR(__xludf.DUMMYFUNCTION("SPLIT(A842,""_"")"),2.0150714E7)</f>
        <v>20150714</v>
      </c>
      <c r="C842" s="2" t="str">
        <f>IFERROR(__xludf.DUMMYFUNCTION("""COMPUTED_VALUE"""),"AIR")</f>
        <v>AIR</v>
      </c>
      <c r="D842" s="2" t="str">
        <f>LEFT(B842,4)</f>
        <v>2015</v>
      </c>
      <c r="E842" s="2" t="str">
        <f>MID(B842,5,2)</f>
        <v>07</v>
      </c>
      <c r="F842" s="2" t="str">
        <f>RIGHT(B842,2)</f>
        <v>14</v>
      </c>
      <c r="G842" s="29">
        <f>DATE(D842,E842,F842)</f>
        <v>42199</v>
      </c>
    </row>
    <row r="843" hidden="1">
      <c r="A843" s="1" t="s">
        <v>642</v>
      </c>
    </row>
    <row r="844" hidden="1">
      <c r="A844" s="1" t="s">
        <v>643</v>
      </c>
    </row>
    <row r="845">
      <c r="A845" s="1" t="s">
        <v>1319</v>
      </c>
      <c r="B845" s="2">
        <f>IFERROR(__xludf.DUMMYFUNCTION("SPLIT(A845,""_"")"),2.0150714E7)</f>
        <v>20150714</v>
      </c>
      <c r="C845" s="2" t="str">
        <f>IFERROR(__xludf.DUMMYFUNCTION("""COMPUTED_VALUE"""),"FAST")</f>
        <v>FAST</v>
      </c>
      <c r="D845" s="2" t="str">
        <f>LEFT(B845,4)</f>
        <v>2015</v>
      </c>
      <c r="E845" s="2" t="str">
        <f>MID(B845,5,2)</f>
        <v>07</v>
      </c>
      <c r="F845" s="2" t="str">
        <f>RIGHT(B845,2)</f>
        <v>14</v>
      </c>
      <c r="G845" s="29">
        <f>DATE(D845,E845,F845)</f>
        <v>42199</v>
      </c>
    </row>
    <row r="846" hidden="1">
      <c r="A846" s="1" t="s">
        <v>642</v>
      </c>
    </row>
    <row r="847" hidden="1">
      <c r="A847" s="1" t="s">
        <v>643</v>
      </c>
    </row>
    <row r="848">
      <c r="A848" s="1" t="s">
        <v>1320</v>
      </c>
      <c r="B848" s="2">
        <f>IFERROR(__xludf.DUMMYFUNCTION("SPLIT(A848,""_"")"),2.0150714E7)</f>
        <v>20150714</v>
      </c>
      <c r="C848" s="2" t="str">
        <f>IFERROR(__xludf.DUMMYFUNCTION("""COMPUTED_VALUE"""),"WFC")</f>
        <v>WFC</v>
      </c>
      <c r="D848" s="2" t="str">
        <f>LEFT(B848,4)</f>
        <v>2015</v>
      </c>
      <c r="E848" s="2" t="str">
        <f>MID(B848,5,2)</f>
        <v>07</v>
      </c>
      <c r="F848" s="2" t="str">
        <f>RIGHT(B848,2)</f>
        <v>14</v>
      </c>
      <c r="G848" s="29">
        <f>DATE(D848,E848,F848)</f>
        <v>42199</v>
      </c>
    </row>
    <row r="849" hidden="1">
      <c r="A849" s="1" t="s">
        <v>642</v>
      </c>
    </row>
    <row r="850" hidden="1">
      <c r="A850" s="1" t="s">
        <v>643</v>
      </c>
    </row>
    <row r="851">
      <c r="A851" s="1" t="s">
        <v>1321</v>
      </c>
      <c r="B851" s="2">
        <f>IFERROR(__xludf.DUMMYFUNCTION("SPLIT(A851,""_"")"),2.0150715E7)</f>
        <v>20150715</v>
      </c>
      <c r="C851" s="2" t="str">
        <f>IFERROR(__xludf.DUMMYFUNCTION("""COMPUTED_VALUE"""),"PNC")</f>
        <v>PNC</v>
      </c>
      <c r="D851" s="2" t="str">
        <f>LEFT(B851,4)</f>
        <v>2015</v>
      </c>
      <c r="E851" s="2" t="str">
        <f>MID(B851,5,2)</f>
        <v>07</v>
      </c>
      <c r="F851" s="2" t="str">
        <f>RIGHT(B851,2)</f>
        <v>15</v>
      </c>
      <c r="G851" s="29">
        <f>DATE(D851,E851,F851)</f>
        <v>42200</v>
      </c>
    </row>
    <row r="852" hidden="1">
      <c r="A852" s="1" t="s">
        <v>642</v>
      </c>
    </row>
    <row r="853" hidden="1">
      <c r="A853" s="1" t="s">
        <v>643</v>
      </c>
    </row>
    <row r="854">
      <c r="A854" s="1" t="s">
        <v>1322</v>
      </c>
      <c r="B854" s="2">
        <f>IFERROR(__xludf.DUMMYFUNCTION("SPLIT(A854,""_"")"),2.0150716E7)</f>
        <v>20150716</v>
      </c>
      <c r="C854" s="2" t="str">
        <f>IFERROR(__xludf.DUMMYFUNCTION("""COMPUTED_VALUE"""),"AMD")</f>
        <v>AMD</v>
      </c>
      <c r="D854" s="2" t="str">
        <f>LEFT(B854,4)</f>
        <v>2015</v>
      </c>
      <c r="E854" s="2" t="str">
        <f>MID(B854,5,2)</f>
        <v>07</v>
      </c>
      <c r="F854" s="2" t="str">
        <f>RIGHT(B854,2)</f>
        <v>16</v>
      </c>
      <c r="G854" s="29">
        <f>DATE(D854,E854,F854)</f>
        <v>42201</v>
      </c>
    </row>
    <row r="855" hidden="1">
      <c r="A855" s="1" t="s">
        <v>642</v>
      </c>
    </row>
    <row r="856" hidden="1">
      <c r="A856" s="1" t="s">
        <v>643</v>
      </c>
    </row>
    <row r="857">
      <c r="A857" s="1" t="s">
        <v>1323</v>
      </c>
      <c r="B857" s="2">
        <f>IFERROR(__xludf.DUMMYFUNCTION("SPLIT(A857,""_"")"),2.0150716E7)</f>
        <v>20150716</v>
      </c>
      <c r="C857" s="2" t="str">
        <f>IFERROR(__xludf.DUMMYFUNCTION("""COMPUTED_VALUE"""),"ANGO")</f>
        <v>ANGO</v>
      </c>
      <c r="D857" s="2" t="str">
        <f>LEFT(B857,4)</f>
        <v>2015</v>
      </c>
      <c r="E857" s="2" t="str">
        <f>MID(B857,5,2)</f>
        <v>07</v>
      </c>
      <c r="F857" s="2" t="str">
        <f>RIGHT(B857,2)</f>
        <v>16</v>
      </c>
      <c r="G857" s="29">
        <f>DATE(D857,E857,F857)</f>
        <v>42201</v>
      </c>
    </row>
    <row r="858" hidden="1">
      <c r="A858" s="1" t="s">
        <v>642</v>
      </c>
    </row>
    <row r="859" hidden="1">
      <c r="A859" s="1" t="s">
        <v>643</v>
      </c>
    </row>
    <row r="860">
      <c r="A860" s="1" t="s">
        <v>1324</v>
      </c>
      <c r="B860" s="2">
        <f>IFERROR(__xludf.DUMMYFUNCTION("SPLIT(A860,""_"")"),2.0150716E7)</f>
        <v>20150716</v>
      </c>
      <c r="C860" s="2" t="str">
        <f>IFERROR(__xludf.DUMMYFUNCTION("""COMPUTED_VALUE"""),"BBT")</f>
        <v>BBT</v>
      </c>
      <c r="D860" s="2" t="str">
        <f>LEFT(B860,4)</f>
        <v>2015</v>
      </c>
      <c r="E860" s="2" t="str">
        <f>MID(B860,5,2)</f>
        <v>07</v>
      </c>
      <c r="F860" s="2" t="str">
        <f>RIGHT(B860,2)</f>
        <v>16</v>
      </c>
      <c r="G860" s="29">
        <f>DATE(D860,E860,F860)</f>
        <v>42201</v>
      </c>
    </row>
    <row r="861" hidden="1">
      <c r="A861" s="1" t="s">
        <v>642</v>
      </c>
    </row>
    <row r="862" hidden="1">
      <c r="A862" s="1" t="s">
        <v>643</v>
      </c>
    </row>
    <row r="863">
      <c r="A863" s="1" t="s">
        <v>1325</v>
      </c>
      <c r="B863" s="2">
        <f>IFERROR(__xludf.DUMMYFUNCTION("SPLIT(A863,""_"")"),2.0150716E7)</f>
        <v>20150716</v>
      </c>
      <c r="C863" s="2" t="str">
        <f>IFERROR(__xludf.DUMMYFUNCTION("""COMPUTED_VALUE"""),"GS")</f>
        <v>GS</v>
      </c>
      <c r="D863" s="2" t="str">
        <f>LEFT(B863,4)</f>
        <v>2015</v>
      </c>
      <c r="E863" s="2" t="str">
        <f>MID(B863,5,2)</f>
        <v>07</v>
      </c>
      <c r="F863" s="2" t="str">
        <f>RIGHT(B863,2)</f>
        <v>16</v>
      </c>
      <c r="G863" s="29">
        <f>DATE(D863,E863,F863)</f>
        <v>42201</v>
      </c>
    </row>
    <row r="864" hidden="1">
      <c r="A864" s="1" t="s">
        <v>642</v>
      </c>
    </row>
    <row r="865" hidden="1">
      <c r="A865" s="1" t="s">
        <v>643</v>
      </c>
    </row>
    <row r="866">
      <c r="A866" s="1" t="s">
        <v>1326</v>
      </c>
      <c r="B866" s="2">
        <f>IFERROR(__xludf.DUMMYFUNCTION("SPLIT(A866,""_"")"),2.0150716E7)</f>
        <v>20150716</v>
      </c>
      <c r="C866" s="2" t="str">
        <f>IFERROR(__xludf.DUMMYFUNCTION("""COMPUTED_VALUE"""),"IIIN")</f>
        <v>IIIN</v>
      </c>
      <c r="D866" s="2" t="str">
        <f>LEFT(B866,4)</f>
        <v>2015</v>
      </c>
      <c r="E866" s="2" t="str">
        <f>MID(B866,5,2)</f>
        <v>07</v>
      </c>
      <c r="F866" s="2" t="str">
        <f>RIGHT(B866,2)</f>
        <v>16</v>
      </c>
      <c r="G866" s="29">
        <f>DATE(D866,E866,F866)</f>
        <v>42201</v>
      </c>
    </row>
    <row r="867" hidden="1">
      <c r="A867" s="1" t="s">
        <v>642</v>
      </c>
    </row>
    <row r="868" hidden="1">
      <c r="A868" s="1" t="s">
        <v>643</v>
      </c>
    </row>
    <row r="869">
      <c r="A869" s="1" t="s">
        <v>1327</v>
      </c>
      <c r="B869" s="2">
        <f>IFERROR(__xludf.DUMMYFUNCTION("SPLIT(A869,""_"")"),2.0150716E7)</f>
        <v>20150716</v>
      </c>
      <c r="C869" s="2" t="str">
        <f>IFERROR(__xludf.DUMMYFUNCTION("""COMPUTED_VALUE"""),"PM")</f>
        <v>PM</v>
      </c>
      <c r="D869" s="2" t="str">
        <f>LEFT(B869,4)</f>
        <v>2015</v>
      </c>
      <c r="E869" s="2" t="str">
        <f>MID(B869,5,2)</f>
        <v>07</v>
      </c>
      <c r="F869" s="2" t="str">
        <f>RIGHT(B869,2)</f>
        <v>16</v>
      </c>
      <c r="G869" s="29">
        <f>DATE(D869,E869,F869)</f>
        <v>42201</v>
      </c>
    </row>
    <row r="870" hidden="1">
      <c r="A870" s="1" t="s">
        <v>642</v>
      </c>
    </row>
    <row r="871" hidden="1">
      <c r="A871" s="1" t="s">
        <v>643</v>
      </c>
    </row>
    <row r="872">
      <c r="A872" s="1" t="s">
        <v>1328</v>
      </c>
      <c r="B872" s="2">
        <f>IFERROR(__xludf.DUMMYFUNCTION("SPLIT(A872,""_"")"),2.0150716E7)</f>
        <v>20150716</v>
      </c>
      <c r="C872" s="2" t="str">
        <f>IFERROR(__xludf.DUMMYFUNCTION("""COMPUTED_VALUE"""),"SHW")</f>
        <v>SHW</v>
      </c>
      <c r="D872" s="2" t="str">
        <f>LEFT(B872,4)</f>
        <v>2015</v>
      </c>
      <c r="E872" s="2" t="str">
        <f>MID(B872,5,2)</f>
        <v>07</v>
      </c>
      <c r="F872" s="2" t="str">
        <f>RIGHT(B872,2)</f>
        <v>16</v>
      </c>
      <c r="G872" s="29">
        <f>DATE(D872,E872,F872)</f>
        <v>42201</v>
      </c>
    </row>
    <row r="873" hidden="1">
      <c r="A873" s="1" t="s">
        <v>642</v>
      </c>
    </row>
    <row r="874" hidden="1">
      <c r="A874" s="1" t="s">
        <v>643</v>
      </c>
    </row>
    <row r="875">
      <c r="A875" s="1" t="s">
        <v>1329</v>
      </c>
      <c r="B875" s="2">
        <f>IFERROR(__xludf.DUMMYFUNCTION("SPLIT(A875,""_"")"),2.0150716E7)</f>
        <v>20150716</v>
      </c>
      <c r="C875" s="2" t="str">
        <f>IFERROR(__xludf.DUMMYFUNCTION("""COMPUTED_VALUE"""),"UFPI")</f>
        <v>UFPI</v>
      </c>
      <c r="D875" s="2" t="str">
        <f>LEFT(B875,4)</f>
        <v>2015</v>
      </c>
      <c r="E875" s="2" t="str">
        <f>MID(B875,5,2)</f>
        <v>07</v>
      </c>
      <c r="F875" s="2" t="str">
        <f>RIGHT(B875,2)</f>
        <v>16</v>
      </c>
      <c r="G875" s="29">
        <f>DATE(D875,E875,F875)</f>
        <v>42201</v>
      </c>
    </row>
    <row r="876" hidden="1">
      <c r="A876" s="1" t="s">
        <v>642</v>
      </c>
    </row>
    <row r="877" hidden="1">
      <c r="A877" s="1" t="s">
        <v>643</v>
      </c>
    </row>
    <row r="878">
      <c r="A878" s="1" t="s">
        <v>1330</v>
      </c>
      <c r="B878" s="2">
        <f>IFERROR(__xludf.DUMMYFUNCTION("SPLIT(A878,""_"")"),2.0150716E7)</f>
        <v>20150716</v>
      </c>
      <c r="C878" s="2" t="str">
        <f>IFERROR(__xludf.DUMMYFUNCTION("""COMPUTED_VALUE"""),"WBS")</f>
        <v>WBS</v>
      </c>
      <c r="D878" s="2" t="str">
        <f>LEFT(B878,4)</f>
        <v>2015</v>
      </c>
      <c r="E878" s="2" t="str">
        <f>MID(B878,5,2)</f>
        <v>07</v>
      </c>
      <c r="F878" s="2" t="str">
        <f>RIGHT(B878,2)</f>
        <v>16</v>
      </c>
      <c r="G878" s="29">
        <f>DATE(D878,E878,F878)</f>
        <v>42201</v>
      </c>
    </row>
    <row r="879" hidden="1">
      <c r="A879" s="1" t="s">
        <v>642</v>
      </c>
    </row>
    <row r="880" hidden="1">
      <c r="A880" s="1" t="s">
        <v>643</v>
      </c>
    </row>
    <row r="881">
      <c r="A881" s="1" t="s">
        <v>1331</v>
      </c>
      <c r="B881" s="2">
        <f>IFERROR(__xludf.DUMMYFUNCTION("SPLIT(A881,""_"")"),2.0150717E7)</f>
        <v>20150717</v>
      </c>
      <c r="C881" s="2" t="str">
        <f>IFERROR(__xludf.DUMMYFUNCTION("""COMPUTED_VALUE"""),"GWW")</f>
        <v>GWW</v>
      </c>
      <c r="D881" s="2" t="str">
        <f>LEFT(B881,4)</f>
        <v>2015</v>
      </c>
      <c r="E881" s="2" t="str">
        <f>MID(B881,5,2)</f>
        <v>07</v>
      </c>
      <c r="F881" s="2" t="str">
        <f>RIGHT(B881,2)</f>
        <v>17</v>
      </c>
      <c r="G881" s="29">
        <f>DATE(D881,E881,F881)</f>
        <v>42202</v>
      </c>
    </row>
    <row r="882" hidden="1">
      <c r="A882" s="1" t="s">
        <v>642</v>
      </c>
    </row>
    <row r="883" hidden="1">
      <c r="A883" s="1" t="s">
        <v>643</v>
      </c>
    </row>
    <row r="884">
      <c r="A884" s="1" t="s">
        <v>1332</v>
      </c>
      <c r="B884" s="2">
        <f>IFERROR(__xludf.DUMMYFUNCTION("SPLIT(A884,""_"")"),2.0150717E7)</f>
        <v>20150717</v>
      </c>
      <c r="C884" s="2" t="str">
        <f>IFERROR(__xludf.DUMMYFUNCTION("""COMPUTED_VALUE"""),"KSU")</f>
        <v>KSU</v>
      </c>
      <c r="D884" s="2" t="str">
        <f>LEFT(B884,4)</f>
        <v>2015</v>
      </c>
      <c r="E884" s="2" t="str">
        <f>MID(B884,5,2)</f>
        <v>07</v>
      </c>
      <c r="F884" s="2" t="str">
        <f>RIGHT(B884,2)</f>
        <v>17</v>
      </c>
      <c r="G884" s="29">
        <f>DATE(D884,E884,F884)</f>
        <v>42202</v>
      </c>
    </row>
    <row r="885" hidden="1">
      <c r="A885" s="1" t="s">
        <v>642</v>
      </c>
    </row>
    <row r="886" hidden="1">
      <c r="A886" s="1" t="s">
        <v>643</v>
      </c>
    </row>
    <row r="887">
      <c r="A887" s="1" t="s">
        <v>1333</v>
      </c>
      <c r="B887" s="2">
        <f>IFERROR(__xludf.DUMMYFUNCTION("SPLIT(A887,""_"")"),2.015072E7)</f>
        <v>20150720</v>
      </c>
      <c r="C887" s="2" t="str">
        <f>IFERROR(__xludf.DUMMYFUNCTION("""COMPUTED_VALUE"""),"EFII")</f>
        <v>EFII</v>
      </c>
      <c r="D887" s="2" t="str">
        <f>LEFT(B887,4)</f>
        <v>2015</v>
      </c>
      <c r="E887" s="2" t="str">
        <f>MID(B887,5,2)</f>
        <v>07</v>
      </c>
      <c r="F887" s="2" t="str">
        <f>RIGHT(B887,2)</f>
        <v>20</v>
      </c>
      <c r="G887" s="29">
        <f>DATE(D887,E887,F887)</f>
        <v>42205</v>
      </c>
    </row>
    <row r="888" hidden="1">
      <c r="A888" s="1" t="s">
        <v>642</v>
      </c>
    </row>
    <row r="889" hidden="1">
      <c r="A889" s="1" t="s">
        <v>643</v>
      </c>
    </row>
    <row r="890">
      <c r="A890" s="1" t="s">
        <v>1334</v>
      </c>
      <c r="B890" s="2">
        <f>IFERROR(__xludf.DUMMYFUNCTION("SPLIT(A890,""_"")"),2.015072E7)</f>
        <v>20150720</v>
      </c>
      <c r="C890" s="2" t="str">
        <f>IFERROR(__xludf.DUMMYFUNCTION("""COMPUTED_VALUE"""),"RMBS")</f>
        <v>RMBS</v>
      </c>
      <c r="D890" s="2" t="str">
        <f>LEFT(B890,4)</f>
        <v>2015</v>
      </c>
      <c r="E890" s="2" t="str">
        <f>MID(B890,5,2)</f>
        <v>07</v>
      </c>
      <c r="F890" s="2" t="str">
        <f>RIGHT(B890,2)</f>
        <v>20</v>
      </c>
      <c r="G890" s="29">
        <f>DATE(D890,E890,F890)</f>
        <v>42205</v>
      </c>
    </row>
    <row r="891" hidden="1">
      <c r="A891" s="1" t="s">
        <v>642</v>
      </c>
    </row>
    <row r="892" hidden="1">
      <c r="A892" s="1" t="s">
        <v>643</v>
      </c>
    </row>
    <row r="893">
      <c r="A893" s="1" t="s">
        <v>1335</v>
      </c>
      <c r="B893" s="2">
        <f>IFERROR(__xludf.DUMMYFUNCTION("SPLIT(A893,""_"")"),2.0150721E7)</f>
        <v>20150721</v>
      </c>
      <c r="C893" s="2" t="str">
        <f>IFERROR(__xludf.DUMMYFUNCTION("""COMPUTED_VALUE"""),"AAPL")</f>
        <v>AAPL</v>
      </c>
      <c r="D893" s="2" t="str">
        <f>LEFT(B893,4)</f>
        <v>2015</v>
      </c>
      <c r="E893" s="2" t="str">
        <f>MID(B893,5,2)</f>
        <v>07</v>
      </c>
      <c r="F893" s="2" t="str">
        <f>RIGHT(B893,2)</f>
        <v>21</v>
      </c>
      <c r="G893" s="29">
        <f>DATE(D893,E893,F893)</f>
        <v>42206</v>
      </c>
    </row>
    <row r="894" hidden="1">
      <c r="A894" s="1" t="s">
        <v>642</v>
      </c>
    </row>
    <row r="895" hidden="1">
      <c r="A895" s="1" t="s">
        <v>643</v>
      </c>
    </row>
    <row r="896">
      <c r="A896" s="1" t="s">
        <v>1336</v>
      </c>
      <c r="B896" s="2">
        <f>IFERROR(__xludf.DUMMYFUNCTION("SPLIT(A896,""_"")"),2.0150721E7)</f>
        <v>20150721</v>
      </c>
      <c r="C896" s="2" t="str">
        <f>IFERROR(__xludf.DUMMYFUNCTION("""COMPUTED_VALUE"""),"ABG")</f>
        <v>ABG</v>
      </c>
      <c r="D896" s="2" t="str">
        <f>LEFT(B896,4)</f>
        <v>2015</v>
      </c>
      <c r="E896" s="2" t="str">
        <f>MID(B896,5,2)</f>
        <v>07</v>
      </c>
      <c r="F896" s="2" t="str">
        <f>RIGHT(B896,2)</f>
        <v>21</v>
      </c>
      <c r="G896" s="29">
        <f>DATE(D896,E896,F896)</f>
        <v>42206</v>
      </c>
    </row>
    <row r="897" hidden="1">
      <c r="A897" s="1" t="s">
        <v>642</v>
      </c>
    </row>
    <row r="898" hidden="1">
      <c r="A898" s="1" t="s">
        <v>643</v>
      </c>
    </row>
    <row r="899">
      <c r="A899" s="1" t="s">
        <v>1337</v>
      </c>
      <c r="B899" s="2">
        <f>IFERROR(__xludf.DUMMYFUNCTION("SPLIT(A899,""_"")"),2.0150721E7)</f>
        <v>20150721</v>
      </c>
      <c r="C899" s="2" t="str">
        <f>IFERROR(__xludf.DUMMYFUNCTION("""COMPUTED_VALUE"""),"ASTE")</f>
        <v>ASTE</v>
      </c>
      <c r="D899" s="2" t="str">
        <f>LEFT(B899,4)</f>
        <v>2015</v>
      </c>
      <c r="E899" s="2" t="str">
        <f>MID(B899,5,2)</f>
        <v>07</v>
      </c>
      <c r="F899" s="2" t="str">
        <f>RIGHT(B899,2)</f>
        <v>21</v>
      </c>
      <c r="G899" s="29">
        <f>DATE(D899,E899,F899)</f>
        <v>42206</v>
      </c>
    </row>
    <row r="900" hidden="1">
      <c r="A900" s="1" t="s">
        <v>642</v>
      </c>
    </row>
    <row r="901" hidden="1">
      <c r="A901" s="1" t="s">
        <v>643</v>
      </c>
    </row>
    <row r="902">
      <c r="A902" s="1" t="s">
        <v>1338</v>
      </c>
      <c r="B902" s="2">
        <f>IFERROR(__xludf.DUMMYFUNCTION("SPLIT(A902,""_"")"),2.0150721E7)</f>
        <v>20150721</v>
      </c>
      <c r="C902" s="2" t="str">
        <f>IFERROR(__xludf.DUMMYFUNCTION("""COMPUTED_VALUE"""),"ATI")</f>
        <v>ATI</v>
      </c>
      <c r="D902" s="2" t="str">
        <f>LEFT(B902,4)</f>
        <v>2015</v>
      </c>
      <c r="E902" s="2" t="str">
        <f>MID(B902,5,2)</f>
        <v>07</v>
      </c>
      <c r="F902" s="2" t="str">
        <f>RIGHT(B902,2)</f>
        <v>21</v>
      </c>
      <c r="G902" s="29">
        <f>DATE(D902,E902,F902)</f>
        <v>42206</v>
      </c>
    </row>
    <row r="903" hidden="1">
      <c r="A903" s="1" t="s">
        <v>642</v>
      </c>
    </row>
    <row r="904" hidden="1">
      <c r="A904" s="1" t="s">
        <v>643</v>
      </c>
    </row>
    <row r="905">
      <c r="A905" s="1" t="s">
        <v>1339</v>
      </c>
      <c r="B905" s="2">
        <f>IFERROR(__xludf.DUMMYFUNCTION("SPLIT(A905,""_"")"),2.0150721E7)</f>
        <v>20150721</v>
      </c>
      <c r="C905" s="2" t="str">
        <f>IFERROR(__xludf.DUMMYFUNCTION("""COMPUTED_VALUE"""),"CATY")</f>
        <v>CATY</v>
      </c>
      <c r="D905" s="2" t="str">
        <f>LEFT(B905,4)</f>
        <v>2015</v>
      </c>
      <c r="E905" s="2" t="str">
        <f>MID(B905,5,2)</f>
        <v>07</v>
      </c>
      <c r="F905" s="2" t="str">
        <f>RIGHT(B905,2)</f>
        <v>21</v>
      </c>
      <c r="G905" s="29">
        <f>DATE(D905,E905,F905)</f>
        <v>42206</v>
      </c>
    </row>
    <row r="906" hidden="1">
      <c r="A906" s="1" t="s">
        <v>642</v>
      </c>
    </row>
    <row r="907" hidden="1">
      <c r="A907" s="1" t="s">
        <v>643</v>
      </c>
    </row>
    <row r="908">
      <c r="A908" s="1" t="s">
        <v>1340</v>
      </c>
      <c r="B908" s="2">
        <f>IFERROR(__xludf.DUMMYFUNCTION("SPLIT(A908,""_"")"),2.0150721E7)</f>
        <v>20150721</v>
      </c>
      <c r="C908" s="2" t="str">
        <f>IFERROR(__xludf.DUMMYFUNCTION("""COMPUTED_VALUE"""),"CMG")</f>
        <v>CMG</v>
      </c>
      <c r="D908" s="2" t="str">
        <f>LEFT(B908,4)</f>
        <v>2015</v>
      </c>
      <c r="E908" s="2" t="str">
        <f>MID(B908,5,2)</f>
        <v>07</v>
      </c>
      <c r="F908" s="2" t="str">
        <f>RIGHT(B908,2)</f>
        <v>21</v>
      </c>
      <c r="G908" s="29">
        <f>DATE(D908,E908,F908)</f>
        <v>42206</v>
      </c>
    </row>
    <row r="909" hidden="1">
      <c r="A909" s="1" t="s">
        <v>642</v>
      </c>
    </row>
    <row r="910" hidden="1">
      <c r="A910" s="1" t="s">
        <v>643</v>
      </c>
    </row>
    <row r="911">
      <c r="A911" s="1" t="s">
        <v>1341</v>
      </c>
      <c r="B911" s="2">
        <f>IFERROR(__xludf.DUMMYFUNCTION("SPLIT(A911,""_"")"),2.0150721E7)</f>
        <v>20150721</v>
      </c>
      <c r="C911" s="2" t="str">
        <f>IFERROR(__xludf.DUMMYFUNCTION("""COMPUTED_VALUE"""),"EXPO")</f>
        <v>EXPO</v>
      </c>
      <c r="D911" s="2" t="str">
        <f>LEFT(B911,4)</f>
        <v>2015</v>
      </c>
      <c r="E911" s="2" t="str">
        <f>MID(B911,5,2)</f>
        <v>07</v>
      </c>
      <c r="F911" s="2" t="str">
        <f>RIGHT(B911,2)</f>
        <v>21</v>
      </c>
      <c r="G911" s="29">
        <f>DATE(D911,E911,F911)</f>
        <v>42206</v>
      </c>
    </row>
    <row r="912" hidden="1">
      <c r="A912" s="1" t="s">
        <v>642</v>
      </c>
    </row>
    <row r="913" hidden="1">
      <c r="A913" s="1" t="s">
        <v>643</v>
      </c>
    </row>
    <row r="914">
      <c r="A914" s="1" t="s">
        <v>1342</v>
      </c>
      <c r="B914" s="2">
        <f>IFERROR(__xludf.DUMMYFUNCTION("SPLIT(A914,""_"")"),2.0150721E7)</f>
        <v>20150721</v>
      </c>
      <c r="C914" s="2" t="str">
        <f>IFERROR(__xludf.DUMMYFUNCTION("""COMPUTED_VALUE"""),"IBKR")</f>
        <v>IBKR</v>
      </c>
      <c r="D914" s="2" t="str">
        <f>LEFT(B914,4)</f>
        <v>2015</v>
      </c>
      <c r="E914" s="2" t="str">
        <f>MID(B914,5,2)</f>
        <v>07</v>
      </c>
      <c r="F914" s="2" t="str">
        <f>RIGHT(B914,2)</f>
        <v>21</v>
      </c>
      <c r="G914" s="29">
        <f>DATE(D914,E914,F914)</f>
        <v>42206</v>
      </c>
    </row>
    <row r="915" hidden="1">
      <c r="A915" s="1" t="s">
        <v>642</v>
      </c>
    </row>
    <row r="916" hidden="1">
      <c r="A916" s="1" t="s">
        <v>643</v>
      </c>
    </row>
    <row r="917">
      <c r="A917" s="1" t="s">
        <v>1343</v>
      </c>
      <c r="B917" s="2">
        <f>IFERROR(__xludf.DUMMYFUNCTION("SPLIT(A917,""_"")"),2.0150721E7)</f>
        <v>20150721</v>
      </c>
      <c r="C917" s="2" t="str">
        <f>IFERROR(__xludf.DUMMYFUNCTION("""COMPUTED_VALUE"""),"MANH")</f>
        <v>MANH</v>
      </c>
      <c r="D917" s="2" t="str">
        <f>LEFT(B917,4)</f>
        <v>2015</v>
      </c>
      <c r="E917" s="2" t="str">
        <f>MID(B917,5,2)</f>
        <v>07</v>
      </c>
      <c r="F917" s="2" t="str">
        <f>RIGHT(B917,2)</f>
        <v>21</v>
      </c>
      <c r="G917" s="29">
        <f>DATE(D917,E917,F917)</f>
        <v>42206</v>
      </c>
    </row>
    <row r="918" hidden="1">
      <c r="A918" s="1" t="s">
        <v>642</v>
      </c>
    </row>
    <row r="919" hidden="1">
      <c r="A919" s="1" t="s">
        <v>643</v>
      </c>
    </row>
    <row r="920">
      <c r="A920" s="1" t="s">
        <v>1344</v>
      </c>
      <c r="B920" s="2">
        <f>IFERROR(__xludf.DUMMYFUNCTION("SPLIT(A920,""_"")"),2.0150721E7)</f>
        <v>20150721</v>
      </c>
      <c r="C920" s="2" t="str">
        <f>IFERROR(__xludf.DUMMYFUNCTION("""COMPUTED_VALUE"""),"MSFT")</f>
        <v>MSFT</v>
      </c>
      <c r="D920" s="2" t="str">
        <f>LEFT(B920,4)</f>
        <v>2015</v>
      </c>
      <c r="E920" s="2" t="str">
        <f>MID(B920,5,2)</f>
        <v>07</v>
      </c>
      <c r="F920" s="2" t="str">
        <f>RIGHT(B920,2)</f>
        <v>21</v>
      </c>
      <c r="G920" s="29">
        <f>DATE(D920,E920,F920)</f>
        <v>42206</v>
      </c>
    </row>
    <row r="921" hidden="1">
      <c r="A921" s="1" t="s">
        <v>642</v>
      </c>
    </row>
    <row r="922" hidden="1">
      <c r="A922" s="1" t="s">
        <v>643</v>
      </c>
    </row>
    <row r="923">
      <c r="A923" s="1" t="s">
        <v>1345</v>
      </c>
      <c r="B923" s="2">
        <f>IFERROR(__xludf.DUMMYFUNCTION("SPLIT(A923,""_"")"),2.0150721E7)</f>
        <v>20150721</v>
      </c>
      <c r="C923" s="2" t="str">
        <f>IFERROR(__xludf.DUMMYFUNCTION("""COMPUTED_VALUE"""),"SBNY")</f>
        <v>SBNY</v>
      </c>
      <c r="D923" s="2" t="str">
        <f>LEFT(B923,4)</f>
        <v>2015</v>
      </c>
      <c r="E923" s="2" t="str">
        <f>MID(B923,5,2)</f>
        <v>07</v>
      </c>
      <c r="F923" s="2" t="str">
        <f>RIGHT(B923,2)</f>
        <v>21</v>
      </c>
      <c r="G923" s="29">
        <f>DATE(D923,E923,F923)</f>
        <v>42206</v>
      </c>
    </row>
    <row r="924" hidden="1">
      <c r="A924" s="1" t="s">
        <v>642</v>
      </c>
    </row>
    <row r="925" hidden="1">
      <c r="A925" s="1" t="s">
        <v>643</v>
      </c>
    </row>
    <row r="926">
      <c r="A926" s="1" t="s">
        <v>1346</v>
      </c>
      <c r="B926" s="2">
        <f>IFERROR(__xludf.DUMMYFUNCTION("SPLIT(A926,""_"")"),2.0150721E7)</f>
        <v>20150721</v>
      </c>
      <c r="C926" s="2" t="str">
        <f>IFERROR(__xludf.DUMMYFUNCTION("""COMPUTED_VALUE"""),"SNV")</f>
        <v>SNV</v>
      </c>
      <c r="D926" s="2" t="str">
        <f>LEFT(B926,4)</f>
        <v>2015</v>
      </c>
      <c r="E926" s="2" t="str">
        <f>MID(B926,5,2)</f>
        <v>07</v>
      </c>
      <c r="F926" s="2" t="str">
        <f>RIGHT(B926,2)</f>
        <v>21</v>
      </c>
      <c r="G926" s="29">
        <f>DATE(D926,E926,F926)</f>
        <v>42206</v>
      </c>
    </row>
    <row r="927" hidden="1">
      <c r="A927" s="1" t="s">
        <v>642</v>
      </c>
    </row>
    <row r="928" hidden="1">
      <c r="A928" s="1" t="s">
        <v>643</v>
      </c>
    </row>
    <row r="929">
      <c r="A929" s="1" t="s">
        <v>1347</v>
      </c>
      <c r="B929" s="2">
        <f>IFERROR(__xludf.DUMMYFUNCTION("SPLIT(A929,""_"")"),2.0150721E7)</f>
        <v>20150721</v>
      </c>
      <c r="C929" s="2" t="str">
        <f>IFERROR(__xludf.DUMMYFUNCTION("""COMPUTED_VALUE"""),"STBA")</f>
        <v>STBA</v>
      </c>
      <c r="D929" s="2" t="str">
        <f>LEFT(B929,4)</f>
        <v>2015</v>
      </c>
      <c r="E929" s="2" t="str">
        <f>MID(B929,5,2)</f>
        <v>07</v>
      </c>
      <c r="F929" s="2" t="str">
        <f>RIGHT(B929,2)</f>
        <v>21</v>
      </c>
      <c r="G929" s="29">
        <f>DATE(D929,E929,F929)</f>
        <v>42206</v>
      </c>
    </row>
    <row r="930" hidden="1">
      <c r="A930" s="1" t="s">
        <v>642</v>
      </c>
    </row>
    <row r="931" hidden="1">
      <c r="A931" s="1" t="s">
        <v>643</v>
      </c>
    </row>
    <row r="932">
      <c r="A932" s="1" t="s">
        <v>1348</v>
      </c>
      <c r="B932" s="2">
        <f>IFERROR(__xludf.DUMMYFUNCTION("SPLIT(A932,""_"")"),2.0150721E7)</f>
        <v>20150721</v>
      </c>
      <c r="C932" s="2" t="str">
        <f>IFERROR(__xludf.DUMMYFUNCTION("""COMPUTED_VALUE"""),"TRV")</f>
        <v>TRV</v>
      </c>
      <c r="D932" s="2" t="str">
        <f>LEFT(B932,4)</f>
        <v>2015</v>
      </c>
      <c r="E932" s="2" t="str">
        <f>MID(B932,5,2)</f>
        <v>07</v>
      </c>
      <c r="F932" s="2" t="str">
        <f>RIGHT(B932,2)</f>
        <v>21</v>
      </c>
      <c r="G932" s="29">
        <f>DATE(D932,E932,F932)</f>
        <v>42206</v>
      </c>
    </row>
    <row r="933" hidden="1">
      <c r="A933" s="1" t="s">
        <v>642</v>
      </c>
    </row>
    <row r="934" hidden="1">
      <c r="A934" s="1" t="s">
        <v>643</v>
      </c>
    </row>
    <row r="935">
      <c r="A935" s="1" t="s">
        <v>1349</v>
      </c>
      <c r="B935" s="2">
        <f>IFERROR(__xludf.DUMMYFUNCTION("SPLIT(A935,""_"")"),2.0150721E7)</f>
        <v>20150721</v>
      </c>
      <c r="C935" s="2" t="str">
        <f>IFERROR(__xludf.DUMMYFUNCTION("""COMPUTED_VALUE"""),"VZ")</f>
        <v>VZ</v>
      </c>
      <c r="D935" s="2" t="str">
        <f>LEFT(B935,4)</f>
        <v>2015</v>
      </c>
      <c r="E935" s="2" t="str">
        <f>MID(B935,5,2)</f>
        <v>07</v>
      </c>
      <c r="F935" s="2" t="str">
        <f>RIGHT(B935,2)</f>
        <v>21</v>
      </c>
      <c r="G935" s="29">
        <f>DATE(D935,E935,F935)</f>
        <v>42206</v>
      </c>
    </row>
    <row r="936" hidden="1">
      <c r="A936" s="1" t="s">
        <v>642</v>
      </c>
    </row>
    <row r="937" hidden="1">
      <c r="A937" s="1" t="s">
        <v>643</v>
      </c>
    </row>
    <row r="938">
      <c r="A938" s="1" t="s">
        <v>1350</v>
      </c>
      <c r="B938" s="2">
        <f>IFERROR(__xludf.DUMMYFUNCTION("SPLIT(A938,""_"")"),2.0150721E7)</f>
        <v>20150721</v>
      </c>
      <c r="C938" s="2" t="str">
        <f>IFERROR(__xludf.DUMMYFUNCTION("""COMPUTED_VALUE"""),"WSO")</f>
        <v>WSO</v>
      </c>
      <c r="D938" s="2" t="str">
        <f>LEFT(B938,4)</f>
        <v>2015</v>
      </c>
      <c r="E938" s="2" t="str">
        <f>MID(B938,5,2)</f>
        <v>07</v>
      </c>
      <c r="F938" s="2" t="str">
        <f>RIGHT(B938,2)</f>
        <v>21</v>
      </c>
      <c r="G938" s="29">
        <f>DATE(D938,E938,F938)</f>
        <v>42206</v>
      </c>
    </row>
    <row r="939" hidden="1">
      <c r="A939" s="1" t="s">
        <v>642</v>
      </c>
    </row>
    <row r="940" hidden="1">
      <c r="A940" s="1" t="s">
        <v>643</v>
      </c>
    </row>
    <row r="941">
      <c r="A941" s="1" t="s">
        <v>1351</v>
      </c>
      <c r="B941" s="2">
        <f>IFERROR(__xludf.DUMMYFUNCTION("SPLIT(A941,""_"")"),2.0150722E7)</f>
        <v>20150722</v>
      </c>
      <c r="C941" s="2" t="str">
        <f>IFERROR(__xludf.DUMMYFUNCTION("""COMPUTED_VALUE"""),"AXP")</f>
        <v>AXP</v>
      </c>
      <c r="D941" s="2" t="str">
        <f>LEFT(B941,4)</f>
        <v>2015</v>
      </c>
      <c r="E941" s="2" t="str">
        <f>MID(B941,5,2)</f>
        <v>07</v>
      </c>
      <c r="F941" s="2" t="str">
        <f>RIGHT(B941,2)</f>
        <v>22</v>
      </c>
      <c r="G941" s="29">
        <f>DATE(D941,E941,F941)</f>
        <v>42207</v>
      </c>
    </row>
    <row r="942" hidden="1">
      <c r="A942" s="1" t="s">
        <v>642</v>
      </c>
    </row>
    <row r="943" hidden="1">
      <c r="A943" s="1" t="s">
        <v>643</v>
      </c>
    </row>
    <row r="944">
      <c r="A944" s="1" t="s">
        <v>1352</v>
      </c>
      <c r="B944" s="2">
        <f>IFERROR(__xludf.DUMMYFUNCTION("SPLIT(A944,""_"")"),2.0150722E7)</f>
        <v>20150722</v>
      </c>
      <c r="C944" s="2" t="str">
        <f>IFERROR(__xludf.DUMMYFUNCTION("""COMPUTED_VALUE"""),"CAKE")</f>
        <v>CAKE</v>
      </c>
      <c r="D944" s="2" t="str">
        <f>LEFT(B944,4)</f>
        <v>2015</v>
      </c>
      <c r="E944" s="2" t="str">
        <f>MID(B944,5,2)</f>
        <v>07</v>
      </c>
      <c r="F944" s="2" t="str">
        <f>RIGHT(B944,2)</f>
        <v>22</v>
      </c>
      <c r="G944" s="29">
        <f>DATE(D944,E944,F944)</f>
        <v>42207</v>
      </c>
    </row>
    <row r="945" hidden="1">
      <c r="A945" s="1" t="s">
        <v>642</v>
      </c>
    </row>
    <row r="946" hidden="1">
      <c r="A946" s="1" t="s">
        <v>643</v>
      </c>
    </row>
    <row r="947">
      <c r="A947" s="1" t="s">
        <v>1353</v>
      </c>
      <c r="B947" s="2">
        <f>IFERROR(__xludf.DUMMYFUNCTION("SPLIT(A947,""_"")"),2.0150722E7)</f>
        <v>20150722</v>
      </c>
      <c r="C947" s="2" t="str">
        <f>IFERROR(__xludf.DUMMYFUNCTION("""COMPUTED_VALUE"""),"EGHT")</f>
        <v>EGHT</v>
      </c>
      <c r="D947" s="2" t="str">
        <f>LEFT(B947,4)</f>
        <v>2015</v>
      </c>
      <c r="E947" s="2" t="str">
        <f>MID(B947,5,2)</f>
        <v>07</v>
      </c>
      <c r="F947" s="2" t="str">
        <f>RIGHT(B947,2)</f>
        <v>22</v>
      </c>
      <c r="G947" s="29">
        <f>DATE(D947,E947,F947)</f>
        <v>42207</v>
      </c>
    </row>
    <row r="948" hidden="1">
      <c r="A948" s="1" t="s">
        <v>642</v>
      </c>
    </row>
    <row r="949" hidden="1">
      <c r="A949" s="1" t="s">
        <v>643</v>
      </c>
    </row>
    <row r="950">
      <c r="A950" s="1" t="s">
        <v>1354</v>
      </c>
      <c r="B950" s="2">
        <f>IFERROR(__xludf.DUMMYFUNCTION("SPLIT(A950,""_"")"),2.0150722E7)</f>
        <v>20150722</v>
      </c>
      <c r="C950" s="2" t="str">
        <f>IFERROR(__xludf.DUMMYFUNCTION("""COMPUTED_VALUE"""),"FTNT")</f>
        <v>FTNT</v>
      </c>
      <c r="D950" s="2" t="str">
        <f>LEFT(B950,4)</f>
        <v>2015</v>
      </c>
      <c r="E950" s="2" t="str">
        <f>MID(B950,5,2)</f>
        <v>07</v>
      </c>
      <c r="F950" s="2" t="str">
        <f>RIGHT(B950,2)</f>
        <v>22</v>
      </c>
      <c r="G950" s="29">
        <f>DATE(D950,E950,F950)</f>
        <v>42207</v>
      </c>
    </row>
    <row r="951" hidden="1">
      <c r="A951" s="1" t="s">
        <v>642</v>
      </c>
    </row>
    <row r="952" hidden="1">
      <c r="A952" s="1" t="s">
        <v>643</v>
      </c>
    </row>
    <row r="953">
      <c r="A953" s="1" t="s">
        <v>1355</v>
      </c>
      <c r="B953" s="2">
        <f>IFERROR(__xludf.DUMMYFUNCTION("SPLIT(A953,""_"")"),2.0150722E7)</f>
        <v>20150722</v>
      </c>
      <c r="C953" s="2" t="str">
        <f>IFERROR(__xludf.DUMMYFUNCTION("""COMPUTED_VALUE"""),"TSCO")</f>
        <v>TSCO</v>
      </c>
      <c r="D953" s="2" t="str">
        <f>LEFT(B953,4)</f>
        <v>2015</v>
      </c>
      <c r="E953" s="2" t="str">
        <f>MID(B953,5,2)</f>
        <v>07</v>
      </c>
      <c r="F953" s="2" t="str">
        <f>RIGHT(B953,2)</f>
        <v>22</v>
      </c>
      <c r="G953" s="29">
        <f>DATE(D953,E953,F953)</f>
        <v>42207</v>
      </c>
    </row>
    <row r="954" hidden="1">
      <c r="A954" s="1" t="s">
        <v>642</v>
      </c>
    </row>
    <row r="955" hidden="1">
      <c r="A955" s="1" t="s">
        <v>643</v>
      </c>
    </row>
    <row r="956">
      <c r="A956" s="1" t="s">
        <v>1356</v>
      </c>
      <c r="B956" s="2">
        <f>IFERROR(__xludf.DUMMYFUNCTION("SPLIT(A956,""_"")"),2.0150722E7)</f>
        <v>20150722</v>
      </c>
      <c r="C956" s="2" t="str">
        <f>IFERROR(__xludf.DUMMYFUNCTION("""COMPUTED_VALUE"""),"TUP")</f>
        <v>TUP</v>
      </c>
      <c r="D956" s="2" t="str">
        <f>LEFT(B956,4)</f>
        <v>2015</v>
      </c>
      <c r="E956" s="2" t="str">
        <f>MID(B956,5,2)</f>
        <v>07</v>
      </c>
      <c r="F956" s="2" t="str">
        <f>RIGHT(B956,2)</f>
        <v>22</v>
      </c>
      <c r="G956" s="29">
        <f>DATE(D956,E956,F956)</f>
        <v>42207</v>
      </c>
    </row>
    <row r="957" hidden="1">
      <c r="A957" s="1" t="s">
        <v>642</v>
      </c>
    </row>
    <row r="958" hidden="1">
      <c r="A958" s="1" t="s">
        <v>643</v>
      </c>
    </row>
    <row r="959">
      <c r="A959" s="1" t="s">
        <v>1357</v>
      </c>
      <c r="B959" s="2">
        <f>IFERROR(__xludf.DUMMYFUNCTION("SPLIT(A959,""_"")"),2.0150723E7)</f>
        <v>20150723</v>
      </c>
      <c r="C959" s="2" t="str">
        <f>IFERROR(__xludf.DUMMYFUNCTION("""COMPUTED_VALUE"""),"ABC")</f>
        <v>ABC</v>
      </c>
      <c r="D959" s="2" t="str">
        <f>LEFT(B959,4)</f>
        <v>2015</v>
      </c>
      <c r="E959" s="2" t="str">
        <f>MID(B959,5,2)</f>
        <v>07</v>
      </c>
      <c r="F959" s="2" t="str">
        <f>RIGHT(B959,2)</f>
        <v>23</v>
      </c>
      <c r="G959" s="29">
        <f>DATE(D959,E959,F959)</f>
        <v>42208</v>
      </c>
    </row>
    <row r="960" hidden="1">
      <c r="A960" s="1" t="s">
        <v>642</v>
      </c>
    </row>
    <row r="961" hidden="1">
      <c r="A961" s="1" t="s">
        <v>643</v>
      </c>
    </row>
    <row r="962">
      <c r="A962" s="1" t="s">
        <v>1358</v>
      </c>
      <c r="B962" s="2">
        <f>IFERROR(__xludf.DUMMYFUNCTION("SPLIT(A962,""_"")"),2.0150723E7)</f>
        <v>20150723</v>
      </c>
      <c r="C962" s="2" t="str">
        <f>IFERROR(__xludf.DUMMYFUNCTION("""COMPUTED_VALUE"""),"ALK")</f>
        <v>ALK</v>
      </c>
      <c r="D962" s="2" t="str">
        <f>LEFT(B962,4)</f>
        <v>2015</v>
      </c>
      <c r="E962" s="2" t="str">
        <f>MID(B962,5,2)</f>
        <v>07</v>
      </c>
      <c r="F962" s="2" t="str">
        <f>RIGHT(B962,2)</f>
        <v>23</v>
      </c>
      <c r="G962" s="29">
        <f>DATE(D962,E962,F962)</f>
        <v>42208</v>
      </c>
    </row>
    <row r="963" hidden="1">
      <c r="A963" s="1" t="s">
        <v>642</v>
      </c>
    </row>
    <row r="964" hidden="1">
      <c r="A964" s="1" t="s">
        <v>643</v>
      </c>
    </row>
    <row r="965">
      <c r="A965" s="1" t="s">
        <v>1359</v>
      </c>
      <c r="B965" s="2">
        <f>IFERROR(__xludf.DUMMYFUNCTION("SPLIT(A965,""_"")"),2.0150723E7)</f>
        <v>20150723</v>
      </c>
      <c r="C965" s="2" t="str">
        <f>IFERROR(__xludf.DUMMYFUNCTION("""COMPUTED_VALUE"""),"AMZN")</f>
        <v>AMZN</v>
      </c>
      <c r="D965" s="2" t="str">
        <f>LEFT(B965,4)</f>
        <v>2015</v>
      </c>
      <c r="E965" s="2" t="str">
        <f>MID(B965,5,2)</f>
        <v>07</v>
      </c>
      <c r="F965" s="2" t="str">
        <f>RIGHT(B965,2)</f>
        <v>23</v>
      </c>
      <c r="G965" s="29">
        <f>DATE(D965,E965,F965)</f>
        <v>42208</v>
      </c>
    </row>
    <row r="966" hidden="1">
      <c r="A966" s="1" t="s">
        <v>642</v>
      </c>
    </row>
    <row r="967" hidden="1">
      <c r="A967" s="1" t="s">
        <v>643</v>
      </c>
    </row>
    <row r="968">
      <c r="A968" s="1" t="s">
        <v>1360</v>
      </c>
      <c r="B968" s="2">
        <f>IFERROR(__xludf.DUMMYFUNCTION("SPLIT(A968,""_"")"),2.0150723E7)</f>
        <v>20150723</v>
      </c>
      <c r="C968" s="2" t="str">
        <f>IFERROR(__xludf.DUMMYFUNCTION("""COMPUTED_VALUE"""),"AOS")</f>
        <v>AOS</v>
      </c>
      <c r="D968" s="2" t="str">
        <f>LEFT(B968,4)</f>
        <v>2015</v>
      </c>
      <c r="E968" s="2" t="str">
        <f>MID(B968,5,2)</f>
        <v>07</v>
      </c>
      <c r="F968" s="2" t="str">
        <f>RIGHT(B968,2)</f>
        <v>23</v>
      </c>
      <c r="G968" s="29">
        <f>DATE(D968,E968,F968)</f>
        <v>42208</v>
      </c>
    </row>
    <row r="969" hidden="1">
      <c r="A969" s="1" t="s">
        <v>642</v>
      </c>
    </row>
    <row r="970" hidden="1">
      <c r="A970" s="1" t="s">
        <v>643</v>
      </c>
    </row>
    <row r="971">
      <c r="A971" s="1" t="s">
        <v>1361</v>
      </c>
      <c r="B971" s="2">
        <f>IFERROR(__xludf.DUMMYFUNCTION("SPLIT(A971,""_"")"),2.0150723E7)</f>
        <v>20150723</v>
      </c>
      <c r="C971" s="2" t="str">
        <f>IFERROR(__xludf.DUMMYFUNCTION("""COMPUTED_VALUE"""),"CMCSA")</f>
        <v>CMCSA</v>
      </c>
      <c r="D971" s="2" t="str">
        <f>LEFT(B971,4)</f>
        <v>2015</v>
      </c>
      <c r="E971" s="2" t="str">
        <f>MID(B971,5,2)</f>
        <v>07</v>
      </c>
      <c r="F971" s="2" t="str">
        <f>RIGHT(B971,2)</f>
        <v>23</v>
      </c>
      <c r="G971" s="29">
        <f>DATE(D971,E971,F971)</f>
        <v>42208</v>
      </c>
    </row>
    <row r="972" hidden="1">
      <c r="A972" s="1" t="s">
        <v>642</v>
      </c>
    </row>
    <row r="973" hidden="1">
      <c r="A973" s="1" t="s">
        <v>643</v>
      </c>
    </row>
    <row r="974">
      <c r="A974" s="1" t="s">
        <v>1362</v>
      </c>
      <c r="B974" s="2">
        <f>IFERROR(__xludf.DUMMYFUNCTION("SPLIT(A974,""_"")"),2.0150723E7)</f>
        <v>20150723</v>
      </c>
      <c r="C974" s="2" t="str">
        <f>IFERROR(__xludf.DUMMYFUNCTION("""COMPUTED_VALUE"""),"COF")</f>
        <v>COF</v>
      </c>
      <c r="D974" s="2" t="str">
        <f>LEFT(B974,4)</f>
        <v>2015</v>
      </c>
      <c r="E974" s="2" t="str">
        <f>MID(B974,5,2)</f>
        <v>07</v>
      </c>
      <c r="F974" s="2" t="str">
        <f>RIGHT(B974,2)</f>
        <v>23</v>
      </c>
      <c r="G974" s="29">
        <f>DATE(D974,E974,F974)</f>
        <v>42208</v>
      </c>
    </row>
    <row r="975" hidden="1">
      <c r="A975" s="1" t="s">
        <v>642</v>
      </c>
    </row>
    <row r="976" hidden="1">
      <c r="A976" s="1" t="s">
        <v>643</v>
      </c>
    </row>
    <row r="977">
      <c r="A977" s="1" t="s">
        <v>1363</v>
      </c>
      <c r="B977" s="2">
        <f>IFERROR(__xludf.DUMMYFUNCTION("SPLIT(A977,""_"")"),2.0150723E7)</f>
        <v>20150723</v>
      </c>
      <c r="C977" s="2" t="str">
        <f>IFERROR(__xludf.DUMMYFUNCTION("""COMPUTED_VALUE"""),"CSL")</f>
        <v>CSL</v>
      </c>
      <c r="D977" s="2" t="str">
        <f>LEFT(B977,4)</f>
        <v>2015</v>
      </c>
      <c r="E977" s="2" t="str">
        <f>MID(B977,5,2)</f>
        <v>07</v>
      </c>
      <c r="F977" s="2" t="str">
        <f>RIGHT(B977,2)</f>
        <v>23</v>
      </c>
      <c r="G977" s="29">
        <f>DATE(D977,E977,F977)</f>
        <v>42208</v>
      </c>
    </row>
    <row r="978" hidden="1">
      <c r="A978" s="1" t="s">
        <v>642</v>
      </c>
    </row>
    <row r="979" hidden="1">
      <c r="A979" s="1" t="s">
        <v>643</v>
      </c>
    </row>
    <row r="980">
      <c r="A980" s="1" t="s">
        <v>1364</v>
      </c>
      <c r="B980" s="2">
        <f>IFERROR(__xludf.DUMMYFUNCTION("SPLIT(A980,""_"")"),2.0150723E7)</f>
        <v>20150723</v>
      </c>
      <c r="C980" s="2" t="str">
        <f>IFERROR(__xludf.DUMMYFUNCTION("""COMPUTED_VALUE"""),"DGII")</f>
        <v>DGII</v>
      </c>
      <c r="D980" s="2" t="str">
        <f>LEFT(B980,4)</f>
        <v>2015</v>
      </c>
      <c r="E980" s="2" t="str">
        <f>MID(B980,5,2)</f>
        <v>07</v>
      </c>
      <c r="F980" s="2" t="str">
        <f>RIGHT(B980,2)</f>
        <v>23</v>
      </c>
      <c r="G980" s="29">
        <f>DATE(D980,E980,F980)</f>
        <v>42208</v>
      </c>
    </row>
    <row r="981" hidden="1">
      <c r="A981" s="1" t="s">
        <v>642</v>
      </c>
    </row>
    <row r="982" hidden="1">
      <c r="A982" s="1" t="s">
        <v>643</v>
      </c>
    </row>
    <row r="983">
      <c r="A983" s="1" t="s">
        <v>1365</v>
      </c>
      <c r="B983" s="2">
        <f>IFERROR(__xludf.DUMMYFUNCTION("SPLIT(A983,""_"")"),2.0150723E7)</f>
        <v>20150723</v>
      </c>
      <c r="C983" s="2" t="str">
        <f>IFERROR(__xludf.DUMMYFUNCTION("""COMPUTED_VALUE"""),"DGX")</f>
        <v>DGX</v>
      </c>
      <c r="D983" s="2" t="str">
        <f>LEFT(B983,4)</f>
        <v>2015</v>
      </c>
      <c r="E983" s="2" t="str">
        <f>MID(B983,5,2)</f>
        <v>07</v>
      </c>
      <c r="F983" s="2" t="str">
        <f>RIGHT(B983,2)</f>
        <v>23</v>
      </c>
      <c r="G983" s="29">
        <f>DATE(D983,E983,F983)</f>
        <v>42208</v>
      </c>
    </row>
    <row r="984" hidden="1">
      <c r="A984" s="1" t="s">
        <v>642</v>
      </c>
    </row>
    <row r="985" hidden="1">
      <c r="A985" s="1" t="s">
        <v>643</v>
      </c>
    </row>
    <row r="986">
      <c r="A986" s="1" t="s">
        <v>1366</v>
      </c>
      <c r="B986" s="2">
        <f>IFERROR(__xludf.DUMMYFUNCTION("SPLIT(A986,""_"")"),2.0150723E7)</f>
        <v>20150723</v>
      </c>
      <c r="C986" s="2" t="str">
        <f>IFERROR(__xludf.DUMMYFUNCTION("""COMPUTED_VALUE"""),"DHR")</f>
        <v>DHR</v>
      </c>
      <c r="D986" s="2" t="str">
        <f>LEFT(B986,4)</f>
        <v>2015</v>
      </c>
      <c r="E986" s="2" t="str">
        <f>MID(B986,5,2)</f>
        <v>07</v>
      </c>
      <c r="F986" s="2" t="str">
        <f>RIGHT(B986,2)</f>
        <v>23</v>
      </c>
      <c r="G986" s="29">
        <f>DATE(D986,E986,F986)</f>
        <v>42208</v>
      </c>
    </row>
    <row r="987" hidden="1">
      <c r="A987" s="1" t="s">
        <v>642</v>
      </c>
    </row>
    <row r="988" hidden="1">
      <c r="A988" s="1" t="s">
        <v>643</v>
      </c>
    </row>
    <row r="989">
      <c r="A989" s="1" t="s">
        <v>1367</v>
      </c>
      <c r="B989" s="2">
        <f>IFERROR(__xludf.DUMMYFUNCTION("SPLIT(A989,""_"")"),2.0150723E7)</f>
        <v>20150723</v>
      </c>
      <c r="C989" s="2" t="str">
        <f>IFERROR(__xludf.DUMMYFUNCTION("""COMPUTED_VALUE"""),"FIS")</f>
        <v>FIS</v>
      </c>
      <c r="D989" s="2" t="str">
        <f>LEFT(B989,4)</f>
        <v>2015</v>
      </c>
      <c r="E989" s="2" t="str">
        <f>MID(B989,5,2)</f>
        <v>07</v>
      </c>
      <c r="F989" s="2" t="str">
        <f>RIGHT(B989,2)</f>
        <v>23</v>
      </c>
      <c r="G989" s="29">
        <f>DATE(D989,E989,F989)</f>
        <v>42208</v>
      </c>
    </row>
    <row r="990" hidden="1">
      <c r="A990" s="1" t="s">
        <v>642</v>
      </c>
    </row>
    <row r="991" hidden="1">
      <c r="A991" s="1" t="s">
        <v>643</v>
      </c>
    </row>
    <row r="992">
      <c r="A992" s="1" t="s">
        <v>1368</v>
      </c>
      <c r="B992" s="2">
        <f>IFERROR(__xludf.DUMMYFUNCTION("SPLIT(A992,""_"")"),2.0150723E7)</f>
        <v>20150723</v>
      </c>
      <c r="C992" s="2" t="str">
        <f>IFERROR(__xludf.DUMMYFUNCTION("""COMPUTED_VALUE"""),"FNB")</f>
        <v>FNB</v>
      </c>
      <c r="D992" s="2" t="str">
        <f>LEFT(B992,4)</f>
        <v>2015</v>
      </c>
      <c r="E992" s="2" t="str">
        <f>MID(B992,5,2)</f>
        <v>07</v>
      </c>
      <c r="F992" s="2" t="str">
        <f>RIGHT(B992,2)</f>
        <v>23</v>
      </c>
      <c r="G992" s="29">
        <f>DATE(D992,E992,F992)</f>
        <v>42208</v>
      </c>
    </row>
    <row r="993" hidden="1">
      <c r="A993" s="1" t="s">
        <v>642</v>
      </c>
    </row>
    <row r="994" hidden="1">
      <c r="A994" s="1" t="s">
        <v>643</v>
      </c>
    </row>
    <row r="995">
      <c r="A995" s="1" t="s">
        <v>1369</v>
      </c>
      <c r="B995" s="2">
        <f>IFERROR(__xludf.DUMMYFUNCTION("SPLIT(A995,""_"")"),2.0150723E7)</f>
        <v>20150723</v>
      </c>
      <c r="C995" s="2" t="str">
        <f>IFERROR(__xludf.DUMMYFUNCTION("""COMPUTED_VALUE"""),"IVC")</f>
        <v>IVC</v>
      </c>
      <c r="D995" s="2" t="str">
        <f>LEFT(B995,4)</f>
        <v>2015</v>
      </c>
      <c r="E995" s="2" t="str">
        <f>MID(B995,5,2)</f>
        <v>07</v>
      </c>
      <c r="F995" s="2" t="str">
        <f>RIGHT(B995,2)</f>
        <v>23</v>
      </c>
      <c r="G995" s="29">
        <f>DATE(D995,E995,F995)</f>
        <v>42208</v>
      </c>
    </row>
    <row r="996" hidden="1">
      <c r="A996" s="1" t="s">
        <v>642</v>
      </c>
    </row>
    <row r="997" hidden="1">
      <c r="A997" s="1" t="s">
        <v>643</v>
      </c>
    </row>
    <row r="998">
      <c r="A998" s="1" t="s">
        <v>1370</v>
      </c>
      <c r="B998" s="2">
        <f>IFERROR(__xludf.DUMMYFUNCTION("SPLIT(A998,""_"")"),2.0150723E7)</f>
        <v>20150723</v>
      </c>
      <c r="C998" s="2" t="str">
        <f>IFERROR(__xludf.DUMMYFUNCTION("""COMPUTED_VALUE"""),"JNPR")</f>
        <v>JNPR</v>
      </c>
      <c r="D998" s="2" t="str">
        <f>LEFT(B998,4)</f>
        <v>2015</v>
      </c>
      <c r="E998" s="2" t="str">
        <f>MID(B998,5,2)</f>
        <v>07</v>
      </c>
      <c r="F998" s="2" t="str">
        <f>RIGHT(B998,2)</f>
        <v>23</v>
      </c>
      <c r="G998" s="29">
        <f>DATE(D998,E998,F998)</f>
        <v>42208</v>
      </c>
    </row>
    <row r="999" hidden="1">
      <c r="A999" s="1" t="s">
        <v>642</v>
      </c>
    </row>
    <row r="1000" hidden="1">
      <c r="A1000" s="1" t="s">
        <v>643</v>
      </c>
    </row>
    <row r="1001">
      <c r="A1001" s="1" t="s">
        <v>1371</v>
      </c>
      <c r="B1001" s="2">
        <f>IFERROR(__xludf.DUMMYFUNCTION("SPLIT(A1001,""_"")"),2.0150723E7)</f>
        <v>20150723</v>
      </c>
      <c r="C1001" s="2" t="str">
        <f>IFERROR(__xludf.DUMMYFUNCTION("""COMPUTED_VALUE"""),"KMB")</f>
        <v>KMB</v>
      </c>
      <c r="D1001" s="2" t="str">
        <f>LEFT(B1001,4)</f>
        <v>2015</v>
      </c>
      <c r="E1001" s="2" t="str">
        <f>MID(B1001,5,2)</f>
        <v>07</v>
      </c>
      <c r="F1001" s="2" t="str">
        <f>RIGHT(B1001,2)</f>
        <v>23</v>
      </c>
      <c r="G1001" s="29">
        <f>DATE(D1001,E1001,F1001)</f>
        <v>42208</v>
      </c>
    </row>
    <row r="1002" hidden="1">
      <c r="A1002" s="1" t="s">
        <v>642</v>
      </c>
    </row>
    <row r="1003" hidden="1">
      <c r="A1003" s="1" t="s">
        <v>643</v>
      </c>
    </row>
    <row r="1004">
      <c r="A1004" s="1" t="s">
        <v>1372</v>
      </c>
      <c r="B1004" s="2">
        <f>IFERROR(__xludf.DUMMYFUNCTION("SPLIT(A1004,""_"")"),2.0150723E7)</f>
        <v>20150723</v>
      </c>
      <c r="C1004" s="2" t="str">
        <f>IFERROR(__xludf.DUMMYFUNCTION("""COMPUTED_VALUE"""),"MMM")</f>
        <v>MMM</v>
      </c>
      <c r="D1004" s="2" t="str">
        <f>LEFT(B1004,4)</f>
        <v>2015</v>
      </c>
      <c r="E1004" s="2" t="str">
        <f>MID(B1004,5,2)</f>
        <v>07</v>
      </c>
      <c r="F1004" s="2" t="str">
        <f>RIGHT(B1004,2)</f>
        <v>23</v>
      </c>
      <c r="G1004" s="29">
        <f>DATE(D1004,E1004,F1004)</f>
        <v>42208</v>
      </c>
    </row>
    <row r="1005" hidden="1">
      <c r="A1005" s="1" t="s">
        <v>642</v>
      </c>
    </row>
    <row r="1006" hidden="1">
      <c r="A1006" s="1" t="s">
        <v>643</v>
      </c>
    </row>
    <row r="1007">
      <c r="A1007" s="1" t="s">
        <v>1373</v>
      </c>
      <c r="B1007" s="2">
        <f>IFERROR(__xludf.DUMMYFUNCTION("SPLIT(A1007,""_"")"),2.0150723E7)</f>
        <v>20150723</v>
      </c>
      <c r="C1007" s="2" t="str">
        <f>IFERROR(__xludf.DUMMYFUNCTION("""COMPUTED_VALUE"""),"MSCC")</f>
        <v>MSCC</v>
      </c>
      <c r="D1007" s="2" t="str">
        <f>LEFT(B1007,4)</f>
        <v>2015</v>
      </c>
      <c r="E1007" s="2" t="str">
        <f>MID(B1007,5,2)</f>
        <v>07</v>
      </c>
      <c r="F1007" s="2" t="str">
        <f>RIGHT(B1007,2)</f>
        <v>23</v>
      </c>
      <c r="G1007" s="29">
        <f>DATE(D1007,E1007,F1007)</f>
        <v>42208</v>
      </c>
    </row>
    <row r="1008" hidden="1">
      <c r="A1008" s="1" t="s">
        <v>642</v>
      </c>
    </row>
    <row r="1009" hidden="1">
      <c r="A1009" s="1" t="s">
        <v>643</v>
      </c>
    </row>
    <row r="1010">
      <c r="A1010" s="1" t="s">
        <v>1374</v>
      </c>
      <c r="B1010" s="2">
        <f>IFERROR(__xludf.DUMMYFUNCTION("SPLIT(A1010,""_"")"),2.0150723E7)</f>
        <v>20150723</v>
      </c>
      <c r="C1010" s="2" t="str">
        <f>IFERROR(__xludf.DUMMYFUNCTION("""COMPUTED_VALUE"""),"NDAQ")</f>
        <v>NDAQ</v>
      </c>
      <c r="D1010" s="2" t="str">
        <f>LEFT(B1010,4)</f>
        <v>2015</v>
      </c>
      <c r="E1010" s="2" t="str">
        <f>MID(B1010,5,2)</f>
        <v>07</v>
      </c>
      <c r="F1010" s="2" t="str">
        <f>RIGHT(B1010,2)</f>
        <v>23</v>
      </c>
      <c r="G1010" s="29">
        <f>DATE(D1010,E1010,F1010)</f>
        <v>42208</v>
      </c>
    </row>
    <row r="1011" hidden="1">
      <c r="A1011" s="1" t="s">
        <v>642</v>
      </c>
    </row>
    <row r="1012" hidden="1">
      <c r="A1012" s="1" t="s">
        <v>643</v>
      </c>
    </row>
    <row r="1013">
      <c r="A1013" s="1" t="s">
        <v>1375</v>
      </c>
      <c r="B1013" s="2">
        <f>IFERROR(__xludf.DUMMYFUNCTION("SPLIT(A1013,""_"")"),2.0150723E7)</f>
        <v>20150723</v>
      </c>
      <c r="C1013" s="2" t="str">
        <f>IFERROR(__xludf.DUMMYFUNCTION("""COMPUTED_VALUE"""),"ORI")</f>
        <v>ORI</v>
      </c>
      <c r="D1013" s="2" t="str">
        <f>LEFT(B1013,4)</f>
        <v>2015</v>
      </c>
      <c r="E1013" s="2" t="str">
        <f>MID(B1013,5,2)</f>
        <v>07</v>
      </c>
      <c r="F1013" s="2" t="str">
        <f>RIGHT(B1013,2)</f>
        <v>23</v>
      </c>
      <c r="G1013" s="29">
        <f>DATE(D1013,E1013,F1013)</f>
        <v>42208</v>
      </c>
    </row>
    <row r="1014" hidden="1">
      <c r="A1014" s="1" t="s">
        <v>642</v>
      </c>
    </row>
    <row r="1015" hidden="1">
      <c r="A1015" s="1" t="s">
        <v>643</v>
      </c>
    </row>
    <row r="1016">
      <c r="A1016" s="1" t="s">
        <v>1376</v>
      </c>
      <c r="B1016" s="2">
        <f>IFERROR(__xludf.DUMMYFUNCTION("SPLIT(A1016,""_"")"),2.0150723E7)</f>
        <v>20150723</v>
      </c>
      <c r="C1016" s="2" t="str">
        <f>IFERROR(__xludf.DUMMYFUNCTION("""COMPUTED_VALUE"""),"PHM")</f>
        <v>PHM</v>
      </c>
      <c r="D1016" s="2" t="str">
        <f>LEFT(B1016,4)</f>
        <v>2015</v>
      </c>
      <c r="E1016" s="2" t="str">
        <f>MID(B1016,5,2)</f>
        <v>07</v>
      </c>
      <c r="F1016" s="2" t="str">
        <f>RIGHT(B1016,2)</f>
        <v>23</v>
      </c>
      <c r="G1016" s="29">
        <f>DATE(D1016,E1016,F1016)</f>
        <v>42208</v>
      </c>
    </row>
    <row r="1017" hidden="1">
      <c r="A1017" s="1" t="s">
        <v>642</v>
      </c>
    </row>
    <row r="1018" hidden="1">
      <c r="A1018" s="1" t="s">
        <v>643</v>
      </c>
    </row>
    <row r="1019">
      <c r="A1019" s="1" t="s">
        <v>1377</v>
      </c>
      <c r="B1019" s="2">
        <f>IFERROR(__xludf.DUMMYFUNCTION("SPLIT(A1019,""_"")"),2.0150723E7)</f>
        <v>20150723</v>
      </c>
      <c r="C1019" s="2" t="str">
        <f>IFERROR(__xludf.DUMMYFUNCTION("""COMPUTED_VALUE"""),"RSG")</f>
        <v>RSG</v>
      </c>
      <c r="D1019" s="2" t="str">
        <f>LEFT(B1019,4)</f>
        <v>2015</v>
      </c>
      <c r="E1019" s="2" t="str">
        <f>MID(B1019,5,2)</f>
        <v>07</v>
      </c>
      <c r="F1019" s="2" t="str">
        <f>RIGHT(B1019,2)</f>
        <v>23</v>
      </c>
      <c r="G1019" s="29">
        <f>DATE(D1019,E1019,F1019)</f>
        <v>42208</v>
      </c>
    </row>
    <row r="1020" hidden="1">
      <c r="A1020" s="1" t="s">
        <v>642</v>
      </c>
    </row>
    <row r="1021" hidden="1">
      <c r="A1021" s="1" t="s">
        <v>643</v>
      </c>
    </row>
    <row r="1022">
      <c r="A1022" s="1" t="s">
        <v>1378</v>
      </c>
      <c r="B1022" s="2">
        <f>IFERROR(__xludf.DUMMYFUNCTION("SPLIT(A1022,""_"")"),2.0150723E7)</f>
        <v>20150723</v>
      </c>
      <c r="C1022" s="2" t="str">
        <f>IFERROR(__xludf.DUMMYFUNCTION("""COMPUTED_VALUE"""),"SCHL")</f>
        <v>SCHL</v>
      </c>
      <c r="D1022" s="2" t="str">
        <f>LEFT(B1022,4)</f>
        <v>2015</v>
      </c>
      <c r="E1022" s="2" t="str">
        <f>MID(B1022,5,2)</f>
        <v>07</v>
      </c>
      <c r="F1022" s="2" t="str">
        <f>RIGHT(B1022,2)</f>
        <v>23</v>
      </c>
      <c r="G1022" s="29">
        <f>DATE(D1022,E1022,F1022)</f>
        <v>42208</v>
      </c>
    </row>
    <row r="1023" hidden="1">
      <c r="A1023" s="1" t="s">
        <v>642</v>
      </c>
    </row>
    <row r="1024" hidden="1">
      <c r="A1024" s="1" t="s">
        <v>643</v>
      </c>
    </row>
    <row r="1025">
      <c r="A1025" s="1" t="s">
        <v>1379</v>
      </c>
      <c r="B1025" s="2">
        <f>IFERROR(__xludf.DUMMYFUNCTION("SPLIT(A1025,""_"")"),2.0150723E7)</f>
        <v>20150723</v>
      </c>
      <c r="C1025" s="2" t="str">
        <f>IFERROR(__xludf.DUMMYFUNCTION("""COMPUTED_VALUE"""),"TYL")</f>
        <v>TYL</v>
      </c>
      <c r="D1025" s="2" t="str">
        <f>LEFT(B1025,4)</f>
        <v>2015</v>
      </c>
      <c r="E1025" s="2" t="str">
        <f>MID(B1025,5,2)</f>
        <v>07</v>
      </c>
      <c r="F1025" s="2" t="str">
        <f>RIGHT(B1025,2)</f>
        <v>23</v>
      </c>
      <c r="G1025" s="29">
        <f>DATE(D1025,E1025,F1025)</f>
        <v>42208</v>
      </c>
    </row>
    <row r="1026" hidden="1">
      <c r="A1026" s="1" t="s">
        <v>642</v>
      </c>
    </row>
    <row r="1027" hidden="1">
      <c r="A1027" s="1" t="s">
        <v>643</v>
      </c>
    </row>
    <row r="1028">
      <c r="A1028" s="1" t="s">
        <v>1380</v>
      </c>
      <c r="B1028" s="2">
        <f>IFERROR(__xludf.DUMMYFUNCTION("SPLIT(A1028,""_"")"),2.0150723E7)</f>
        <v>20150723</v>
      </c>
      <c r="C1028" s="2" t="str">
        <f>IFERROR(__xludf.DUMMYFUNCTION("""COMPUTED_VALUE"""),"UAL")</f>
        <v>UAL</v>
      </c>
      <c r="D1028" s="2" t="str">
        <f>LEFT(B1028,4)</f>
        <v>2015</v>
      </c>
      <c r="E1028" s="2" t="str">
        <f>MID(B1028,5,2)</f>
        <v>07</v>
      </c>
      <c r="F1028" s="2" t="str">
        <f>RIGHT(B1028,2)</f>
        <v>23</v>
      </c>
      <c r="G1028" s="29">
        <f>DATE(D1028,E1028,F1028)</f>
        <v>42208</v>
      </c>
    </row>
    <row r="1029" hidden="1">
      <c r="A1029" s="1" t="s">
        <v>642</v>
      </c>
    </row>
    <row r="1030" hidden="1">
      <c r="A1030" s="1" t="s">
        <v>643</v>
      </c>
    </row>
    <row r="1031">
      <c r="A1031" s="1" t="s">
        <v>1381</v>
      </c>
      <c r="B1031" s="2">
        <f>IFERROR(__xludf.DUMMYFUNCTION("SPLIT(A1031,""_"")"),2.0150723E7)</f>
        <v>20150723</v>
      </c>
      <c r="C1031" s="2" t="str">
        <f>IFERROR(__xludf.DUMMYFUNCTION("""COMPUTED_VALUE"""),"WRLD")</f>
        <v>WRLD</v>
      </c>
      <c r="D1031" s="2" t="str">
        <f>LEFT(B1031,4)</f>
        <v>2015</v>
      </c>
      <c r="E1031" s="2" t="str">
        <f>MID(B1031,5,2)</f>
        <v>07</v>
      </c>
      <c r="F1031" s="2" t="str">
        <f>RIGHT(B1031,2)</f>
        <v>23</v>
      </c>
      <c r="G1031" s="29">
        <f>DATE(D1031,E1031,F1031)</f>
        <v>42208</v>
      </c>
    </row>
    <row r="1032" hidden="1">
      <c r="A1032" s="1" t="s">
        <v>642</v>
      </c>
    </row>
    <row r="1033" hidden="1">
      <c r="A1033" s="1" t="s">
        <v>643</v>
      </c>
    </row>
    <row r="1034">
      <c r="A1034" s="1" t="s">
        <v>1382</v>
      </c>
      <c r="B1034" s="2">
        <f>IFERROR(__xludf.DUMMYFUNCTION("SPLIT(A1034,""_"")"),2.0150724E7)</f>
        <v>20150724</v>
      </c>
      <c r="C1034" s="2" t="str">
        <f>IFERROR(__xludf.DUMMYFUNCTION("""COMPUTED_VALUE"""),"B")</f>
        <v>B</v>
      </c>
      <c r="D1034" s="2" t="str">
        <f>LEFT(B1034,4)</f>
        <v>2015</v>
      </c>
      <c r="E1034" s="2" t="str">
        <f>MID(B1034,5,2)</f>
        <v>07</v>
      </c>
      <c r="F1034" s="2" t="str">
        <f>RIGHT(B1034,2)</f>
        <v>24</v>
      </c>
      <c r="G1034" s="29">
        <f>DATE(D1034,E1034,F1034)</f>
        <v>42209</v>
      </c>
    </row>
    <row r="1035" hidden="1">
      <c r="A1035" s="1" t="s">
        <v>642</v>
      </c>
    </row>
    <row r="1036" hidden="1">
      <c r="A1036" s="1" t="s">
        <v>643</v>
      </c>
    </row>
    <row r="1037">
      <c r="A1037" s="1" t="s">
        <v>1383</v>
      </c>
      <c r="B1037" s="2">
        <f>IFERROR(__xludf.DUMMYFUNCTION("SPLIT(A1037,""_"")"),2.0150724E7)</f>
        <v>20150724</v>
      </c>
      <c r="C1037" s="2" t="str">
        <f>IFERROR(__xludf.DUMMYFUNCTION("""COMPUTED_VALUE"""),"CPF")</f>
        <v>CPF</v>
      </c>
      <c r="D1037" s="2" t="str">
        <f>LEFT(B1037,4)</f>
        <v>2015</v>
      </c>
      <c r="E1037" s="2" t="str">
        <f>MID(B1037,5,2)</f>
        <v>07</v>
      </c>
      <c r="F1037" s="2" t="str">
        <f>RIGHT(B1037,2)</f>
        <v>24</v>
      </c>
      <c r="G1037" s="29">
        <f>DATE(D1037,E1037,F1037)</f>
        <v>42209</v>
      </c>
    </row>
    <row r="1038" hidden="1">
      <c r="A1038" s="1" t="s">
        <v>642</v>
      </c>
    </row>
    <row r="1039" hidden="1">
      <c r="A1039" s="1" t="s">
        <v>643</v>
      </c>
    </row>
    <row r="1040">
      <c r="A1040" s="1" t="s">
        <v>1384</v>
      </c>
      <c r="B1040" s="2">
        <f>IFERROR(__xludf.DUMMYFUNCTION("SPLIT(A1040,""_"")"),2.0150724E7)</f>
        <v>20150724</v>
      </c>
      <c r="C1040" s="2" t="str">
        <f>IFERROR(__xludf.DUMMYFUNCTION("""COMPUTED_VALUE"""),"FLIR")</f>
        <v>FLIR</v>
      </c>
      <c r="D1040" s="2" t="str">
        <f>LEFT(B1040,4)</f>
        <v>2015</v>
      </c>
      <c r="E1040" s="2" t="str">
        <f>MID(B1040,5,2)</f>
        <v>07</v>
      </c>
      <c r="F1040" s="2" t="str">
        <f>RIGHT(B1040,2)</f>
        <v>24</v>
      </c>
      <c r="G1040" s="29">
        <f>DATE(D1040,E1040,F1040)</f>
        <v>42209</v>
      </c>
    </row>
    <row r="1041" hidden="1">
      <c r="A1041" s="1" t="s">
        <v>642</v>
      </c>
    </row>
    <row r="1042" hidden="1">
      <c r="A1042" s="1" t="s">
        <v>643</v>
      </c>
    </row>
    <row r="1043">
      <c r="A1043" s="1" t="s">
        <v>1385</v>
      </c>
      <c r="B1043" s="2">
        <f>IFERROR(__xludf.DUMMYFUNCTION("SPLIT(A1043,""_"")"),2.0150724E7)</f>
        <v>20150724</v>
      </c>
      <c r="C1043" s="2" t="str">
        <f>IFERROR(__xludf.DUMMYFUNCTION("""COMPUTED_VALUE"""),"OFG")</f>
        <v>OFG</v>
      </c>
      <c r="D1043" s="2" t="str">
        <f>LEFT(B1043,4)</f>
        <v>2015</v>
      </c>
      <c r="E1043" s="2" t="str">
        <f>MID(B1043,5,2)</f>
        <v>07</v>
      </c>
      <c r="F1043" s="2" t="str">
        <f>RIGHT(B1043,2)</f>
        <v>24</v>
      </c>
      <c r="G1043" s="29">
        <f>DATE(D1043,E1043,F1043)</f>
        <v>42209</v>
      </c>
    </row>
    <row r="1044" hidden="1">
      <c r="A1044" s="1" t="s">
        <v>642</v>
      </c>
    </row>
    <row r="1045" hidden="1">
      <c r="A1045" s="1" t="s">
        <v>643</v>
      </c>
    </row>
    <row r="1046">
      <c r="A1046" s="1" t="s">
        <v>1386</v>
      </c>
      <c r="B1046" s="2">
        <f>IFERROR(__xludf.DUMMYFUNCTION("SPLIT(A1046,""_"")"),2.0150724E7)</f>
        <v>20150724</v>
      </c>
      <c r="C1046" s="2" t="str">
        <f>IFERROR(__xludf.DUMMYFUNCTION("""COMPUTED_VALUE"""),"RGA")</f>
        <v>RGA</v>
      </c>
      <c r="D1046" s="2" t="str">
        <f>LEFT(B1046,4)</f>
        <v>2015</v>
      </c>
      <c r="E1046" s="2" t="str">
        <f>MID(B1046,5,2)</f>
        <v>07</v>
      </c>
      <c r="F1046" s="2" t="str">
        <f>RIGHT(B1046,2)</f>
        <v>24</v>
      </c>
      <c r="G1046" s="29">
        <f>DATE(D1046,E1046,F1046)</f>
        <v>42209</v>
      </c>
    </row>
    <row r="1047" hidden="1">
      <c r="A1047" s="1" t="s">
        <v>642</v>
      </c>
    </row>
    <row r="1048" hidden="1">
      <c r="A1048" s="1" t="s">
        <v>643</v>
      </c>
    </row>
    <row r="1049">
      <c r="A1049" s="1" t="s">
        <v>1387</v>
      </c>
      <c r="B1049" s="2">
        <f>IFERROR(__xludf.DUMMYFUNCTION("SPLIT(A1049,""_"")"),2.0150724E7)</f>
        <v>20150724</v>
      </c>
      <c r="C1049" s="2" t="str">
        <f>IFERROR(__xludf.DUMMYFUNCTION("""COMPUTED_VALUE"""),"SPG")</f>
        <v>SPG</v>
      </c>
      <c r="D1049" s="2" t="str">
        <f>LEFT(B1049,4)</f>
        <v>2015</v>
      </c>
      <c r="E1049" s="2" t="str">
        <f>MID(B1049,5,2)</f>
        <v>07</v>
      </c>
      <c r="F1049" s="2" t="str">
        <f>RIGHT(B1049,2)</f>
        <v>24</v>
      </c>
      <c r="G1049" s="29">
        <f>DATE(D1049,E1049,F1049)</f>
        <v>42209</v>
      </c>
    </row>
    <row r="1050" hidden="1">
      <c r="A1050" s="1" t="s">
        <v>642</v>
      </c>
    </row>
    <row r="1051" hidden="1">
      <c r="A1051" s="1" t="s">
        <v>643</v>
      </c>
    </row>
    <row r="1052">
      <c r="A1052" s="1" t="s">
        <v>1388</v>
      </c>
      <c r="B1052" s="2">
        <f>IFERROR(__xludf.DUMMYFUNCTION("SPLIT(A1052,""_"")"),2.0150724E7)</f>
        <v>20150724</v>
      </c>
      <c r="C1052" s="2" t="str">
        <f>IFERROR(__xludf.DUMMYFUNCTION("""COMPUTED_VALUE"""),"VFC")</f>
        <v>VFC</v>
      </c>
      <c r="D1052" s="2" t="str">
        <f>LEFT(B1052,4)</f>
        <v>2015</v>
      </c>
      <c r="E1052" s="2" t="str">
        <f>MID(B1052,5,2)</f>
        <v>07</v>
      </c>
      <c r="F1052" s="2" t="str">
        <f>RIGHT(B1052,2)</f>
        <v>24</v>
      </c>
      <c r="G1052" s="29">
        <f>DATE(D1052,E1052,F1052)</f>
        <v>42209</v>
      </c>
    </row>
    <row r="1053" hidden="1">
      <c r="A1053" s="1" t="s">
        <v>642</v>
      </c>
    </row>
    <row r="1054" hidden="1">
      <c r="A1054" s="1" t="s">
        <v>643</v>
      </c>
    </row>
    <row r="1055">
      <c r="A1055" s="1" t="s">
        <v>1389</v>
      </c>
      <c r="B1055" s="2">
        <f>IFERROR(__xludf.DUMMYFUNCTION("SPLIT(A1055,""_"")"),2.0150727E7)</f>
        <v>20150727</v>
      </c>
      <c r="C1055" s="2" t="str">
        <f>IFERROR(__xludf.DUMMYFUNCTION("""COMPUTED_VALUE"""),"HAE")</f>
        <v>HAE</v>
      </c>
      <c r="D1055" s="2" t="str">
        <f>LEFT(B1055,4)</f>
        <v>2015</v>
      </c>
      <c r="E1055" s="2" t="str">
        <f>MID(B1055,5,2)</f>
        <v>07</v>
      </c>
      <c r="F1055" s="2" t="str">
        <f>RIGHT(B1055,2)</f>
        <v>27</v>
      </c>
      <c r="G1055" s="29">
        <f>DATE(D1055,E1055,F1055)</f>
        <v>42212</v>
      </c>
    </row>
    <row r="1056" hidden="1">
      <c r="A1056" s="1" t="s">
        <v>642</v>
      </c>
    </row>
    <row r="1057" hidden="1">
      <c r="A1057" s="1" t="s">
        <v>643</v>
      </c>
    </row>
    <row r="1058">
      <c r="A1058" s="1" t="s">
        <v>1390</v>
      </c>
      <c r="B1058" s="2">
        <f>IFERROR(__xludf.DUMMYFUNCTION("SPLIT(A1058,""_"")"),2.0150727E7)</f>
        <v>20150727</v>
      </c>
      <c r="C1058" s="2" t="str">
        <f>IFERROR(__xludf.DUMMYFUNCTION("""COMPUTED_VALUE"""),"HLIT")</f>
        <v>HLIT</v>
      </c>
      <c r="D1058" s="2" t="str">
        <f>LEFT(B1058,4)</f>
        <v>2015</v>
      </c>
      <c r="E1058" s="2" t="str">
        <f>MID(B1058,5,2)</f>
        <v>07</v>
      </c>
      <c r="F1058" s="2" t="str">
        <f>RIGHT(B1058,2)</f>
        <v>27</v>
      </c>
      <c r="G1058" s="29">
        <f>DATE(D1058,E1058,F1058)</f>
        <v>42212</v>
      </c>
    </row>
    <row r="1059" hidden="1">
      <c r="A1059" s="1" t="s">
        <v>642</v>
      </c>
    </row>
    <row r="1060" hidden="1">
      <c r="A1060" s="1" t="s">
        <v>643</v>
      </c>
    </row>
    <row r="1061">
      <c r="A1061" s="1" t="s">
        <v>1391</v>
      </c>
      <c r="B1061" s="2">
        <f>IFERROR(__xludf.DUMMYFUNCTION("SPLIT(A1061,""_"")"),2.0150727E7)</f>
        <v>20150727</v>
      </c>
      <c r="C1061" s="2" t="str">
        <f>IFERROR(__xludf.DUMMYFUNCTION("""COMPUTED_VALUE"""),"POL")</f>
        <v>POL</v>
      </c>
      <c r="D1061" s="2" t="str">
        <f>LEFT(B1061,4)</f>
        <v>2015</v>
      </c>
      <c r="E1061" s="2" t="str">
        <f>MID(B1061,5,2)</f>
        <v>07</v>
      </c>
      <c r="F1061" s="2" t="str">
        <f>RIGHT(B1061,2)</f>
        <v>27</v>
      </c>
      <c r="G1061" s="29">
        <f>DATE(D1061,E1061,F1061)</f>
        <v>42212</v>
      </c>
    </row>
    <row r="1062" hidden="1">
      <c r="A1062" s="1" t="s">
        <v>642</v>
      </c>
    </row>
    <row r="1063" hidden="1">
      <c r="A1063" s="1" t="s">
        <v>643</v>
      </c>
    </row>
    <row r="1064">
      <c r="A1064" s="1" t="s">
        <v>1392</v>
      </c>
      <c r="B1064" s="2">
        <f>IFERROR(__xludf.DUMMYFUNCTION("SPLIT(A1064,""_"")"),2.0150727E7)</f>
        <v>20150727</v>
      </c>
      <c r="C1064" s="2" t="str">
        <f>IFERROR(__xludf.DUMMYFUNCTION("""COMPUTED_VALUE"""),"ROP")</f>
        <v>ROP</v>
      </c>
      <c r="D1064" s="2" t="str">
        <f>LEFT(B1064,4)</f>
        <v>2015</v>
      </c>
      <c r="E1064" s="2" t="str">
        <f>MID(B1064,5,2)</f>
        <v>07</v>
      </c>
      <c r="F1064" s="2" t="str">
        <f>RIGHT(B1064,2)</f>
        <v>27</v>
      </c>
      <c r="G1064" s="29">
        <f>DATE(D1064,E1064,F1064)</f>
        <v>42212</v>
      </c>
    </row>
    <row r="1065" hidden="1">
      <c r="A1065" s="1" t="s">
        <v>642</v>
      </c>
    </row>
    <row r="1066" hidden="1">
      <c r="A1066" s="1" t="s">
        <v>643</v>
      </c>
    </row>
    <row r="1067">
      <c r="A1067" s="1" t="s">
        <v>1393</v>
      </c>
      <c r="B1067" s="2">
        <f>IFERROR(__xludf.DUMMYFUNCTION("SPLIT(A1067,""_"")"),2.0150727E7)</f>
        <v>20150727</v>
      </c>
      <c r="C1067" s="2" t="str">
        <f>IFERROR(__xludf.DUMMYFUNCTION("""COMPUTED_VALUE"""),"WRB")</f>
        <v>WRB</v>
      </c>
      <c r="D1067" s="2" t="str">
        <f>LEFT(B1067,4)</f>
        <v>2015</v>
      </c>
      <c r="E1067" s="2" t="str">
        <f>MID(B1067,5,2)</f>
        <v>07</v>
      </c>
      <c r="F1067" s="2" t="str">
        <f>RIGHT(B1067,2)</f>
        <v>27</v>
      </c>
      <c r="G1067" s="29">
        <f>DATE(D1067,E1067,F1067)</f>
        <v>42212</v>
      </c>
    </row>
    <row r="1068" hidden="1">
      <c r="A1068" s="1" t="s">
        <v>642</v>
      </c>
    </row>
    <row r="1069" hidden="1">
      <c r="A1069" s="1" t="s">
        <v>643</v>
      </c>
    </row>
    <row r="1070">
      <c r="A1070" s="1" t="s">
        <v>1394</v>
      </c>
      <c r="B1070" s="2">
        <f>IFERROR(__xludf.DUMMYFUNCTION("SPLIT(A1070,""_"")"),2.0150728E7)</f>
        <v>20150728</v>
      </c>
      <c r="C1070" s="2" t="str">
        <f>IFERROR(__xludf.DUMMYFUNCTION("""COMPUTED_VALUE"""),"AGCO")</f>
        <v>AGCO</v>
      </c>
      <c r="D1070" s="2" t="str">
        <f>LEFT(B1070,4)</f>
        <v>2015</v>
      </c>
      <c r="E1070" s="2" t="str">
        <f>MID(B1070,5,2)</f>
        <v>07</v>
      </c>
      <c r="F1070" s="2" t="str">
        <f>RIGHT(B1070,2)</f>
        <v>28</v>
      </c>
      <c r="G1070" s="29">
        <f>DATE(D1070,E1070,F1070)</f>
        <v>42213</v>
      </c>
    </row>
    <row r="1071" hidden="1">
      <c r="A1071" s="1" t="s">
        <v>642</v>
      </c>
    </row>
    <row r="1072" hidden="1">
      <c r="A1072" s="1" t="s">
        <v>643</v>
      </c>
    </row>
    <row r="1073">
      <c r="A1073" s="1" t="s">
        <v>1395</v>
      </c>
      <c r="B1073" s="2">
        <f>IFERROR(__xludf.DUMMYFUNCTION("SPLIT(A1073,""_"")"),2.0150728E7)</f>
        <v>20150728</v>
      </c>
      <c r="C1073" s="2" t="str">
        <f>IFERROR(__xludf.DUMMYFUNCTION("""COMPUTED_VALUE"""),"AKAM")</f>
        <v>AKAM</v>
      </c>
      <c r="D1073" s="2" t="str">
        <f>LEFT(B1073,4)</f>
        <v>2015</v>
      </c>
      <c r="E1073" s="2" t="str">
        <f>MID(B1073,5,2)</f>
        <v>07</v>
      </c>
      <c r="F1073" s="2" t="str">
        <f>RIGHT(B1073,2)</f>
        <v>28</v>
      </c>
      <c r="G1073" s="29">
        <f>DATE(D1073,E1073,F1073)</f>
        <v>42213</v>
      </c>
    </row>
    <row r="1074" hidden="1">
      <c r="A1074" s="1" t="s">
        <v>642</v>
      </c>
    </row>
    <row r="1075" hidden="1">
      <c r="A1075" s="1" t="s">
        <v>643</v>
      </c>
    </row>
    <row r="1076">
      <c r="A1076" s="1" t="s">
        <v>1396</v>
      </c>
      <c r="B1076" s="2">
        <f>IFERROR(__xludf.DUMMYFUNCTION("SPLIT(A1076,""_"")"),2.0150728E7)</f>
        <v>20150728</v>
      </c>
      <c r="C1076" s="2" t="str">
        <f>IFERROR(__xludf.DUMMYFUNCTION("""COMPUTED_VALUE"""),"BGFV")</f>
        <v>BGFV</v>
      </c>
      <c r="D1076" s="2" t="str">
        <f>LEFT(B1076,4)</f>
        <v>2015</v>
      </c>
      <c r="E1076" s="2" t="str">
        <f>MID(B1076,5,2)</f>
        <v>07</v>
      </c>
      <c r="F1076" s="2" t="str">
        <f>RIGHT(B1076,2)</f>
        <v>28</v>
      </c>
      <c r="G1076" s="29">
        <f>DATE(D1076,E1076,F1076)</f>
        <v>42213</v>
      </c>
    </row>
    <row r="1077" hidden="1">
      <c r="A1077" s="1" t="s">
        <v>642</v>
      </c>
    </row>
    <row r="1078" hidden="1">
      <c r="A1078" s="1" t="s">
        <v>643</v>
      </c>
    </row>
    <row r="1079">
      <c r="A1079" s="1" t="s">
        <v>1397</v>
      </c>
      <c r="B1079" s="2">
        <f>IFERROR(__xludf.DUMMYFUNCTION("SPLIT(A1079,""_"")"),2.0150728E7)</f>
        <v>20150728</v>
      </c>
      <c r="C1079" s="2" t="str">
        <f>IFERROR(__xludf.DUMMYFUNCTION("""COMPUTED_VALUE"""),"CNC")</f>
        <v>CNC</v>
      </c>
      <c r="D1079" s="2" t="str">
        <f>LEFT(B1079,4)</f>
        <v>2015</v>
      </c>
      <c r="E1079" s="2" t="str">
        <f>MID(B1079,5,2)</f>
        <v>07</v>
      </c>
      <c r="F1079" s="2" t="str">
        <f>RIGHT(B1079,2)</f>
        <v>28</v>
      </c>
      <c r="G1079" s="29">
        <f>DATE(D1079,E1079,F1079)</f>
        <v>42213</v>
      </c>
    </row>
    <row r="1080" hidden="1">
      <c r="A1080" s="1" t="s">
        <v>642</v>
      </c>
    </row>
    <row r="1081" hidden="1">
      <c r="A1081" s="1" t="s">
        <v>643</v>
      </c>
    </row>
    <row r="1082">
      <c r="A1082" s="1" t="s">
        <v>1398</v>
      </c>
      <c r="B1082" s="2">
        <f>IFERROR(__xludf.DUMMYFUNCTION("SPLIT(A1082,""_"")"),2.0150728E7)</f>
        <v>20150728</v>
      </c>
      <c r="C1082" s="2" t="str">
        <f>IFERROR(__xludf.DUMMYFUNCTION("""COMPUTED_VALUE"""),"CTXS")</f>
        <v>CTXS</v>
      </c>
      <c r="D1082" s="2" t="str">
        <f>LEFT(B1082,4)</f>
        <v>2015</v>
      </c>
      <c r="E1082" s="2" t="str">
        <f>MID(B1082,5,2)</f>
        <v>07</v>
      </c>
      <c r="F1082" s="2" t="str">
        <f>RIGHT(B1082,2)</f>
        <v>28</v>
      </c>
      <c r="G1082" s="29">
        <f>DATE(D1082,E1082,F1082)</f>
        <v>42213</v>
      </c>
    </row>
    <row r="1083" hidden="1">
      <c r="A1083" s="1" t="s">
        <v>642</v>
      </c>
    </row>
    <row r="1084" hidden="1">
      <c r="A1084" s="1" t="s">
        <v>643</v>
      </c>
    </row>
    <row r="1085">
      <c r="A1085" s="1" t="s">
        <v>1399</v>
      </c>
      <c r="B1085" s="2">
        <f>IFERROR(__xludf.DUMMYFUNCTION("SPLIT(A1085,""_"")"),2.0150728E7)</f>
        <v>20150728</v>
      </c>
      <c r="C1085" s="2" t="str">
        <f>IFERROR(__xludf.DUMMYFUNCTION("""COMPUTED_VALUE"""),"GILD")</f>
        <v>GILD</v>
      </c>
      <c r="D1085" s="2" t="str">
        <f>LEFT(B1085,4)</f>
        <v>2015</v>
      </c>
      <c r="E1085" s="2" t="str">
        <f>MID(B1085,5,2)</f>
        <v>07</v>
      </c>
      <c r="F1085" s="2" t="str">
        <f>RIGHT(B1085,2)</f>
        <v>28</v>
      </c>
      <c r="G1085" s="29">
        <f>DATE(D1085,E1085,F1085)</f>
        <v>42213</v>
      </c>
    </row>
    <row r="1086" hidden="1">
      <c r="A1086" s="1" t="s">
        <v>642</v>
      </c>
    </row>
    <row r="1087" hidden="1">
      <c r="A1087" s="1" t="s">
        <v>643</v>
      </c>
    </row>
    <row r="1088">
      <c r="A1088" s="1" t="s">
        <v>1400</v>
      </c>
      <c r="B1088" s="2">
        <f>IFERROR(__xludf.DUMMYFUNCTION("SPLIT(A1088,""_"")"),2.0150728E7)</f>
        <v>20150728</v>
      </c>
      <c r="C1088" s="2" t="str">
        <f>IFERROR(__xludf.DUMMYFUNCTION("""COMPUTED_VALUE"""),"HSII")</f>
        <v>HSII</v>
      </c>
      <c r="D1088" s="2" t="str">
        <f>LEFT(B1088,4)</f>
        <v>2015</v>
      </c>
      <c r="E1088" s="2" t="str">
        <f>MID(B1088,5,2)</f>
        <v>07</v>
      </c>
      <c r="F1088" s="2" t="str">
        <f>RIGHT(B1088,2)</f>
        <v>28</v>
      </c>
      <c r="G1088" s="29">
        <f>DATE(D1088,E1088,F1088)</f>
        <v>42213</v>
      </c>
    </row>
    <row r="1089" hidden="1">
      <c r="A1089" s="1" t="s">
        <v>642</v>
      </c>
    </row>
    <row r="1090" hidden="1">
      <c r="A1090" s="1" t="s">
        <v>643</v>
      </c>
    </row>
    <row r="1091">
      <c r="A1091" s="1" t="s">
        <v>1401</v>
      </c>
      <c r="B1091" s="2">
        <f>IFERROR(__xludf.DUMMYFUNCTION("SPLIT(A1091,""_"")"),2.0150728E7)</f>
        <v>20150728</v>
      </c>
      <c r="C1091" s="2" t="str">
        <f>IFERROR(__xludf.DUMMYFUNCTION("""COMPUTED_VALUE"""),"LMAT")</f>
        <v>LMAT</v>
      </c>
      <c r="D1091" s="2" t="str">
        <f>LEFT(B1091,4)</f>
        <v>2015</v>
      </c>
      <c r="E1091" s="2" t="str">
        <f>MID(B1091,5,2)</f>
        <v>07</v>
      </c>
      <c r="F1091" s="2" t="str">
        <f>RIGHT(B1091,2)</f>
        <v>28</v>
      </c>
      <c r="G1091" s="29">
        <f>DATE(D1091,E1091,F1091)</f>
        <v>42213</v>
      </c>
    </row>
    <row r="1092" hidden="1">
      <c r="A1092" s="1" t="s">
        <v>642</v>
      </c>
    </row>
    <row r="1093" hidden="1">
      <c r="A1093" s="1" t="s">
        <v>643</v>
      </c>
    </row>
    <row r="1094">
      <c r="A1094" s="1" t="s">
        <v>1402</v>
      </c>
      <c r="B1094" s="2">
        <f>IFERROR(__xludf.DUMMYFUNCTION("SPLIT(A1094,""_"")"),2.0150728E7)</f>
        <v>20150728</v>
      </c>
      <c r="C1094" s="2" t="str">
        <f>IFERROR(__xludf.DUMMYFUNCTION("""COMPUTED_VALUE"""),"NATI")</f>
        <v>NATI</v>
      </c>
      <c r="D1094" s="2" t="str">
        <f>LEFT(B1094,4)</f>
        <v>2015</v>
      </c>
      <c r="E1094" s="2" t="str">
        <f>MID(B1094,5,2)</f>
        <v>07</v>
      </c>
      <c r="F1094" s="2" t="str">
        <f>RIGHT(B1094,2)</f>
        <v>28</v>
      </c>
      <c r="G1094" s="29">
        <f>DATE(D1094,E1094,F1094)</f>
        <v>42213</v>
      </c>
    </row>
    <row r="1095" hidden="1">
      <c r="A1095" s="1" t="s">
        <v>642</v>
      </c>
    </row>
    <row r="1096" hidden="1">
      <c r="A1096" s="1" t="s">
        <v>643</v>
      </c>
    </row>
    <row r="1097">
      <c r="A1097" s="1" t="s">
        <v>1403</v>
      </c>
      <c r="B1097" s="2">
        <f>IFERROR(__xludf.DUMMYFUNCTION("SPLIT(A1097,""_"")"),2.0150728E7)</f>
        <v>20150728</v>
      </c>
      <c r="C1097" s="2" t="str">
        <f>IFERROR(__xludf.DUMMYFUNCTION("""COMPUTED_VALUE"""),"OSPN")</f>
        <v>OSPN</v>
      </c>
      <c r="D1097" s="2" t="str">
        <f>LEFT(B1097,4)</f>
        <v>2015</v>
      </c>
      <c r="E1097" s="2" t="str">
        <f>MID(B1097,5,2)</f>
        <v>07</v>
      </c>
      <c r="F1097" s="2" t="str">
        <f>RIGHT(B1097,2)</f>
        <v>28</v>
      </c>
      <c r="G1097" s="29">
        <f>DATE(D1097,E1097,F1097)</f>
        <v>42213</v>
      </c>
    </row>
    <row r="1098" hidden="1">
      <c r="A1098" s="1" t="s">
        <v>642</v>
      </c>
    </row>
    <row r="1099" hidden="1">
      <c r="A1099" s="1" t="s">
        <v>643</v>
      </c>
    </row>
    <row r="1100">
      <c r="A1100" s="1" t="s">
        <v>1404</v>
      </c>
      <c r="B1100" s="2">
        <f>IFERROR(__xludf.DUMMYFUNCTION("SPLIT(A1100,""_"")"),2.0150728E7)</f>
        <v>20150728</v>
      </c>
      <c r="C1100" s="2" t="str">
        <f>IFERROR(__xludf.DUMMYFUNCTION("""COMPUTED_VALUE"""),"PCAR")</f>
        <v>PCAR</v>
      </c>
      <c r="D1100" s="2" t="str">
        <f>LEFT(B1100,4)</f>
        <v>2015</v>
      </c>
      <c r="E1100" s="2" t="str">
        <f>MID(B1100,5,2)</f>
        <v>07</v>
      </c>
      <c r="F1100" s="2" t="str">
        <f>RIGHT(B1100,2)</f>
        <v>28</v>
      </c>
      <c r="G1100" s="29">
        <f>DATE(D1100,E1100,F1100)</f>
        <v>42213</v>
      </c>
    </row>
    <row r="1101" hidden="1">
      <c r="A1101" s="1" t="s">
        <v>642</v>
      </c>
    </row>
    <row r="1102" hidden="1">
      <c r="A1102" s="1" t="s">
        <v>643</v>
      </c>
    </row>
    <row r="1103">
      <c r="A1103" s="1" t="s">
        <v>1405</v>
      </c>
      <c r="B1103" s="2">
        <f>IFERROR(__xludf.DUMMYFUNCTION("SPLIT(A1103,""_"")"),2.0150728E7)</f>
        <v>20150728</v>
      </c>
      <c r="C1103" s="2" t="str">
        <f>IFERROR(__xludf.DUMMYFUNCTION("""COMPUTED_VALUE"""),"VICR")</f>
        <v>VICR</v>
      </c>
      <c r="D1103" s="2" t="str">
        <f>LEFT(B1103,4)</f>
        <v>2015</v>
      </c>
      <c r="E1103" s="2" t="str">
        <f>MID(B1103,5,2)</f>
        <v>07</v>
      </c>
      <c r="F1103" s="2" t="str">
        <f>RIGHT(B1103,2)</f>
        <v>28</v>
      </c>
      <c r="G1103" s="29">
        <f>DATE(D1103,E1103,F1103)</f>
        <v>42213</v>
      </c>
    </row>
    <row r="1104" hidden="1">
      <c r="A1104" s="1" t="s">
        <v>642</v>
      </c>
    </row>
    <row r="1105" hidden="1">
      <c r="A1105" s="1" t="s">
        <v>643</v>
      </c>
    </row>
    <row r="1106">
      <c r="A1106" s="1" t="s">
        <v>1406</v>
      </c>
      <c r="B1106" s="2">
        <f>IFERROR(__xludf.DUMMYFUNCTION("SPLIT(A1106,""_"")"),2.0150729E7)</f>
        <v>20150729</v>
      </c>
      <c r="C1106" s="2" t="str">
        <f>IFERROR(__xludf.DUMMYFUNCTION("""COMPUTED_VALUE"""),"ALGT")</f>
        <v>ALGT</v>
      </c>
      <c r="D1106" s="2" t="str">
        <f>LEFT(B1106,4)</f>
        <v>2015</v>
      </c>
      <c r="E1106" s="2" t="str">
        <f>MID(B1106,5,2)</f>
        <v>07</v>
      </c>
      <c r="F1106" s="2" t="str">
        <f>RIGHT(B1106,2)</f>
        <v>29</v>
      </c>
      <c r="G1106" s="29">
        <f>DATE(D1106,E1106,F1106)</f>
        <v>42214</v>
      </c>
    </row>
    <row r="1107" hidden="1">
      <c r="A1107" s="1" t="s">
        <v>642</v>
      </c>
    </row>
    <row r="1108" hidden="1">
      <c r="A1108" s="1" t="s">
        <v>643</v>
      </c>
    </row>
    <row r="1109">
      <c r="A1109" s="1" t="s">
        <v>1407</v>
      </c>
      <c r="B1109" s="2">
        <f>IFERROR(__xludf.DUMMYFUNCTION("SPLIT(A1109,""_"")"),2.0150729E7)</f>
        <v>20150729</v>
      </c>
      <c r="C1109" s="2" t="str">
        <f>IFERROR(__xludf.DUMMYFUNCTION("""COMPUTED_VALUE"""),"BEN")</f>
        <v>BEN</v>
      </c>
      <c r="D1109" s="2" t="str">
        <f>LEFT(B1109,4)</f>
        <v>2015</v>
      </c>
      <c r="E1109" s="2" t="str">
        <f>MID(B1109,5,2)</f>
        <v>07</v>
      </c>
      <c r="F1109" s="2" t="str">
        <f>RIGHT(B1109,2)</f>
        <v>29</v>
      </c>
      <c r="G1109" s="29">
        <f>DATE(D1109,E1109,F1109)</f>
        <v>42214</v>
      </c>
    </row>
    <row r="1110" hidden="1">
      <c r="A1110" s="1" t="s">
        <v>642</v>
      </c>
    </row>
    <row r="1111" hidden="1">
      <c r="A1111" s="1" t="s">
        <v>643</v>
      </c>
    </row>
    <row r="1112">
      <c r="A1112" s="1" t="s">
        <v>1408</v>
      </c>
      <c r="B1112" s="2">
        <f>IFERROR(__xludf.DUMMYFUNCTION("SPLIT(A1112,""_"")"),2.0150729E7)</f>
        <v>20150729</v>
      </c>
      <c r="C1112" s="2" t="str">
        <f>IFERROR(__xludf.DUMMYFUNCTION("""COMPUTED_VALUE"""),"CFR")</f>
        <v>CFR</v>
      </c>
      <c r="D1112" s="2" t="str">
        <f>LEFT(B1112,4)</f>
        <v>2015</v>
      </c>
      <c r="E1112" s="2" t="str">
        <f>MID(B1112,5,2)</f>
        <v>07</v>
      </c>
      <c r="F1112" s="2" t="str">
        <f>RIGHT(B1112,2)</f>
        <v>29</v>
      </c>
      <c r="G1112" s="29">
        <f>DATE(D1112,E1112,F1112)</f>
        <v>42214</v>
      </c>
    </row>
    <row r="1113" hidden="1">
      <c r="A1113" s="1" t="s">
        <v>642</v>
      </c>
    </row>
    <row r="1114" hidden="1">
      <c r="A1114" s="1" t="s">
        <v>643</v>
      </c>
    </row>
    <row r="1115">
      <c r="A1115" s="1" t="s">
        <v>1409</v>
      </c>
      <c r="B1115" s="2">
        <f>IFERROR(__xludf.DUMMYFUNCTION("SPLIT(A1115,""_"")"),2.0150729E7)</f>
        <v>20150729</v>
      </c>
      <c r="C1115" s="2" t="str">
        <f>IFERROR(__xludf.DUMMYFUNCTION("""COMPUTED_VALUE"""),"CYTK")</f>
        <v>CYTK</v>
      </c>
      <c r="D1115" s="2" t="str">
        <f>LEFT(B1115,4)</f>
        <v>2015</v>
      </c>
      <c r="E1115" s="2" t="str">
        <f>MID(B1115,5,2)</f>
        <v>07</v>
      </c>
      <c r="F1115" s="2" t="str">
        <f>RIGHT(B1115,2)</f>
        <v>29</v>
      </c>
      <c r="G1115" s="29">
        <f>DATE(D1115,E1115,F1115)</f>
        <v>42214</v>
      </c>
    </row>
    <row r="1116" hidden="1">
      <c r="A1116" s="1" t="s">
        <v>642</v>
      </c>
    </row>
    <row r="1117" hidden="1">
      <c r="A1117" s="1" t="s">
        <v>643</v>
      </c>
    </row>
    <row r="1118">
      <c r="A1118" s="1" t="s">
        <v>1410</v>
      </c>
      <c r="B1118" s="2">
        <f>IFERROR(__xludf.DUMMYFUNCTION("SPLIT(A1118,""_"")"),2.0150729E7)</f>
        <v>20150729</v>
      </c>
      <c r="C1118" s="2" t="str">
        <f>IFERROR(__xludf.DUMMYFUNCTION("""COMPUTED_VALUE"""),"FCF")</f>
        <v>FCF</v>
      </c>
      <c r="D1118" s="2" t="str">
        <f>LEFT(B1118,4)</f>
        <v>2015</v>
      </c>
      <c r="E1118" s="2" t="str">
        <f>MID(B1118,5,2)</f>
        <v>07</v>
      </c>
      <c r="F1118" s="2" t="str">
        <f>RIGHT(B1118,2)</f>
        <v>29</v>
      </c>
      <c r="G1118" s="29">
        <f>DATE(D1118,E1118,F1118)</f>
        <v>42214</v>
      </c>
    </row>
    <row r="1119" hidden="1">
      <c r="A1119" s="1" t="s">
        <v>642</v>
      </c>
    </row>
    <row r="1120" hidden="1">
      <c r="A1120" s="1" t="s">
        <v>643</v>
      </c>
    </row>
    <row r="1121">
      <c r="A1121" s="1" t="s">
        <v>1411</v>
      </c>
      <c r="B1121" s="2">
        <f>IFERROR(__xludf.DUMMYFUNCTION("SPLIT(A1121,""_"")"),2.0150729E7)</f>
        <v>20150729</v>
      </c>
      <c r="C1121" s="2" t="str">
        <f>IFERROR(__xludf.DUMMYFUNCTION("""COMPUTED_VALUE"""),"NOC")</f>
        <v>NOC</v>
      </c>
      <c r="D1121" s="2" t="str">
        <f>LEFT(B1121,4)</f>
        <v>2015</v>
      </c>
      <c r="E1121" s="2" t="str">
        <f>MID(B1121,5,2)</f>
        <v>07</v>
      </c>
      <c r="F1121" s="2" t="str">
        <f>RIGHT(B1121,2)</f>
        <v>29</v>
      </c>
      <c r="G1121" s="29">
        <f>DATE(D1121,E1121,F1121)</f>
        <v>42214</v>
      </c>
    </row>
    <row r="1122" hidden="1">
      <c r="A1122" s="1" t="s">
        <v>642</v>
      </c>
    </row>
    <row r="1123" hidden="1">
      <c r="A1123" s="1" t="s">
        <v>643</v>
      </c>
    </row>
    <row r="1124">
      <c r="A1124" s="1" t="s">
        <v>1412</v>
      </c>
      <c r="B1124" s="2">
        <f>IFERROR(__xludf.DUMMYFUNCTION("SPLIT(A1124,""_"")"),2.0150729E7)</f>
        <v>20150729</v>
      </c>
      <c r="C1124" s="2" t="str">
        <f>IFERROR(__xludf.DUMMYFUNCTION("""COMPUTED_VALUE"""),"PX")</f>
        <v>PX</v>
      </c>
      <c r="D1124" s="2" t="str">
        <f>LEFT(B1124,4)</f>
        <v>2015</v>
      </c>
      <c r="E1124" s="2" t="str">
        <f>MID(B1124,5,2)</f>
        <v>07</v>
      </c>
      <c r="F1124" s="2" t="str">
        <f>RIGHT(B1124,2)</f>
        <v>29</v>
      </c>
      <c r="G1124" s="29">
        <f>DATE(D1124,E1124,F1124)</f>
        <v>42214</v>
      </c>
    </row>
    <row r="1125" hidden="1">
      <c r="A1125" s="1" t="s">
        <v>642</v>
      </c>
    </row>
    <row r="1126" hidden="1">
      <c r="A1126" s="1" t="s">
        <v>643</v>
      </c>
    </row>
    <row r="1127">
      <c r="A1127" s="1" t="s">
        <v>1413</v>
      </c>
      <c r="B1127" s="2">
        <f>IFERROR(__xludf.DUMMYFUNCTION("SPLIT(A1127,""_"")"),2.0150729E7)</f>
        <v>20150729</v>
      </c>
      <c r="C1127" s="2" t="str">
        <f>IFERROR(__xludf.DUMMYFUNCTION("""COMPUTED_VALUE"""),"SLAB")</f>
        <v>SLAB</v>
      </c>
      <c r="D1127" s="2" t="str">
        <f>LEFT(B1127,4)</f>
        <v>2015</v>
      </c>
      <c r="E1127" s="2" t="str">
        <f>MID(B1127,5,2)</f>
        <v>07</v>
      </c>
      <c r="F1127" s="2" t="str">
        <f>RIGHT(B1127,2)</f>
        <v>29</v>
      </c>
      <c r="G1127" s="29">
        <f>DATE(D1127,E1127,F1127)</f>
        <v>42214</v>
      </c>
    </row>
    <row r="1128" hidden="1">
      <c r="A1128" s="1" t="s">
        <v>642</v>
      </c>
    </row>
    <row r="1129" hidden="1">
      <c r="A1129" s="1" t="s">
        <v>643</v>
      </c>
    </row>
    <row r="1130">
      <c r="A1130" s="1" t="s">
        <v>1414</v>
      </c>
      <c r="B1130" s="2">
        <f>IFERROR(__xludf.DUMMYFUNCTION("SPLIT(A1130,""_"")"),2.0150729E7)</f>
        <v>20150729</v>
      </c>
      <c r="C1130" s="2" t="str">
        <f>IFERROR(__xludf.DUMMYFUNCTION("""COMPUTED_VALUE"""),"TGI")</f>
        <v>TGI</v>
      </c>
      <c r="D1130" s="2" t="str">
        <f>LEFT(B1130,4)</f>
        <v>2015</v>
      </c>
      <c r="E1130" s="2" t="str">
        <f>MID(B1130,5,2)</f>
        <v>07</v>
      </c>
      <c r="F1130" s="2" t="str">
        <f>RIGHT(B1130,2)</f>
        <v>29</v>
      </c>
      <c r="G1130" s="29">
        <f>DATE(D1130,E1130,F1130)</f>
        <v>42214</v>
      </c>
    </row>
    <row r="1131" hidden="1">
      <c r="A1131" s="1" t="s">
        <v>642</v>
      </c>
    </row>
    <row r="1132" hidden="1">
      <c r="A1132" s="1" t="s">
        <v>643</v>
      </c>
    </row>
    <row r="1133">
      <c r="A1133" s="1" t="s">
        <v>1415</v>
      </c>
      <c r="B1133" s="2">
        <f>IFERROR(__xludf.DUMMYFUNCTION("SPLIT(A1133,""_"")"),2.015073E7)</f>
        <v>20150730</v>
      </c>
      <c r="C1133" s="2" t="str">
        <f>IFERROR(__xludf.DUMMYFUNCTION("""COMPUTED_VALUE"""),"ACIW")</f>
        <v>ACIW</v>
      </c>
      <c r="D1133" s="2" t="str">
        <f>LEFT(B1133,4)</f>
        <v>2015</v>
      </c>
      <c r="E1133" s="2" t="str">
        <f>MID(B1133,5,2)</f>
        <v>07</v>
      </c>
      <c r="F1133" s="2" t="str">
        <f>RIGHT(B1133,2)</f>
        <v>30</v>
      </c>
      <c r="G1133" s="29">
        <f>DATE(D1133,E1133,F1133)</f>
        <v>42215</v>
      </c>
    </row>
    <row r="1134" hidden="1">
      <c r="A1134" s="1" t="s">
        <v>642</v>
      </c>
    </row>
    <row r="1135" hidden="1">
      <c r="A1135" s="1" t="s">
        <v>643</v>
      </c>
    </row>
    <row r="1136">
      <c r="A1136" s="1" t="s">
        <v>1416</v>
      </c>
      <c r="B1136" s="2">
        <f>IFERROR(__xludf.DUMMYFUNCTION("SPLIT(A1136,""_"")"),2.015073E7)</f>
        <v>20150730</v>
      </c>
      <c r="C1136" s="2" t="str">
        <f>IFERROR(__xludf.DUMMYFUNCTION("""COMPUTED_VALUE"""),"ADP")</f>
        <v>ADP</v>
      </c>
      <c r="D1136" s="2" t="str">
        <f>LEFT(B1136,4)</f>
        <v>2015</v>
      </c>
      <c r="E1136" s="2" t="str">
        <f>MID(B1136,5,2)</f>
        <v>07</v>
      </c>
      <c r="F1136" s="2" t="str">
        <f>RIGHT(B1136,2)</f>
        <v>30</v>
      </c>
      <c r="G1136" s="29">
        <f>DATE(D1136,E1136,F1136)</f>
        <v>42215</v>
      </c>
    </row>
    <row r="1137" hidden="1">
      <c r="A1137" s="1" t="s">
        <v>642</v>
      </c>
    </row>
    <row r="1138" hidden="1">
      <c r="A1138" s="1" t="s">
        <v>643</v>
      </c>
    </row>
    <row r="1139">
      <c r="A1139" s="1" t="s">
        <v>1417</v>
      </c>
      <c r="B1139" s="2">
        <f>IFERROR(__xludf.DUMMYFUNCTION("SPLIT(A1139,""_"")"),2.015073E7)</f>
        <v>20150730</v>
      </c>
      <c r="C1139" s="2" t="str">
        <f>IFERROR(__xludf.DUMMYFUNCTION("""COMPUTED_VALUE"""),"BCOR")</f>
        <v>BCOR</v>
      </c>
      <c r="D1139" s="2" t="str">
        <f>LEFT(B1139,4)</f>
        <v>2015</v>
      </c>
      <c r="E1139" s="2" t="str">
        <f>MID(B1139,5,2)</f>
        <v>07</v>
      </c>
      <c r="F1139" s="2" t="str">
        <f>RIGHT(B1139,2)</f>
        <v>30</v>
      </c>
      <c r="G1139" s="29">
        <f>DATE(D1139,E1139,F1139)</f>
        <v>42215</v>
      </c>
    </row>
    <row r="1140" hidden="1">
      <c r="A1140" s="1" t="s">
        <v>642</v>
      </c>
    </row>
    <row r="1141" hidden="1">
      <c r="A1141" s="1" t="s">
        <v>643</v>
      </c>
    </row>
    <row r="1142">
      <c r="A1142" s="1" t="s">
        <v>1418</v>
      </c>
      <c r="B1142" s="2">
        <f>IFERROR(__xludf.DUMMYFUNCTION("SPLIT(A1142,""_"")"),2.015073E7)</f>
        <v>20150730</v>
      </c>
      <c r="C1142" s="2" t="str">
        <f>IFERROR(__xludf.DUMMYFUNCTION("""COMPUTED_VALUE"""),"CBB")</f>
        <v>CBB</v>
      </c>
      <c r="D1142" s="2" t="str">
        <f>LEFT(B1142,4)</f>
        <v>2015</v>
      </c>
      <c r="E1142" s="2" t="str">
        <f>MID(B1142,5,2)</f>
        <v>07</v>
      </c>
      <c r="F1142" s="2" t="str">
        <f>RIGHT(B1142,2)</f>
        <v>30</v>
      </c>
      <c r="G1142" s="29">
        <f>DATE(D1142,E1142,F1142)</f>
        <v>42215</v>
      </c>
    </row>
    <row r="1143" hidden="1">
      <c r="A1143" s="1" t="s">
        <v>642</v>
      </c>
    </row>
    <row r="1144" hidden="1">
      <c r="A1144" s="1" t="s">
        <v>643</v>
      </c>
    </row>
    <row r="1145">
      <c r="A1145" s="1" t="s">
        <v>1419</v>
      </c>
      <c r="B1145" s="2">
        <f>IFERROR(__xludf.DUMMYFUNCTION("SPLIT(A1145,""_"")"),2.015073E7)</f>
        <v>20150730</v>
      </c>
      <c r="C1145" s="2" t="str">
        <f>IFERROR(__xludf.DUMMYFUNCTION("""COMPUTED_VALUE"""),"CEVA")</f>
        <v>CEVA</v>
      </c>
      <c r="D1145" s="2" t="str">
        <f>LEFT(B1145,4)</f>
        <v>2015</v>
      </c>
      <c r="E1145" s="2" t="str">
        <f>MID(B1145,5,2)</f>
        <v>07</v>
      </c>
      <c r="F1145" s="2" t="str">
        <f>RIGHT(B1145,2)</f>
        <v>30</v>
      </c>
      <c r="G1145" s="29">
        <f>DATE(D1145,E1145,F1145)</f>
        <v>42215</v>
      </c>
    </row>
    <row r="1146" hidden="1">
      <c r="A1146" s="1" t="s">
        <v>642</v>
      </c>
    </row>
    <row r="1147" hidden="1">
      <c r="A1147" s="1" t="s">
        <v>643</v>
      </c>
    </row>
    <row r="1148">
      <c r="A1148" s="1" t="s">
        <v>1420</v>
      </c>
      <c r="B1148" s="2">
        <f>IFERROR(__xludf.DUMMYFUNCTION("SPLIT(A1148,""_"")"),2.015073E7)</f>
        <v>20150730</v>
      </c>
      <c r="C1148" s="2" t="str">
        <f>IFERROR(__xludf.DUMMYFUNCTION("""COMPUTED_VALUE"""),"CRL")</f>
        <v>CRL</v>
      </c>
      <c r="D1148" s="2" t="str">
        <f>LEFT(B1148,4)</f>
        <v>2015</v>
      </c>
      <c r="E1148" s="2" t="str">
        <f>MID(B1148,5,2)</f>
        <v>07</v>
      </c>
      <c r="F1148" s="2" t="str">
        <f>RIGHT(B1148,2)</f>
        <v>30</v>
      </c>
      <c r="G1148" s="29">
        <f>DATE(D1148,E1148,F1148)</f>
        <v>42215</v>
      </c>
    </row>
    <row r="1149" hidden="1">
      <c r="A1149" s="1" t="s">
        <v>642</v>
      </c>
    </row>
    <row r="1150" hidden="1">
      <c r="A1150" s="1" t="s">
        <v>643</v>
      </c>
    </row>
    <row r="1151">
      <c r="A1151" s="1" t="s">
        <v>1421</v>
      </c>
      <c r="B1151" s="2">
        <f>IFERROR(__xludf.DUMMYFUNCTION("SPLIT(A1151,""_"")"),2.015073E7)</f>
        <v>20150730</v>
      </c>
      <c r="C1151" s="2" t="str">
        <f>IFERROR(__xludf.DUMMYFUNCTION("""COMPUTED_VALUE"""),"CROX")</f>
        <v>CROX</v>
      </c>
      <c r="D1151" s="2" t="str">
        <f>LEFT(B1151,4)</f>
        <v>2015</v>
      </c>
      <c r="E1151" s="2" t="str">
        <f>MID(B1151,5,2)</f>
        <v>07</v>
      </c>
      <c r="F1151" s="2" t="str">
        <f>RIGHT(B1151,2)</f>
        <v>30</v>
      </c>
      <c r="G1151" s="29">
        <f>DATE(D1151,E1151,F1151)</f>
        <v>42215</v>
      </c>
    </row>
    <row r="1152" hidden="1">
      <c r="A1152" s="1" t="s">
        <v>642</v>
      </c>
    </row>
    <row r="1153" hidden="1">
      <c r="A1153" s="1" t="s">
        <v>643</v>
      </c>
    </row>
    <row r="1154">
      <c r="A1154" s="1" t="s">
        <v>1422</v>
      </c>
      <c r="B1154" s="2">
        <f>IFERROR(__xludf.DUMMYFUNCTION("SPLIT(A1154,""_"")"),2.015073E7)</f>
        <v>20150730</v>
      </c>
      <c r="C1154" s="2" t="str">
        <f>IFERROR(__xludf.DUMMYFUNCTION("""COMPUTED_VALUE"""),"CRS")</f>
        <v>CRS</v>
      </c>
      <c r="D1154" s="2" t="str">
        <f>LEFT(B1154,4)</f>
        <v>2015</v>
      </c>
      <c r="E1154" s="2" t="str">
        <f>MID(B1154,5,2)</f>
        <v>07</v>
      </c>
      <c r="F1154" s="2" t="str">
        <f>RIGHT(B1154,2)</f>
        <v>30</v>
      </c>
      <c r="G1154" s="29">
        <f>DATE(D1154,E1154,F1154)</f>
        <v>42215</v>
      </c>
    </row>
    <row r="1155" hidden="1">
      <c r="A1155" s="1" t="s">
        <v>642</v>
      </c>
    </row>
    <row r="1156" hidden="1">
      <c r="A1156" s="1" t="s">
        <v>643</v>
      </c>
    </row>
    <row r="1157">
      <c r="A1157" s="1" t="s">
        <v>1423</v>
      </c>
      <c r="B1157" s="2">
        <f>IFERROR(__xludf.DUMMYFUNCTION("SPLIT(A1157,""_"")"),2.015073E7)</f>
        <v>20150730</v>
      </c>
      <c r="C1157" s="2" t="str">
        <f>IFERROR(__xludf.DUMMYFUNCTION("""COMPUTED_VALUE"""),"FLR")</f>
        <v>FLR</v>
      </c>
      <c r="D1157" s="2" t="str">
        <f>LEFT(B1157,4)</f>
        <v>2015</v>
      </c>
      <c r="E1157" s="2" t="str">
        <f>MID(B1157,5,2)</f>
        <v>07</v>
      </c>
      <c r="F1157" s="2" t="str">
        <f>RIGHT(B1157,2)</f>
        <v>30</v>
      </c>
      <c r="G1157" s="29">
        <f>DATE(D1157,E1157,F1157)</f>
        <v>42215</v>
      </c>
    </row>
    <row r="1158" hidden="1">
      <c r="A1158" s="1" t="s">
        <v>642</v>
      </c>
    </row>
    <row r="1159" hidden="1">
      <c r="A1159" s="1" t="s">
        <v>643</v>
      </c>
    </row>
    <row r="1160">
      <c r="A1160" s="1" t="s">
        <v>1424</v>
      </c>
      <c r="B1160" s="2">
        <f>IFERROR(__xludf.DUMMYFUNCTION("SPLIT(A1160,""_"")"),2.015073E7)</f>
        <v>20150730</v>
      </c>
      <c r="C1160" s="2" t="str">
        <f>IFERROR(__xludf.DUMMYFUNCTION("""COMPUTED_VALUE"""),"HF")</f>
        <v>HF</v>
      </c>
      <c r="D1160" s="2" t="str">
        <f>LEFT(B1160,4)</f>
        <v>2015</v>
      </c>
      <c r="E1160" s="2" t="str">
        <f>MID(B1160,5,2)</f>
        <v>07</v>
      </c>
      <c r="F1160" s="2" t="str">
        <f>RIGHT(B1160,2)</f>
        <v>30</v>
      </c>
      <c r="G1160" s="29">
        <f>DATE(D1160,E1160,F1160)</f>
        <v>42215</v>
      </c>
    </row>
    <row r="1161" hidden="1">
      <c r="A1161" s="1" t="s">
        <v>642</v>
      </c>
    </row>
    <row r="1162" hidden="1">
      <c r="A1162" s="1" t="s">
        <v>643</v>
      </c>
    </row>
    <row r="1163">
      <c r="A1163" s="1" t="s">
        <v>1425</v>
      </c>
      <c r="B1163" s="2">
        <f>IFERROR(__xludf.DUMMYFUNCTION("SPLIT(A1163,""_"")"),2.015073E7)</f>
        <v>20150730</v>
      </c>
      <c r="C1163" s="2" t="str">
        <f>IFERROR(__xludf.DUMMYFUNCTION("""COMPUTED_VALUE"""),"HST")</f>
        <v>HST</v>
      </c>
      <c r="D1163" s="2" t="str">
        <f>LEFT(B1163,4)</f>
        <v>2015</v>
      </c>
      <c r="E1163" s="2" t="str">
        <f>MID(B1163,5,2)</f>
        <v>07</v>
      </c>
      <c r="F1163" s="2" t="str">
        <f>RIGHT(B1163,2)</f>
        <v>30</v>
      </c>
      <c r="G1163" s="29">
        <f>DATE(D1163,E1163,F1163)</f>
        <v>42215</v>
      </c>
    </row>
    <row r="1164" hidden="1">
      <c r="A1164" s="1" t="s">
        <v>642</v>
      </c>
    </row>
    <row r="1165" hidden="1">
      <c r="A1165" s="1" t="s">
        <v>643</v>
      </c>
    </row>
    <row r="1166">
      <c r="A1166" s="1" t="s">
        <v>1426</v>
      </c>
      <c r="B1166" s="2">
        <f>IFERROR(__xludf.DUMMYFUNCTION("SPLIT(A1166,""_"")"),2.015073E7)</f>
        <v>20150730</v>
      </c>
      <c r="C1166" s="2" t="str">
        <f>IFERROR(__xludf.DUMMYFUNCTION("""COMPUTED_VALUE"""),"IART")</f>
        <v>IART</v>
      </c>
      <c r="D1166" s="2" t="str">
        <f>LEFT(B1166,4)</f>
        <v>2015</v>
      </c>
      <c r="E1166" s="2" t="str">
        <f>MID(B1166,5,2)</f>
        <v>07</v>
      </c>
      <c r="F1166" s="2" t="str">
        <f>RIGHT(B1166,2)</f>
        <v>30</v>
      </c>
      <c r="G1166" s="29">
        <f>DATE(D1166,E1166,F1166)</f>
        <v>42215</v>
      </c>
    </row>
    <row r="1167" hidden="1">
      <c r="A1167" s="1" t="s">
        <v>642</v>
      </c>
    </row>
    <row r="1168" hidden="1">
      <c r="A1168" s="1" t="s">
        <v>643</v>
      </c>
    </row>
    <row r="1169">
      <c r="A1169" s="1" t="s">
        <v>1427</v>
      </c>
      <c r="B1169" s="2">
        <f>IFERROR(__xludf.DUMMYFUNCTION("SPLIT(A1169,""_"")"),2.015073E7)</f>
        <v>20150730</v>
      </c>
      <c r="C1169" s="2" t="str">
        <f>IFERROR(__xludf.DUMMYFUNCTION("""COMPUTED_VALUE"""),"IDXX")</f>
        <v>IDXX</v>
      </c>
      <c r="D1169" s="2" t="str">
        <f>LEFT(B1169,4)</f>
        <v>2015</v>
      </c>
      <c r="E1169" s="2" t="str">
        <f>MID(B1169,5,2)</f>
        <v>07</v>
      </c>
      <c r="F1169" s="2" t="str">
        <f>RIGHT(B1169,2)</f>
        <v>30</v>
      </c>
      <c r="G1169" s="29">
        <f>DATE(D1169,E1169,F1169)</f>
        <v>42215</v>
      </c>
    </row>
    <row r="1170" hidden="1">
      <c r="A1170" s="1" t="s">
        <v>642</v>
      </c>
    </row>
    <row r="1171" hidden="1">
      <c r="A1171" s="1" t="s">
        <v>643</v>
      </c>
    </row>
    <row r="1172">
      <c r="A1172" s="1" t="s">
        <v>1428</v>
      </c>
      <c r="B1172" s="2">
        <f>IFERROR(__xludf.DUMMYFUNCTION("SPLIT(A1172,""_"")"),2.015073E7)</f>
        <v>20150730</v>
      </c>
      <c r="C1172" s="2" t="str">
        <f>IFERROR(__xludf.DUMMYFUNCTION("""COMPUTED_VALUE"""),"INT")</f>
        <v>INT</v>
      </c>
      <c r="D1172" s="2" t="str">
        <f>LEFT(B1172,4)</f>
        <v>2015</v>
      </c>
      <c r="E1172" s="2" t="str">
        <f>MID(B1172,5,2)</f>
        <v>07</v>
      </c>
      <c r="F1172" s="2" t="str">
        <f>RIGHT(B1172,2)</f>
        <v>30</v>
      </c>
      <c r="G1172" s="29">
        <f>DATE(D1172,E1172,F1172)</f>
        <v>42215</v>
      </c>
    </row>
    <row r="1173" hidden="1">
      <c r="A1173" s="1" t="s">
        <v>642</v>
      </c>
    </row>
    <row r="1174" hidden="1">
      <c r="A1174" s="1" t="s">
        <v>643</v>
      </c>
    </row>
    <row r="1175">
      <c r="A1175" s="1" t="s">
        <v>1429</v>
      </c>
      <c r="B1175" s="2">
        <f>IFERROR(__xludf.DUMMYFUNCTION("SPLIT(A1175,""_"")"),2.015073E7)</f>
        <v>20150730</v>
      </c>
      <c r="C1175" s="2" t="str">
        <f>IFERROR(__xludf.DUMMYFUNCTION("""COMPUTED_VALUE"""),"IT")</f>
        <v>IT</v>
      </c>
      <c r="D1175" s="2" t="str">
        <f>LEFT(B1175,4)</f>
        <v>2015</v>
      </c>
      <c r="E1175" s="2" t="str">
        <f>MID(B1175,5,2)</f>
        <v>07</v>
      </c>
      <c r="F1175" s="2" t="str">
        <f>RIGHT(B1175,2)</f>
        <v>30</v>
      </c>
      <c r="G1175" s="29">
        <f>DATE(D1175,E1175,F1175)</f>
        <v>42215</v>
      </c>
    </row>
    <row r="1176" hidden="1">
      <c r="A1176" s="1" t="s">
        <v>642</v>
      </c>
    </row>
    <row r="1177" hidden="1">
      <c r="A1177" s="1" t="s">
        <v>643</v>
      </c>
    </row>
    <row r="1178">
      <c r="A1178" s="1" t="s">
        <v>1430</v>
      </c>
      <c r="B1178" s="2">
        <f>IFERROR(__xludf.DUMMYFUNCTION("SPLIT(A1178,""_"")"),2.015073E7)</f>
        <v>20150730</v>
      </c>
      <c r="C1178" s="2" t="str">
        <f>IFERROR(__xludf.DUMMYFUNCTION("""COMPUTED_VALUE"""),"MD")</f>
        <v>MD</v>
      </c>
      <c r="D1178" s="2" t="str">
        <f>LEFT(B1178,4)</f>
        <v>2015</v>
      </c>
      <c r="E1178" s="2" t="str">
        <f>MID(B1178,5,2)</f>
        <v>07</v>
      </c>
      <c r="F1178" s="2" t="str">
        <f>RIGHT(B1178,2)</f>
        <v>30</v>
      </c>
      <c r="G1178" s="29">
        <f>DATE(D1178,E1178,F1178)</f>
        <v>42215</v>
      </c>
    </row>
    <row r="1179" hidden="1">
      <c r="A1179" s="1" t="s">
        <v>642</v>
      </c>
    </row>
    <row r="1180" hidden="1">
      <c r="A1180" s="1" t="s">
        <v>643</v>
      </c>
    </row>
    <row r="1181">
      <c r="A1181" s="1" t="s">
        <v>1431</v>
      </c>
      <c r="B1181" s="2">
        <f>IFERROR(__xludf.DUMMYFUNCTION("SPLIT(A1181,""_"")"),2.015073E7)</f>
        <v>20150730</v>
      </c>
      <c r="C1181" s="2" t="str">
        <f>IFERROR(__xludf.DUMMYFUNCTION("""COMPUTED_VALUE"""),"MDLZ")</f>
        <v>MDLZ</v>
      </c>
      <c r="D1181" s="2" t="str">
        <f>LEFT(B1181,4)</f>
        <v>2015</v>
      </c>
      <c r="E1181" s="2" t="str">
        <f>MID(B1181,5,2)</f>
        <v>07</v>
      </c>
      <c r="F1181" s="2" t="str">
        <f>RIGHT(B1181,2)</f>
        <v>30</v>
      </c>
      <c r="G1181" s="29">
        <f>DATE(D1181,E1181,F1181)</f>
        <v>42215</v>
      </c>
    </row>
    <row r="1182" hidden="1">
      <c r="A1182" s="1" t="s">
        <v>642</v>
      </c>
    </row>
    <row r="1183" hidden="1">
      <c r="A1183" s="1" t="s">
        <v>643</v>
      </c>
    </row>
    <row r="1184">
      <c r="A1184" s="1" t="s">
        <v>1432</v>
      </c>
      <c r="B1184" s="2">
        <f>IFERROR(__xludf.DUMMYFUNCTION("SPLIT(A1184,""_"")"),2.015073E7)</f>
        <v>20150730</v>
      </c>
      <c r="C1184" s="2" t="str">
        <f>IFERROR(__xludf.DUMMYFUNCTION("""COMPUTED_VALUE"""),"MTD")</f>
        <v>MTD</v>
      </c>
      <c r="D1184" s="2" t="str">
        <f>LEFT(B1184,4)</f>
        <v>2015</v>
      </c>
      <c r="E1184" s="2" t="str">
        <f>MID(B1184,5,2)</f>
        <v>07</v>
      </c>
      <c r="F1184" s="2" t="str">
        <f>RIGHT(B1184,2)</f>
        <v>30</v>
      </c>
      <c r="G1184" s="29">
        <f>DATE(D1184,E1184,F1184)</f>
        <v>42215</v>
      </c>
    </row>
    <row r="1185" hidden="1">
      <c r="A1185" s="1" t="s">
        <v>642</v>
      </c>
    </row>
    <row r="1186" hidden="1">
      <c r="A1186" s="1" t="s">
        <v>643</v>
      </c>
    </row>
    <row r="1187">
      <c r="A1187" s="1" t="s">
        <v>1433</v>
      </c>
      <c r="B1187" s="2">
        <f>IFERROR(__xludf.DUMMYFUNCTION("SPLIT(A1187,""_"")"),2.015073E7)</f>
        <v>20150730</v>
      </c>
      <c r="C1187" s="2" t="str">
        <f>IFERROR(__xludf.DUMMYFUNCTION("""COMPUTED_VALUE"""),"PRFT")</f>
        <v>PRFT</v>
      </c>
      <c r="D1187" s="2" t="str">
        <f>LEFT(B1187,4)</f>
        <v>2015</v>
      </c>
      <c r="E1187" s="2" t="str">
        <f>MID(B1187,5,2)</f>
        <v>07</v>
      </c>
      <c r="F1187" s="2" t="str">
        <f>RIGHT(B1187,2)</f>
        <v>30</v>
      </c>
      <c r="G1187" s="29">
        <f>DATE(D1187,E1187,F1187)</f>
        <v>42215</v>
      </c>
    </row>
    <row r="1188" hidden="1">
      <c r="A1188" s="1" t="s">
        <v>642</v>
      </c>
    </row>
    <row r="1189" hidden="1">
      <c r="A1189" s="1" t="s">
        <v>643</v>
      </c>
    </row>
    <row r="1190">
      <c r="A1190" s="1" t="s">
        <v>1434</v>
      </c>
      <c r="B1190" s="2">
        <f>IFERROR(__xludf.DUMMYFUNCTION("SPLIT(A1190,""_"")"),2.015073E7)</f>
        <v>20150730</v>
      </c>
      <c r="C1190" s="2" t="str">
        <f>IFERROR(__xludf.DUMMYFUNCTION("""COMPUTED_VALUE"""),"SAM")</f>
        <v>SAM</v>
      </c>
      <c r="D1190" s="2" t="str">
        <f>LEFT(B1190,4)</f>
        <v>2015</v>
      </c>
      <c r="E1190" s="2" t="str">
        <f>MID(B1190,5,2)</f>
        <v>07</v>
      </c>
      <c r="F1190" s="2" t="str">
        <f>RIGHT(B1190,2)</f>
        <v>30</v>
      </c>
      <c r="G1190" s="29">
        <f>DATE(D1190,E1190,F1190)</f>
        <v>42215</v>
      </c>
    </row>
    <row r="1191" hidden="1">
      <c r="A1191" s="1" t="s">
        <v>642</v>
      </c>
    </row>
    <row r="1192" hidden="1">
      <c r="A1192" s="1" t="s">
        <v>643</v>
      </c>
    </row>
    <row r="1193">
      <c r="A1193" s="1" t="s">
        <v>1435</v>
      </c>
      <c r="B1193" s="2">
        <f>IFERROR(__xludf.DUMMYFUNCTION("SPLIT(A1193,""_"")"),2.015073E7)</f>
        <v>20150730</v>
      </c>
      <c r="C1193" s="2" t="str">
        <f>IFERROR(__xludf.DUMMYFUNCTION("""COMPUTED_VALUE"""),"SWK")</f>
        <v>SWK</v>
      </c>
      <c r="D1193" s="2" t="str">
        <f>LEFT(B1193,4)</f>
        <v>2015</v>
      </c>
      <c r="E1193" s="2" t="str">
        <f>MID(B1193,5,2)</f>
        <v>07</v>
      </c>
      <c r="F1193" s="2" t="str">
        <f>RIGHT(B1193,2)</f>
        <v>30</v>
      </c>
      <c r="G1193" s="29">
        <f>DATE(D1193,E1193,F1193)</f>
        <v>42215</v>
      </c>
    </row>
    <row r="1194" hidden="1">
      <c r="A1194" s="1" t="s">
        <v>642</v>
      </c>
    </row>
    <row r="1195" hidden="1">
      <c r="A1195" s="1" t="s">
        <v>643</v>
      </c>
    </row>
    <row r="1196">
      <c r="A1196" s="1" t="s">
        <v>1436</v>
      </c>
      <c r="B1196" s="2">
        <f>IFERROR(__xludf.DUMMYFUNCTION("SPLIT(A1196,""_"")"),2.015073E7)</f>
        <v>20150730</v>
      </c>
      <c r="C1196" s="2" t="str">
        <f>IFERROR(__xludf.DUMMYFUNCTION("""COMPUTED_VALUE"""),"SYNA")</f>
        <v>SYNA</v>
      </c>
      <c r="D1196" s="2" t="str">
        <f>LEFT(B1196,4)</f>
        <v>2015</v>
      </c>
      <c r="E1196" s="2" t="str">
        <f>MID(B1196,5,2)</f>
        <v>07</v>
      </c>
      <c r="F1196" s="2" t="str">
        <f>RIGHT(B1196,2)</f>
        <v>30</v>
      </c>
      <c r="G1196" s="29">
        <f>DATE(D1196,E1196,F1196)</f>
        <v>42215</v>
      </c>
    </row>
    <row r="1197" hidden="1">
      <c r="A1197" s="1" t="s">
        <v>642</v>
      </c>
    </row>
    <row r="1198" hidden="1">
      <c r="A1198" s="1" t="s">
        <v>643</v>
      </c>
    </row>
    <row r="1199">
      <c r="A1199" s="1" t="s">
        <v>1437</v>
      </c>
      <c r="B1199" s="2">
        <f>IFERROR(__xludf.DUMMYFUNCTION("SPLIT(A1199,""_"")"),2.015073E7)</f>
        <v>20150730</v>
      </c>
      <c r="C1199" s="2" t="str">
        <f>IFERROR(__xludf.DUMMYFUNCTION("""COMPUTED_VALUE"""),"TPX")</f>
        <v>TPX</v>
      </c>
      <c r="D1199" s="2" t="str">
        <f>LEFT(B1199,4)</f>
        <v>2015</v>
      </c>
      <c r="E1199" s="2" t="str">
        <f>MID(B1199,5,2)</f>
        <v>07</v>
      </c>
      <c r="F1199" s="2" t="str">
        <f>RIGHT(B1199,2)</f>
        <v>30</v>
      </c>
      <c r="G1199" s="29">
        <f>DATE(D1199,E1199,F1199)</f>
        <v>42215</v>
      </c>
    </row>
    <row r="1200" hidden="1">
      <c r="A1200" s="1" t="s">
        <v>642</v>
      </c>
    </row>
    <row r="1201" hidden="1">
      <c r="A1201" s="1" t="s">
        <v>643</v>
      </c>
    </row>
    <row r="1202">
      <c r="A1202" s="1" t="s">
        <v>1438</v>
      </c>
      <c r="B1202" s="2">
        <f>IFERROR(__xludf.DUMMYFUNCTION("SPLIT(A1202,""_"")"),2.015073E7)</f>
        <v>20150730</v>
      </c>
      <c r="C1202" s="2" t="str">
        <f>IFERROR(__xludf.DUMMYFUNCTION("""COMPUTED_VALUE"""),"VG")</f>
        <v>VG</v>
      </c>
      <c r="D1202" s="2" t="str">
        <f>LEFT(B1202,4)</f>
        <v>2015</v>
      </c>
      <c r="E1202" s="2" t="str">
        <f>MID(B1202,5,2)</f>
        <v>07</v>
      </c>
      <c r="F1202" s="2" t="str">
        <f>RIGHT(B1202,2)</f>
        <v>30</v>
      </c>
      <c r="G1202" s="29">
        <f>DATE(D1202,E1202,F1202)</f>
        <v>42215</v>
      </c>
    </row>
    <row r="1203" hidden="1">
      <c r="A1203" s="1" t="s">
        <v>642</v>
      </c>
    </row>
    <row r="1204" hidden="1">
      <c r="A1204" s="1" t="s">
        <v>643</v>
      </c>
    </row>
    <row r="1205">
      <c r="A1205" s="1" t="s">
        <v>1439</v>
      </c>
      <c r="B1205" s="2">
        <f>IFERROR(__xludf.DUMMYFUNCTION("SPLIT(A1205,""_"")"),2.015073E7)</f>
        <v>20150730</v>
      </c>
      <c r="C1205" s="2" t="str">
        <f>IFERROR(__xludf.DUMMYFUNCTION("""COMPUTED_VALUE"""),"WST")</f>
        <v>WST</v>
      </c>
      <c r="D1205" s="2" t="str">
        <f>LEFT(B1205,4)</f>
        <v>2015</v>
      </c>
      <c r="E1205" s="2" t="str">
        <f>MID(B1205,5,2)</f>
        <v>07</v>
      </c>
      <c r="F1205" s="2" t="str">
        <f>RIGHT(B1205,2)</f>
        <v>30</v>
      </c>
      <c r="G1205" s="29">
        <f>DATE(D1205,E1205,F1205)</f>
        <v>42215</v>
      </c>
    </row>
    <row r="1206" hidden="1">
      <c r="A1206" s="1" t="s">
        <v>642</v>
      </c>
    </row>
    <row r="1207" hidden="1">
      <c r="A1207" s="1" t="s">
        <v>643</v>
      </c>
    </row>
    <row r="1208">
      <c r="A1208" s="1" t="s">
        <v>1440</v>
      </c>
      <c r="B1208" s="2">
        <f>IFERROR(__xludf.DUMMYFUNCTION("SPLIT(A1208,""_"")"),2.015073E7)</f>
        <v>20150730</v>
      </c>
      <c r="C1208" s="2" t="str">
        <f>IFERROR(__xludf.DUMMYFUNCTION("""COMPUTED_VALUE"""),"WU")</f>
        <v>WU</v>
      </c>
      <c r="D1208" s="2" t="str">
        <f>LEFT(B1208,4)</f>
        <v>2015</v>
      </c>
      <c r="E1208" s="2" t="str">
        <f>MID(B1208,5,2)</f>
        <v>07</v>
      </c>
      <c r="F1208" s="2" t="str">
        <f>RIGHT(B1208,2)</f>
        <v>30</v>
      </c>
      <c r="G1208" s="29">
        <f>DATE(D1208,E1208,F1208)</f>
        <v>42215</v>
      </c>
    </row>
    <row r="1209" hidden="1">
      <c r="A1209" s="1" t="s">
        <v>642</v>
      </c>
    </row>
    <row r="1210" hidden="1">
      <c r="A1210" s="1" t="s">
        <v>643</v>
      </c>
    </row>
    <row r="1211">
      <c r="A1211" s="1" t="s">
        <v>1441</v>
      </c>
      <c r="B1211" s="2">
        <f>IFERROR(__xludf.DUMMYFUNCTION("SPLIT(A1211,""_"")"),2.015073E7)</f>
        <v>20150730</v>
      </c>
      <c r="C1211" s="2" t="str">
        <f>IFERROR(__xludf.DUMMYFUNCTION("""COMPUTED_VALUE"""),"XRAY")</f>
        <v>XRAY</v>
      </c>
      <c r="D1211" s="2" t="str">
        <f>LEFT(B1211,4)</f>
        <v>2015</v>
      </c>
      <c r="E1211" s="2" t="str">
        <f>MID(B1211,5,2)</f>
        <v>07</v>
      </c>
      <c r="F1211" s="2" t="str">
        <f>RIGHT(B1211,2)</f>
        <v>30</v>
      </c>
      <c r="G1211" s="29">
        <f>DATE(D1211,E1211,F1211)</f>
        <v>42215</v>
      </c>
    </row>
    <row r="1212" hidden="1">
      <c r="A1212" s="1" t="s">
        <v>642</v>
      </c>
    </row>
    <row r="1213" hidden="1">
      <c r="A1213" s="1" t="s">
        <v>643</v>
      </c>
    </row>
    <row r="1214">
      <c r="A1214" s="1" t="s">
        <v>1442</v>
      </c>
      <c r="B1214" s="2">
        <f>IFERROR(__xludf.DUMMYFUNCTION("SPLIT(A1214,""_"")"),2.0150731E7)</f>
        <v>20150731</v>
      </c>
      <c r="C1214" s="2" t="str">
        <f>IFERROR(__xludf.DUMMYFUNCTION("""COMPUTED_VALUE"""),"FE")</f>
        <v>FE</v>
      </c>
      <c r="D1214" s="2" t="str">
        <f>LEFT(B1214,4)</f>
        <v>2015</v>
      </c>
      <c r="E1214" s="2" t="str">
        <f>MID(B1214,5,2)</f>
        <v>07</v>
      </c>
      <c r="F1214" s="2" t="str">
        <f>RIGHT(B1214,2)</f>
        <v>31</v>
      </c>
      <c r="G1214" s="29">
        <f>DATE(D1214,E1214,F1214)</f>
        <v>42216</v>
      </c>
    </row>
    <row r="1215" hidden="1">
      <c r="A1215" s="1" t="s">
        <v>642</v>
      </c>
    </row>
    <row r="1216" hidden="1">
      <c r="A1216" s="1" t="s">
        <v>643</v>
      </c>
    </row>
    <row r="1217">
      <c r="A1217" s="1" t="s">
        <v>1443</v>
      </c>
      <c r="B1217" s="2">
        <f>IFERROR(__xludf.DUMMYFUNCTION("SPLIT(A1217,""_"")"),2.0150731E7)</f>
        <v>20150731</v>
      </c>
      <c r="C1217" s="2" t="str">
        <f>IFERROR(__xludf.DUMMYFUNCTION("""COMPUTED_VALUE"""),"LPNT")</f>
        <v>LPNT</v>
      </c>
      <c r="D1217" s="2" t="str">
        <f>LEFT(B1217,4)</f>
        <v>2015</v>
      </c>
      <c r="E1217" s="2" t="str">
        <f>MID(B1217,5,2)</f>
        <v>07</v>
      </c>
      <c r="F1217" s="2" t="str">
        <f>RIGHT(B1217,2)</f>
        <v>31</v>
      </c>
      <c r="G1217" s="29">
        <f>DATE(D1217,E1217,F1217)</f>
        <v>42216</v>
      </c>
    </row>
    <row r="1218" hidden="1">
      <c r="A1218" s="1" t="s">
        <v>642</v>
      </c>
    </row>
    <row r="1219" hidden="1">
      <c r="A1219" s="1" t="s">
        <v>643</v>
      </c>
    </row>
    <row r="1220">
      <c r="A1220" s="1" t="s">
        <v>1444</v>
      </c>
      <c r="B1220" s="2">
        <f>IFERROR(__xludf.DUMMYFUNCTION("SPLIT(A1220,""_"")"),2.0150731E7)</f>
        <v>20150731</v>
      </c>
      <c r="C1220" s="2" t="str">
        <f>IFERROR(__xludf.DUMMYFUNCTION("""COMPUTED_VALUE"""),"PFS")</f>
        <v>PFS</v>
      </c>
      <c r="D1220" s="2" t="str">
        <f>LEFT(B1220,4)</f>
        <v>2015</v>
      </c>
      <c r="E1220" s="2" t="str">
        <f>MID(B1220,5,2)</f>
        <v>07</v>
      </c>
      <c r="F1220" s="2" t="str">
        <f>RIGHT(B1220,2)</f>
        <v>31</v>
      </c>
      <c r="G1220" s="29">
        <f>DATE(D1220,E1220,F1220)</f>
        <v>42216</v>
      </c>
    </row>
    <row r="1221" hidden="1">
      <c r="A1221" s="1" t="s">
        <v>642</v>
      </c>
    </row>
    <row r="1222" hidden="1">
      <c r="A1222" s="1" t="s">
        <v>643</v>
      </c>
    </row>
    <row r="1223">
      <c r="A1223" s="1" t="s">
        <v>1445</v>
      </c>
      <c r="B1223" s="2">
        <f>IFERROR(__xludf.DUMMYFUNCTION("SPLIT(A1223,""_"")"),2.0150731E7)</f>
        <v>20150731</v>
      </c>
      <c r="C1223" s="2" t="str">
        <f>IFERROR(__xludf.DUMMYFUNCTION("""COMPUTED_VALUE"""),"VRTS")</f>
        <v>VRTS</v>
      </c>
      <c r="D1223" s="2" t="str">
        <f>LEFT(B1223,4)</f>
        <v>2015</v>
      </c>
      <c r="E1223" s="2" t="str">
        <f>MID(B1223,5,2)</f>
        <v>07</v>
      </c>
      <c r="F1223" s="2" t="str">
        <f>RIGHT(B1223,2)</f>
        <v>31</v>
      </c>
      <c r="G1223" s="29">
        <f>DATE(D1223,E1223,F1223)</f>
        <v>42216</v>
      </c>
    </row>
    <row r="1224" hidden="1">
      <c r="A1224" s="1" t="s">
        <v>642</v>
      </c>
    </row>
    <row r="1225" hidden="1">
      <c r="A1225" s="1" t="s">
        <v>643</v>
      </c>
    </row>
    <row r="1226">
      <c r="A1226" s="1" t="s">
        <v>1446</v>
      </c>
      <c r="B1226" s="2">
        <f>IFERROR(__xludf.DUMMYFUNCTION("SPLIT(A1226,""_"")"),2.0150731E7)</f>
        <v>20150731</v>
      </c>
      <c r="C1226" s="2" t="str">
        <f>IFERROR(__xludf.DUMMYFUNCTION("""COMPUTED_VALUE"""),"WY")</f>
        <v>WY</v>
      </c>
      <c r="D1226" s="2" t="str">
        <f>LEFT(B1226,4)</f>
        <v>2015</v>
      </c>
      <c r="E1226" s="2" t="str">
        <f>MID(B1226,5,2)</f>
        <v>07</v>
      </c>
      <c r="F1226" s="2" t="str">
        <f>RIGHT(B1226,2)</f>
        <v>31</v>
      </c>
      <c r="G1226" s="29">
        <f>DATE(D1226,E1226,F1226)</f>
        <v>42216</v>
      </c>
    </row>
    <row r="1227" hidden="1">
      <c r="A1227" s="1" t="s">
        <v>642</v>
      </c>
    </row>
    <row r="1228" hidden="1">
      <c r="A1228" s="1" t="s">
        <v>643</v>
      </c>
    </row>
    <row r="1229">
      <c r="A1229" s="1" t="s">
        <v>1447</v>
      </c>
      <c r="B1229" s="2">
        <f>IFERROR(__xludf.DUMMYFUNCTION("SPLIT(A1229,""_"")"),2.0150731E7)</f>
        <v>20150731</v>
      </c>
      <c r="C1229" s="2" t="str">
        <f>IFERROR(__xludf.DUMMYFUNCTION("""COMPUTED_VALUE"""),"XOM")</f>
        <v>XOM</v>
      </c>
      <c r="D1229" s="2" t="str">
        <f>LEFT(B1229,4)</f>
        <v>2015</v>
      </c>
      <c r="E1229" s="2" t="str">
        <f>MID(B1229,5,2)</f>
        <v>07</v>
      </c>
      <c r="F1229" s="2" t="str">
        <f>RIGHT(B1229,2)</f>
        <v>31</v>
      </c>
      <c r="G1229" s="29">
        <f>DATE(D1229,E1229,F1229)</f>
        <v>42216</v>
      </c>
    </row>
    <row r="1230" hidden="1">
      <c r="A1230" s="1" t="s">
        <v>642</v>
      </c>
    </row>
    <row r="1231" hidden="1">
      <c r="A1231" s="1" t="s">
        <v>643</v>
      </c>
    </row>
    <row r="1232">
      <c r="A1232" s="1" t="s">
        <v>1448</v>
      </c>
      <c r="B1232" s="2">
        <f>IFERROR(__xludf.DUMMYFUNCTION("SPLIT(A1232,""_"")"),2.0150803E7)</f>
        <v>20150803</v>
      </c>
      <c r="C1232" s="2" t="str">
        <f>IFERROR(__xludf.DUMMYFUNCTION("""COMPUTED_VALUE"""),"MCY")</f>
        <v>MCY</v>
      </c>
      <c r="D1232" s="2" t="str">
        <f>LEFT(B1232,4)</f>
        <v>2015</v>
      </c>
      <c r="E1232" s="2" t="str">
        <f>MID(B1232,5,2)</f>
        <v>08</v>
      </c>
      <c r="F1232" s="2" t="str">
        <f>RIGHT(B1232,2)</f>
        <v>03</v>
      </c>
      <c r="G1232" s="29">
        <f>DATE(D1232,E1232,F1232)</f>
        <v>42219</v>
      </c>
    </row>
    <row r="1233" hidden="1">
      <c r="A1233" s="1" t="s">
        <v>642</v>
      </c>
    </row>
    <row r="1234" hidden="1">
      <c r="A1234" s="1" t="s">
        <v>643</v>
      </c>
    </row>
    <row r="1235">
      <c r="A1235" s="1" t="s">
        <v>1449</v>
      </c>
      <c r="B1235" s="2">
        <f>IFERROR(__xludf.DUMMYFUNCTION("SPLIT(A1235,""_"")"),2.0150803E7)</f>
        <v>20150803</v>
      </c>
      <c r="C1235" s="2" t="str">
        <f>IFERROR(__xludf.DUMMYFUNCTION("""COMPUTED_VALUE"""),"NI")</f>
        <v>NI</v>
      </c>
      <c r="D1235" s="2" t="str">
        <f>LEFT(B1235,4)</f>
        <v>2015</v>
      </c>
      <c r="E1235" s="2" t="str">
        <f>MID(B1235,5,2)</f>
        <v>08</v>
      </c>
      <c r="F1235" s="2" t="str">
        <f>RIGHT(B1235,2)</f>
        <v>03</v>
      </c>
      <c r="G1235" s="29">
        <f>DATE(D1235,E1235,F1235)</f>
        <v>42219</v>
      </c>
    </row>
    <row r="1236" hidden="1">
      <c r="A1236" s="1" t="s">
        <v>642</v>
      </c>
    </row>
    <row r="1237" hidden="1">
      <c r="A1237" s="1" t="s">
        <v>643</v>
      </c>
    </row>
    <row r="1238">
      <c r="A1238" s="1" t="s">
        <v>1450</v>
      </c>
      <c r="B1238" s="2">
        <f>IFERROR(__xludf.DUMMYFUNCTION("SPLIT(A1238,""_"")"),2.0150803E7)</f>
        <v>20150803</v>
      </c>
      <c r="C1238" s="2" t="str">
        <f>IFERROR(__xludf.DUMMYFUNCTION("""COMPUTED_VALUE"""),"NSP")</f>
        <v>NSP</v>
      </c>
      <c r="D1238" s="2" t="str">
        <f>LEFT(B1238,4)</f>
        <v>2015</v>
      </c>
      <c r="E1238" s="2" t="str">
        <f>MID(B1238,5,2)</f>
        <v>08</v>
      </c>
      <c r="F1238" s="2" t="str">
        <f>RIGHT(B1238,2)</f>
        <v>03</v>
      </c>
      <c r="G1238" s="29">
        <f>DATE(D1238,E1238,F1238)</f>
        <v>42219</v>
      </c>
    </row>
    <row r="1239" hidden="1">
      <c r="A1239" s="1" t="s">
        <v>642</v>
      </c>
    </row>
    <row r="1240" hidden="1">
      <c r="A1240" s="1" t="s">
        <v>643</v>
      </c>
    </row>
    <row r="1241">
      <c r="A1241" s="1" t="s">
        <v>1451</v>
      </c>
      <c r="B1241" s="2">
        <f>IFERROR(__xludf.DUMMYFUNCTION("SPLIT(A1241,""_"")"),2.0150803E7)</f>
        <v>20150803</v>
      </c>
      <c r="C1241" s="2" t="str">
        <f>IFERROR(__xludf.DUMMYFUNCTION("""COMPUTED_VALUE"""),"QNST")</f>
        <v>QNST</v>
      </c>
      <c r="D1241" s="2" t="str">
        <f>LEFT(B1241,4)</f>
        <v>2015</v>
      </c>
      <c r="E1241" s="2" t="str">
        <f>MID(B1241,5,2)</f>
        <v>08</v>
      </c>
      <c r="F1241" s="2" t="str">
        <f>RIGHT(B1241,2)</f>
        <v>03</v>
      </c>
      <c r="G1241" s="29">
        <f>DATE(D1241,E1241,F1241)</f>
        <v>42219</v>
      </c>
    </row>
    <row r="1242" hidden="1">
      <c r="A1242" s="1" t="s">
        <v>642</v>
      </c>
    </row>
    <row r="1243" hidden="1">
      <c r="A1243" s="1" t="s">
        <v>643</v>
      </c>
    </row>
    <row r="1244">
      <c r="A1244" s="1" t="s">
        <v>1452</v>
      </c>
      <c r="B1244" s="2">
        <f>IFERROR(__xludf.DUMMYFUNCTION("SPLIT(A1244,""_"")"),2.0150803E7)</f>
        <v>20150803</v>
      </c>
      <c r="C1244" s="2" t="str">
        <f>IFERROR(__xludf.DUMMYFUNCTION("""COMPUTED_VALUE"""),"TXRH")</f>
        <v>TXRH</v>
      </c>
      <c r="D1244" s="2" t="str">
        <f>LEFT(B1244,4)</f>
        <v>2015</v>
      </c>
      <c r="E1244" s="2" t="str">
        <f>MID(B1244,5,2)</f>
        <v>08</v>
      </c>
      <c r="F1244" s="2" t="str">
        <f>RIGHT(B1244,2)</f>
        <v>03</v>
      </c>
      <c r="G1244" s="29">
        <f>DATE(D1244,E1244,F1244)</f>
        <v>42219</v>
      </c>
    </row>
    <row r="1245" hidden="1">
      <c r="A1245" s="1" t="s">
        <v>642</v>
      </c>
    </row>
    <row r="1246" hidden="1">
      <c r="A1246" s="1" t="s">
        <v>643</v>
      </c>
    </row>
    <row r="1247">
      <c r="A1247" s="1" t="s">
        <v>1453</v>
      </c>
      <c r="B1247" s="2">
        <f>IFERROR(__xludf.DUMMYFUNCTION("SPLIT(A1247,""_"")"),2.0150803E7)</f>
        <v>20150803</v>
      </c>
      <c r="C1247" s="2" t="str">
        <f>IFERROR(__xludf.DUMMYFUNCTION("""COMPUTED_VALUE"""),"VECO")</f>
        <v>VECO</v>
      </c>
      <c r="D1247" s="2" t="str">
        <f>LEFT(B1247,4)</f>
        <v>2015</v>
      </c>
      <c r="E1247" s="2" t="str">
        <f>MID(B1247,5,2)</f>
        <v>08</v>
      </c>
      <c r="F1247" s="2" t="str">
        <f>RIGHT(B1247,2)</f>
        <v>03</v>
      </c>
      <c r="G1247" s="29">
        <f>DATE(D1247,E1247,F1247)</f>
        <v>42219</v>
      </c>
    </row>
    <row r="1248" hidden="1">
      <c r="A1248" s="1" t="s">
        <v>642</v>
      </c>
    </row>
    <row r="1249" hidden="1">
      <c r="A1249" s="1" t="s">
        <v>643</v>
      </c>
    </row>
    <row r="1250">
      <c r="A1250" s="1" t="s">
        <v>1454</v>
      </c>
      <c r="B1250" s="2">
        <f>IFERROR(__xludf.DUMMYFUNCTION("SPLIT(A1250,""_"")"),2.0150804E7)</f>
        <v>20150804</v>
      </c>
      <c r="C1250" s="2" t="str">
        <f>IFERROR(__xludf.DUMMYFUNCTION("""COMPUTED_VALUE"""),"ALE")</f>
        <v>ALE</v>
      </c>
      <c r="D1250" s="2" t="str">
        <f>LEFT(B1250,4)</f>
        <v>2015</v>
      </c>
      <c r="E1250" s="2" t="str">
        <f>MID(B1250,5,2)</f>
        <v>08</v>
      </c>
      <c r="F1250" s="2" t="str">
        <f>RIGHT(B1250,2)</f>
        <v>04</v>
      </c>
      <c r="G1250" s="29">
        <f>DATE(D1250,E1250,F1250)</f>
        <v>42220</v>
      </c>
    </row>
    <row r="1251" hidden="1">
      <c r="A1251" s="1" t="s">
        <v>642</v>
      </c>
    </row>
    <row r="1252" hidden="1">
      <c r="A1252" s="1" t="s">
        <v>643</v>
      </c>
    </row>
    <row r="1253">
      <c r="A1253" s="1" t="s">
        <v>1455</v>
      </c>
      <c r="B1253" s="2">
        <f>IFERROR(__xludf.DUMMYFUNCTION("SPLIT(A1253,""_"")"),2.0150804E7)</f>
        <v>20150804</v>
      </c>
      <c r="C1253" s="2" t="str">
        <f>IFERROR(__xludf.DUMMYFUNCTION("""COMPUTED_VALUE"""),"CBT")</f>
        <v>CBT</v>
      </c>
      <c r="D1253" s="2" t="str">
        <f>LEFT(B1253,4)</f>
        <v>2015</v>
      </c>
      <c r="E1253" s="2" t="str">
        <f>MID(B1253,5,2)</f>
        <v>08</v>
      </c>
      <c r="F1253" s="2" t="str">
        <f>RIGHT(B1253,2)</f>
        <v>04</v>
      </c>
      <c r="G1253" s="29">
        <f>DATE(D1253,E1253,F1253)</f>
        <v>42220</v>
      </c>
    </row>
    <row r="1254" hidden="1">
      <c r="A1254" s="1" t="s">
        <v>642</v>
      </c>
    </row>
    <row r="1255" hidden="1">
      <c r="A1255" s="1" t="s">
        <v>643</v>
      </c>
    </row>
    <row r="1256">
      <c r="A1256" s="1" t="s">
        <v>1456</v>
      </c>
      <c r="B1256" s="2">
        <f>IFERROR(__xludf.DUMMYFUNCTION("SPLIT(A1256,""_"")"),2.0150804E7)</f>
        <v>20150804</v>
      </c>
      <c r="C1256" s="2" t="str">
        <f>IFERROR(__xludf.DUMMYFUNCTION("""COMPUTED_VALUE"""),"CHD")</f>
        <v>CHD</v>
      </c>
      <c r="D1256" s="2" t="str">
        <f>LEFT(B1256,4)</f>
        <v>2015</v>
      </c>
      <c r="E1256" s="2" t="str">
        <f>MID(B1256,5,2)</f>
        <v>08</v>
      </c>
      <c r="F1256" s="2" t="str">
        <f>RIGHT(B1256,2)</f>
        <v>04</v>
      </c>
      <c r="G1256" s="29">
        <f>DATE(D1256,E1256,F1256)</f>
        <v>42220</v>
      </c>
    </row>
    <row r="1257" hidden="1">
      <c r="A1257" s="1" t="s">
        <v>642</v>
      </c>
    </row>
    <row r="1258" hidden="1">
      <c r="A1258" s="1" t="s">
        <v>643</v>
      </c>
    </row>
    <row r="1259">
      <c r="A1259" s="1" t="s">
        <v>1457</v>
      </c>
      <c r="B1259" s="2">
        <f>IFERROR(__xludf.DUMMYFUNCTION("SPLIT(A1259,""_"")"),2.0150804E7)</f>
        <v>20150804</v>
      </c>
      <c r="C1259" s="2" t="str">
        <f>IFERROR(__xludf.DUMMYFUNCTION("""COMPUTED_VALUE"""),"CHUY")</f>
        <v>CHUY</v>
      </c>
      <c r="D1259" s="2" t="str">
        <f>LEFT(B1259,4)</f>
        <v>2015</v>
      </c>
      <c r="E1259" s="2" t="str">
        <f>MID(B1259,5,2)</f>
        <v>08</v>
      </c>
      <c r="F1259" s="2" t="str">
        <f>RIGHT(B1259,2)</f>
        <v>04</v>
      </c>
      <c r="G1259" s="29">
        <f>DATE(D1259,E1259,F1259)</f>
        <v>42220</v>
      </c>
    </row>
    <row r="1260" hidden="1">
      <c r="A1260" s="1" t="s">
        <v>642</v>
      </c>
    </row>
    <row r="1261" hidden="1">
      <c r="A1261" s="1" t="s">
        <v>643</v>
      </c>
    </row>
    <row r="1262">
      <c r="A1262" s="1" t="s">
        <v>1458</v>
      </c>
      <c r="B1262" s="2">
        <f>IFERROR(__xludf.DUMMYFUNCTION("SPLIT(A1262,""_"")"),2.0150804E7)</f>
        <v>20150804</v>
      </c>
      <c r="C1262" s="2" t="str">
        <f>IFERROR(__xludf.DUMMYFUNCTION("""COMPUTED_VALUE"""),"DIS")</f>
        <v>DIS</v>
      </c>
      <c r="D1262" s="2" t="str">
        <f>LEFT(B1262,4)</f>
        <v>2015</v>
      </c>
      <c r="E1262" s="2" t="str">
        <f>MID(B1262,5,2)</f>
        <v>08</v>
      </c>
      <c r="F1262" s="2" t="str">
        <f>RIGHT(B1262,2)</f>
        <v>04</v>
      </c>
      <c r="G1262" s="29">
        <f>DATE(D1262,E1262,F1262)</f>
        <v>42220</v>
      </c>
    </row>
    <row r="1263" hidden="1">
      <c r="A1263" s="1" t="s">
        <v>642</v>
      </c>
    </row>
    <row r="1264" hidden="1">
      <c r="A1264" s="1" t="s">
        <v>643</v>
      </c>
    </row>
    <row r="1265">
      <c r="A1265" s="1" t="s">
        <v>1459</v>
      </c>
      <c r="B1265" s="2">
        <f>IFERROR(__xludf.DUMMYFUNCTION("SPLIT(A1265,""_"")"),2.0150804E7)</f>
        <v>20150804</v>
      </c>
      <c r="C1265" s="2" t="str">
        <f>IFERROR(__xludf.DUMMYFUNCTION("""COMPUTED_VALUE"""),"INCY")</f>
        <v>INCY</v>
      </c>
      <c r="D1265" s="2" t="str">
        <f>LEFT(B1265,4)</f>
        <v>2015</v>
      </c>
      <c r="E1265" s="2" t="str">
        <f>MID(B1265,5,2)</f>
        <v>08</v>
      </c>
      <c r="F1265" s="2" t="str">
        <f>RIGHT(B1265,2)</f>
        <v>04</v>
      </c>
      <c r="G1265" s="29">
        <f>DATE(D1265,E1265,F1265)</f>
        <v>42220</v>
      </c>
    </row>
    <row r="1266" hidden="1">
      <c r="A1266" s="1" t="s">
        <v>642</v>
      </c>
    </row>
    <row r="1267" hidden="1">
      <c r="A1267" s="1" t="s">
        <v>643</v>
      </c>
    </row>
    <row r="1268">
      <c r="A1268" s="1" t="s">
        <v>1460</v>
      </c>
      <c r="B1268" s="2">
        <f>IFERROR(__xludf.DUMMYFUNCTION("SPLIT(A1268,""_"")"),2.0150804E7)</f>
        <v>20150804</v>
      </c>
      <c r="C1268" s="2" t="str">
        <f>IFERROR(__xludf.DUMMYFUNCTION("""COMPUTED_VALUE"""),"KLIC")</f>
        <v>KLIC</v>
      </c>
      <c r="D1268" s="2" t="str">
        <f>LEFT(B1268,4)</f>
        <v>2015</v>
      </c>
      <c r="E1268" s="2" t="str">
        <f>MID(B1268,5,2)</f>
        <v>08</v>
      </c>
      <c r="F1268" s="2" t="str">
        <f>RIGHT(B1268,2)</f>
        <v>04</v>
      </c>
      <c r="G1268" s="29">
        <f>DATE(D1268,E1268,F1268)</f>
        <v>42220</v>
      </c>
    </row>
    <row r="1269" hidden="1">
      <c r="A1269" s="1" t="s">
        <v>642</v>
      </c>
    </row>
    <row r="1270" hidden="1">
      <c r="A1270" s="1" t="s">
        <v>643</v>
      </c>
    </row>
    <row r="1271">
      <c r="A1271" s="1" t="s">
        <v>1461</v>
      </c>
      <c r="B1271" s="2">
        <f>IFERROR(__xludf.DUMMYFUNCTION("SPLIT(A1271,""_"")"),2.0150804E7)</f>
        <v>20150804</v>
      </c>
      <c r="C1271" s="2" t="str">
        <f>IFERROR(__xludf.DUMMYFUNCTION("""COMPUTED_VALUE"""),"MRCY")</f>
        <v>MRCY</v>
      </c>
      <c r="D1271" s="2" t="str">
        <f>LEFT(B1271,4)</f>
        <v>2015</v>
      </c>
      <c r="E1271" s="2" t="str">
        <f>MID(B1271,5,2)</f>
        <v>08</v>
      </c>
      <c r="F1271" s="2" t="str">
        <f>RIGHT(B1271,2)</f>
        <v>04</v>
      </c>
      <c r="G1271" s="29">
        <f>DATE(D1271,E1271,F1271)</f>
        <v>42220</v>
      </c>
    </row>
    <row r="1272" hidden="1">
      <c r="A1272" s="1" t="s">
        <v>642</v>
      </c>
    </row>
    <row r="1273" hidden="1">
      <c r="A1273" s="1" t="s">
        <v>643</v>
      </c>
    </row>
    <row r="1274">
      <c r="A1274" s="1" t="s">
        <v>1462</v>
      </c>
      <c r="B1274" s="2">
        <f>IFERROR(__xludf.DUMMYFUNCTION("SPLIT(A1274,""_"")"),2.0150804E7)</f>
        <v>20150804</v>
      </c>
      <c r="C1274" s="2" t="str">
        <f>IFERROR(__xludf.DUMMYFUNCTION("""COMPUTED_VALUE"""),"UFCS")</f>
        <v>UFCS</v>
      </c>
      <c r="D1274" s="2" t="str">
        <f>LEFT(B1274,4)</f>
        <v>2015</v>
      </c>
      <c r="E1274" s="2" t="str">
        <f>MID(B1274,5,2)</f>
        <v>08</v>
      </c>
      <c r="F1274" s="2" t="str">
        <f>RIGHT(B1274,2)</f>
        <v>04</v>
      </c>
      <c r="G1274" s="29">
        <f>DATE(D1274,E1274,F1274)</f>
        <v>42220</v>
      </c>
    </row>
    <row r="1275" hidden="1">
      <c r="A1275" s="1" t="s">
        <v>642</v>
      </c>
    </row>
    <row r="1276" hidden="1">
      <c r="A1276" s="1" t="s">
        <v>643</v>
      </c>
    </row>
    <row r="1277">
      <c r="A1277" s="1" t="s">
        <v>1463</v>
      </c>
      <c r="B1277" s="2">
        <f>IFERROR(__xludf.DUMMYFUNCTION("SPLIT(A1277,""_"")"),2.0150805E7)</f>
        <v>20150805</v>
      </c>
      <c r="C1277" s="2" t="str">
        <f>IFERROR(__xludf.DUMMYFUNCTION("""COMPUTED_VALUE"""),"ACXM")</f>
        <v>ACXM</v>
      </c>
      <c r="D1277" s="2" t="str">
        <f>LEFT(B1277,4)</f>
        <v>2015</v>
      </c>
      <c r="E1277" s="2" t="str">
        <f>MID(B1277,5,2)</f>
        <v>08</v>
      </c>
      <c r="F1277" s="2" t="str">
        <f>RIGHT(B1277,2)</f>
        <v>05</v>
      </c>
      <c r="G1277" s="29">
        <f>DATE(D1277,E1277,F1277)</f>
        <v>42221</v>
      </c>
    </row>
    <row r="1278" hidden="1">
      <c r="A1278" s="1" t="s">
        <v>642</v>
      </c>
    </row>
    <row r="1279" hidden="1">
      <c r="A1279" s="1" t="s">
        <v>643</v>
      </c>
    </row>
    <row r="1280">
      <c r="A1280" s="1" t="s">
        <v>1464</v>
      </c>
      <c r="B1280" s="2">
        <f>IFERROR(__xludf.DUMMYFUNCTION("SPLIT(A1280,""_"")"),2.0150805E7)</f>
        <v>20150805</v>
      </c>
      <c r="C1280" s="2" t="str">
        <f>IFERROR(__xludf.DUMMYFUNCTION("""COMPUTED_VALUE"""),"ANSS")</f>
        <v>ANSS</v>
      </c>
      <c r="D1280" s="2" t="str">
        <f>LEFT(B1280,4)</f>
        <v>2015</v>
      </c>
      <c r="E1280" s="2" t="str">
        <f>MID(B1280,5,2)</f>
        <v>08</v>
      </c>
      <c r="F1280" s="2" t="str">
        <f>RIGHT(B1280,2)</f>
        <v>05</v>
      </c>
      <c r="G1280" s="29">
        <f>DATE(D1280,E1280,F1280)</f>
        <v>42221</v>
      </c>
    </row>
    <row r="1281" hidden="1">
      <c r="A1281" s="1" t="s">
        <v>642</v>
      </c>
    </row>
    <row r="1282" hidden="1">
      <c r="A1282" s="1" t="s">
        <v>643</v>
      </c>
    </row>
    <row r="1283">
      <c r="A1283" s="1" t="s">
        <v>1465</v>
      </c>
      <c r="B1283" s="2">
        <f>IFERROR(__xludf.DUMMYFUNCTION("SPLIT(A1283,""_"")"),2.0150805E7)</f>
        <v>20150805</v>
      </c>
      <c r="C1283" s="2" t="str">
        <f>IFERROR(__xludf.DUMMYFUNCTION("""COMPUTED_VALUE"""),"CTL")</f>
        <v>CTL</v>
      </c>
      <c r="D1283" s="2" t="str">
        <f>LEFT(B1283,4)</f>
        <v>2015</v>
      </c>
      <c r="E1283" s="2" t="str">
        <f>MID(B1283,5,2)</f>
        <v>08</v>
      </c>
      <c r="F1283" s="2" t="str">
        <f>RIGHT(B1283,2)</f>
        <v>05</v>
      </c>
      <c r="G1283" s="29">
        <f>DATE(D1283,E1283,F1283)</f>
        <v>42221</v>
      </c>
    </row>
    <row r="1284" hidden="1">
      <c r="A1284" s="1" t="s">
        <v>642</v>
      </c>
    </row>
    <row r="1285" hidden="1">
      <c r="A1285" s="1" t="s">
        <v>643</v>
      </c>
    </row>
    <row r="1286">
      <c r="A1286" s="1" t="s">
        <v>1466</v>
      </c>
      <c r="B1286" s="2">
        <f>IFERROR(__xludf.DUMMYFUNCTION("SPLIT(A1286,""_"")"),2.0150805E7)</f>
        <v>20150805</v>
      </c>
      <c r="C1286" s="2" t="str">
        <f>IFERROR(__xludf.DUMMYFUNCTION("""COMPUTED_VALUE"""),"CTSH")</f>
        <v>CTSH</v>
      </c>
      <c r="D1286" s="2" t="str">
        <f>LEFT(B1286,4)</f>
        <v>2015</v>
      </c>
      <c r="E1286" s="2" t="str">
        <f>MID(B1286,5,2)</f>
        <v>08</v>
      </c>
      <c r="F1286" s="2" t="str">
        <f>RIGHT(B1286,2)</f>
        <v>05</v>
      </c>
      <c r="G1286" s="29">
        <f>DATE(D1286,E1286,F1286)</f>
        <v>42221</v>
      </c>
    </row>
    <row r="1287" hidden="1">
      <c r="A1287" s="1" t="s">
        <v>642</v>
      </c>
    </row>
    <row r="1288" hidden="1">
      <c r="A1288" s="1" t="s">
        <v>643</v>
      </c>
    </row>
    <row r="1289">
      <c r="A1289" s="1" t="s">
        <v>1467</v>
      </c>
      <c r="B1289" s="2">
        <f>IFERROR(__xludf.DUMMYFUNCTION("SPLIT(A1289,""_"")"),2.0150805E7)</f>
        <v>20150805</v>
      </c>
      <c r="C1289" s="2" t="str">
        <f>IFERROR(__xludf.DUMMYFUNCTION("""COMPUTED_VALUE"""),"CUTR")</f>
        <v>CUTR</v>
      </c>
      <c r="D1289" s="2" t="str">
        <f>LEFT(B1289,4)</f>
        <v>2015</v>
      </c>
      <c r="E1289" s="2" t="str">
        <f>MID(B1289,5,2)</f>
        <v>08</v>
      </c>
      <c r="F1289" s="2" t="str">
        <f>RIGHT(B1289,2)</f>
        <v>05</v>
      </c>
      <c r="G1289" s="29">
        <f>DATE(D1289,E1289,F1289)</f>
        <v>42221</v>
      </c>
    </row>
    <row r="1290" hidden="1">
      <c r="A1290" s="1" t="s">
        <v>642</v>
      </c>
    </row>
    <row r="1291" hidden="1">
      <c r="A1291" s="1" t="s">
        <v>643</v>
      </c>
    </row>
    <row r="1292">
      <c r="A1292" s="1" t="s">
        <v>1468</v>
      </c>
      <c r="B1292" s="2">
        <f>IFERROR(__xludf.DUMMYFUNCTION("SPLIT(A1292,""_"")"),2.0150805E7)</f>
        <v>20150805</v>
      </c>
      <c r="C1292" s="2" t="str">
        <f>IFERROR(__xludf.DUMMYFUNCTION("""COMPUTED_VALUE"""),"ECHO")</f>
        <v>ECHO</v>
      </c>
      <c r="D1292" s="2" t="str">
        <f>LEFT(B1292,4)</f>
        <v>2015</v>
      </c>
      <c r="E1292" s="2" t="str">
        <f>MID(B1292,5,2)</f>
        <v>08</v>
      </c>
      <c r="F1292" s="2" t="str">
        <f>RIGHT(B1292,2)</f>
        <v>05</v>
      </c>
      <c r="G1292" s="29">
        <f>DATE(D1292,E1292,F1292)</f>
        <v>42221</v>
      </c>
    </row>
    <row r="1293" hidden="1">
      <c r="A1293" s="1" t="s">
        <v>642</v>
      </c>
    </row>
    <row r="1294" hidden="1">
      <c r="A1294" s="1" t="s">
        <v>643</v>
      </c>
    </row>
    <row r="1295">
      <c r="A1295" s="1" t="s">
        <v>1469</v>
      </c>
      <c r="B1295" s="2">
        <f>IFERROR(__xludf.DUMMYFUNCTION("SPLIT(A1295,""_"")"),2.0150805E7)</f>
        <v>20150805</v>
      </c>
      <c r="C1295" s="2" t="str">
        <f>IFERROR(__xludf.DUMMYFUNCTION("""COMPUTED_VALUE"""),"EE")</f>
        <v>EE</v>
      </c>
      <c r="D1295" s="2" t="str">
        <f>LEFT(B1295,4)</f>
        <v>2015</v>
      </c>
      <c r="E1295" s="2" t="str">
        <f>MID(B1295,5,2)</f>
        <v>08</v>
      </c>
      <c r="F1295" s="2" t="str">
        <f>RIGHT(B1295,2)</f>
        <v>05</v>
      </c>
      <c r="G1295" s="29">
        <f>DATE(D1295,E1295,F1295)</f>
        <v>42221</v>
      </c>
    </row>
    <row r="1296" hidden="1">
      <c r="A1296" s="1" t="s">
        <v>642</v>
      </c>
    </row>
    <row r="1297" hidden="1">
      <c r="A1297" s="1" t="s">
        <v>643</v>
      </c>
    </row>
    <row r="1298">
      <c r="A1298" s="1" t="s">
        <v>1470</v>
      </c>
      <c r="B1298" s="2">
        <f>IFERROR(__xludf.DUMMYFUNCTION("SPLIT(A1298,""_"")"),2.0150805E7)</f>
        <v>20150805</v>
      </c>
      <c r="C1298" s="2" t="str">
        <f>IFERROR(__xludf.DUMMYFUNCTION("""COMPUTED_VALUE"""),"ITRI")</f>
        <v>ITRI</v>
      </c>
      <c r="D1298" s="2" t="str">
        <f>LEFT(B1298,4)</f>
        <v>2015</v>
      </c>
      <c r="E1298" s="2" t="str">
        <f>MID(B1298,5,2)</f>
        <v>08</v>
      </c>
      <c r="F1298" s="2" t="str">
        <f>RIGHT(B1298,2)</f>
        <v>05</v>
      </c>
      <c r="G1298" s="29">
        <f>DATE(D1298,E1298,F1298)</f>
        <v>42221</v>
      </c>
    </row>
    <row r="1299" hidden="1">
      <c r="A1299" s="1" t="s">
        <v>642</v>
      </c>
    </row>
    <row r="1300" hidden="1">
      <c r="A1300" s="1" t="s">
        <v>643</v>
      </c>
    </row>
    <row r="1301">
      <c r="A1301" s="1" t="s">
        <v>1471</v>
      </c>
      <c r="B1301" s="2">
        <f>IFERROR(__xludf.DUMMYFUNCTION("SPLIT(A1301,""_"")"),2.0150805E7)</f>
        <v>20150805</v>
      </c>
      <c r="C1301" s="2" t="str">
        <f>IFERROR(__xludf.DUMMYFUNCTION("""COMPUTED_VALUE"""),"MED")</f>
        <v>MED</v>
      </c>
      <c r="D1301" s="2" t="str">
        <f>LEFT(B1301,4)</f>
        <v>2015</v>
      </c>
      <c r="E1301" s="2" t="str">
        <f>MID(B1301,5,2)</f>
        <v>08</v>
      </c>
      <c r="F1301" s="2" t="str">
        <f>RIGHT(B1301,2)</f>
        <v>05</v>
      </c>
      <c r="G1301" s="29">
        <f>DATE(D1301,E1301,F1301)</f>
        <v>42221</v>
      </c>
    </row>
    <row r="1302" hidden="1">
      <c r="A1302" s="1" t="s">
        <v>642</v>
      </c>
    </row>
    <row r="1303" hidden="1">
      <c r="A1303" s="1" t="s">
        <v>643</v>
      </c>
    </row>
    <row r="1304">
      <c r="A1304" s="1" t="s">
        <v>1472</v>
      </c>
      <c r="B1304" s="2">
        <f>IFERROR(__xludf.DUMMYFUNCTION("SPLIT(A1304,""_"")"),2.0150805E7)</f>
        <v>20150805</v>
      </c>
      <c r="C1304" s="2" t="str">
        <f>IFERROR(__xludf.DUMMYFUNCTION("""COMPUTED_VALUE"""),"MSI")</f>
        <v>MSI</v>
      </c>
      <c r="D1304" s="2" t="str">
        <f>LEFT(B1304,4)</f>
        <v>2015</v>
      </c>
      <c r="E1304" s="2" t="str">
        <f>MID(B1304,5,2)</f>
        <v>08</v>
      </c>
      <c r="F1304" s="2" t="str">
        <f>RIGHT(B1304,2)</f>
        <v>05</v>
      </c>
      <c r="G1304" s="29">
        <f>DATE(D1304,E1304,F1304)</f>
        <v>42221</v>
      </c>
    </row>
    <row r="1305" hidden="1">
      <c r="A1305" s="1" t="s">
        <v>642</v>
      </c>
    </row>
    <row r="1306" hidden="1">
      <c r="A1306" s="1" t="s">
        <v>643</v>
      </c>
    </row>
    <row r="1307">
      <c r="A1307" s="1" t="s">
        <v>1473</v>
      </c>
      <c r="B1307" s="2">
        <f>IFERROR(__xludf.DUMMYFUNCTION("SPLIT(A1307,""_"")"),2.0150805E7)</f>
        <v>20150805</v>
      </c>
      <c r="C1307" s="2" t="str">
        <f>IFERROR(__xludf.DUMMYFUNCTION("""COMPUTED_VALUE"""),"PLUS")</f>
        <v>PLUS</v>
      </c>
      <c r="D1307" s="2" t="str">
        <f>LEFT(B1307,4)</f>
        <v>2015</v>
      </c>
      <c r="E1307" s="2" t="str">
        <f>MID(B1307,5,2)</f>
        <v>08</v>
      </c>
      <c r="F1307" s="2" t="str">
        <f>RIGHT(B1307,2)</f>
        <v>05</v>
      </c>
      <c r="G1307" s="29">
        <f>DATE(D1307,E1307,F1307)</f>
        <v>42221</v>
      </c>
    </row>
    <row r="1308" hidden="1">
      <c r="A1308" s="1" t="s">
        <v>642</v>
      </c>
    </row>
    <row r="1309" hidden="1">
      <c r="A1309" s="1" t="s">
        <v>643</v>
      </c>
    </row>
    <row r="1310">
      <c r="A1310" s="1" t="s">
        <v>1474</v>
      </c>
      <c r="B1310" s="2">
        <f>IFERROR(__xludf.DUMMYFUNCTION("SPLIT(A1310,""_"")"),2.0150805E7)</f>
        <v>20150805</v>
      </c>
      <c r="C1310" s="2" t="str">
        <f>IFERROR(__xludf.DUMMYFUNCTION("""COMPUTED_VALUE"""),"WCG")</f>
        <v>WCG</v>
      </c>
      <c r="D1310" s="2" t="str">
        <f>LEFT(B1310,4)</f>
        <v>2015</v>
      </c>
      <c r="E1310" s="2" t="str">
        <f>MID(B1310,5,2)</f>
        <v>08</v>
      </c>
      <c r="F1310" s="2" t="str">
        <f>RIGHT(B1310,2)</f>
        <v>05</v>
      </c>
      <c r="G1310" s="29">
        <f>DATE(D1310,E1310,F1310)</f>
        <v>42221</v>
      </c>
    </row>
    <row r="1311" hidden="1">
      <c r="A1311" s="1" t="s">
        <v>642</v>
      </c>
    </row>
    <row r="1312" hidden="1">
      <c r="A1312" s="1" t="s">
        <v>643</v>
      </c>
    </row>
    <row r="1313">
      <c r="A1313" s="1" t="s">
        <v>1475</v>
      </c>
      <c r="B1313" s="2">
        <f>IFERROR(__xludf.DUMMYFUNCTION("SPLIT(A1313,""_"")"),2.0150806E7)</f>
        <v>20150806</v>
      </c>
      <c r="C1313" s="2" t="str">
        <f>IFERROR(__xludf.DUMMYFUNCTION("""COMPUTED_VALUE"""),"AGN")</f>
        <v>AGN</v>
      </c>
      <c r="D1313" s="2" t="str">
        <f>LEFT(B1313,4)</f>
        <v>2015</v>
      </c>
      <c r="E1313" s="2" t="str">
        <f>MID(B1313,5,2)</f>
        <v>08</v>
      </c>
      <c r="F1313" s="2" t="str">
        <f>RIGHT(B1313,2)</f>
        <v>06</v>
      </c>
      <c r="G1313" s="29">
        <f>DATE(D1313,E1313,F1313)</f>
        <v>42222</v>
      </c>
    </row>
    <row r="1314" hidden="1">
      <c r="A1314" s="1" t="s">
        <v>642</v>
      </c>
    </row>
    <row r="1315" hidden="1">
      <c r="A1315" s="1" t="s">
        <v>643</v>
      </c>
    </row>
    <row r="1316">
      <c r="A1316" s="1" t="s">
        <v>1476</v>
      </c>
      <c r="B1316" s="2">
        <f>IFERROR(__xludf.DUMMYFUNCTION("SPLIT(A1316,""_"")"),2.0150806E7)</f>
        <v>20150806</v>
      </c>
      <c r="C1316" s="2" t="str">
        <f>IFERROR(__xludf.DUMMYFUNCTION("""COMPUTED_VALUE"""),"ALEX")</f>
        <v>ALEX</v>
      </c>
      <c r="D1316" s="2" t="str">
        <f>LEFT(B1316,4)</f>
        <v>2015</v>
      </c>
      <c r="E1316" s="2" t="str">
        <f>MID(B1316,5,2)</f>
        <v>08</v>
      </c>
      <c r="F1316" s="2" t="str">
        <f>RIGHT(B1316,2)</f>
        <v>06</v>
      </c>
      <c r="G1316" s="29">
        <f>DATE(D1316,E1316,F1316)</f>
        <v>42222</v>
      </c>
    </row>
    <row r="1317" hidden="1">
      <c r="A1317" s="1" t="s">
        <v>642</v>
      </c>
    </row>
    <row r="1318" hidden="1">
      <c r="A1318" s="1" t="s">
        <v>643</v>
      </c>
    </row>
    <row r="1319">
      <c r="A1319" s="1" t="s">
        <v>1477</v>
      </c>
      <c r="B1319" s="2">
        <f>IFERROR(__xludf.DUMMYFUNCTION("SPLIT(A1319,""_"")"),2.0150806E7)</f>
        <v>20150806</v>
      </c>
      <c r="C1319" s="2" t="str">
        <f>IFERROR(__xludf.DUMMYFUNCTION("""COMPUTED_VALUE"""),"ANDV")</f>
        <v>ANDV</v>
      </c>
      <c r="D1319" s="2" t="str">
        <f>LEFT(B1319,4)</f>
        <v>2015</v>
      </c>
      <c r="E1319" s="2" t="str">
        <f>MID(B1319,5,2)</f>
        <v>08</v>
      </c>
      <c r="F1319" s="2" t="str">
        <f>RIGHT(B1319,2)</f>
        <v>06</v>
      </c>
      <c r="G1319" s="29">
        <f>DATE(D1319,E1319,F1319)</f>
        <v>42222</v>
      </c>
    </row>
    <row r="1320" hidden="1">
      <c r="A1320" s="1" t="s">
        <v>642</v>
      </c>
    </row>
    <row r="1321" hidden="1">
      <c r="A1321" s="1" t="s">
        <v>643</v>
      </c>
    </row>
    <row r="1322">
      <c r="A1322" s="1" t="s">
        <v>1478</v>
      </c>
      <c r="B1322" s="2">
        <f>IFERROR(__xludf.DUMMYFUNCTION("SPLIT(A1322,""_"")"),2.0150806E7)</f>
        <v>20150806</v>
      </c>
      <c r="C1322" s="2" t="str">
        <f>IFERROR(__xludf.DUMMYFUNCTION("""COMPUTED_VALUE"""),"CNK")</f>
        <v>CNK</v>
      </c>
      <c r="D1322" s="2" t="str">
        <f>LEFT(B1322,4)</f>
        <v>2015</v>
      </c>
      <c r="E1322" s="2" t="str">
        <f>MID(B1322,5,2)</f>
        <v>08</v>
      </c>
      <c r="F1322" s="2" t="str">
        <f>RIGHT(B1322,2)</f>
        <v>06</v>
      </c>
      <c r="G1322" s="29">
        <f>DATE(D1322,E1322,F1322)</f>
        <v>42222</v>
      </c>
    </row>
    <row r="1323" hidden="1">
      <c r="A1323" s="1" t="s">
        <v>642</v>
      </c>
    </row>
    <row r="1324" hidden="1">
      <c r="A1324" s="1" t="s">
        <v>643</v>
      </c>
    </row>
    <row r="1325">
      <c r="A1325" s="1" t="s">
        <v>1479</v>
      </c>
      <c r="B1325" s="2">
        <f>IFERROR(__xludf.DUMMYFUNCTION("SPLIT(A1325,""_"")"),2.0150806E7)</f>
        <v>20150806</v>
      </c>
      <c r="C1325" s="2" t="str">
        <f>IFERROR(__xludf.DUMMYFUNCTION("""COMPUTED_VALUE"""),"CUB")</f>
        <v>CUB</v>
      </c>
      <c r="D1325" s="2" t="str">
        <f>LEFT(B1325,4)</f>
        <v>2015</v>
      </c>
      <c r="E1325" s="2" t="str">
        <f>MID(B1325,5,2)</f>
        <v>08</v>
      </c>
      <c r="F1325" s="2" t="str">
        <f>RIGHT(B1325,2)</f>
        <v>06</v>
      </c>
      <c r="G1325" s="29">
        <f>DATE(D1325,E1325,F1325)</f>
        <v>42222</v>
      </c>
    </row>
    <row r="1326" hidden="1">
      <c r="A1326" s="1" t="s">
        <v>642</v>
      </c>
    </row>
    <row r="1327" hidden="1">
      <c r="A1327" s="1" t="s">
        <v>643</v>
      </c>
    </row>
    <row r="1328">
      <c r="A1328" s="1" t="s">
        <v>1480</v>
      </c>
      <c r="B1328" s="2">
        <f>IFERROR(__xludf.DUMMYFUNCTION("SPLIT(A1328,""_"")"),2.0150806E7)</f>
        <v>20150806</v>
      </c>
      <c r="C1328" s="2" t="str">
        <f>IFERROR(__xludf.DUMMYFUNCTION("""COMPUTED_VALUE"""),"DDD")</f>
        <v>DDD</v>
      </c>
      <c r="D1328" s="2" t="str">
        <f>LEFT(B1328,4)</f>
        <v>2015</v>
      </c>
      <c r="E1328" s="2" t="str">
        <f>MID(B1328,5,2)</f>
        <v>08</v>
      </c>
      <c r="F1328" s="2" t="str">
        <f>RIGHT(B1328,2)</f>
        <v>06</v>
      </c>
      <c r="G1328" s="29">
        <f>DATE(D1328,E1328,F1328)</f>
        <v>42222</v>
      </c>
    </row>
    <row r="1329" hidden="1">
      <c r="A1329" s="1" t="s">
        <v>642</v>
      </c>
    </row>
    <row r="1330" hidden="1">
      <c r="A1330" s="1" t="s">
        <v>643</v>
      </c>
    </row>
    <row r="1331">
      <c r="A1331" s="1" t="s">
        <v>1481</v>
      </c>
      <c r="B1331" s="2">
        <f>IFERROR(__xludf.DUMMYFUNCTION("SPLIT(A1331,""_"")"),2.0150806E7)</f>
        <v>20150806</v>
      </c>
      <c r="C1331" s="2" t="str">
        <f>IFERROR(__xludf.DUMMYFUNCTION("""COMPUTED_VALUE"""),"PGNX")</f>
        <v>PGNX</v>
      </c>
      <c r="D1331" s="2" t="str">
        <f>LEFT(B1331,4)</f>
        <v>2015</v>
      </c>
      <c r="E1331" s="2" t="str">
        <f>MID(B1331,5,2)</f>
        <v>08</v>
      </c>
      <c r="F1331" s="2" t="str">
        <f>RIGHT(B1331,2)</f>
        <v>06</v>
      </c>
      <c r="G1331" s="29">
        <f>DATE(D1331,E1331,F1331)</f>
        <v>42222</v>
      </c>
    </row>
    <row r="1332" hidden="1">
      <c r="A1332" s="1" t="s">
        <v>642</v>
      </c>
    </row>
    <row r="1333" hidden="1">
      <c r="A1333" s="1" t="s">
        <v>643</v>
      </c>
    </row>
    <row r="1334">
      <c r="A1334" s="1" t="s">
        <v>1482</v>
      </c>
      <c r="B1334" s="2">
        <f>IFERROR(__xludf.DUMMYFUNCTION("SPLIT(A1334,""_"")"),2.0150806E7)</f>
        <v>20150806</v>
      </c>
      <c r="C1334" s="2" t="str">
        <f>IFERROR(__xludf.DUMMYFUNCTION("""COMPUTED_VALUE"""),"RGEN")</f>
        <v>RGEN</v>
      </c>
      <c r="D1334" s="2" t="str">
        <f>LEFT(B1334,4)</f>
        <v>2015</v>
      </c>
      <c r="E1334" s="2" t="str">
        <f>MID(B1334,5,2)</f>
        <v>08</v>
      </c>
      <c r="F1334" s="2" t="str">
        <f>RIGHT(B1334,2)</f>
        <v>06</v>
      </c>
      <c r="G1334" s="29">
        <f>DATE(D1334,E1334,F1334)</f>
        <v>42222</v>
      </c>
    </row>
    <row r="1335" hidden="1">
      <c r="A1335" s="1" t="s">
        <v>642</v>
      </c>
    </row>
    <row r="1336" hidden="1">
      <c r="A1336" s="1" t="s">
        <v>643</v>
      </c>
    </row>
    <row r="1337">
      <c r="A1337" s="1" t="s">
        <v>1483</v>
      </c>
      <c r="B1337" s="2">
        <f>IFERROR(__xludf.DUMMYFUNCTION("SPLIT(A1337,""_"")"),2.0150806E7)</f>
        <v>20150806</v>
      </c>
      <c r="C1337" s="2" t="str">
        <f>IFERROR(__xludf.DUMMYFUNCTION("""COMPUTED_VALUE"""),"SPPI")</f>
        <v>SPPI</v>
      </c>
      <c r="D1337" s="2" t="str">
        <f>LEFT(B1337,4)</f>
        <v>2015</v>
      </c>
      <c r="E1337" s="2" t="str">
        <f>MID(B1337,5,2)</f>
        <v>08</v>
      </c>
      <c r="F1337" s="2" t="str">
        <f>RIGHT(B1337,2)</f>
        <v>06</v>
      </c>
      <c r="G1337" s="29">
        <f>DATE(D1337,E1337,F1337)</f>
        <v>42222</v>
      </c>
    </row>
    <row r="1338" hidden="1">
      <c r="A1338" s="1" t="s">
        <v>642</v>
      </c>
    </row>
    <row r="1339" hidden="1">
      <c r="A1339" s="1" t="s">
        <v>643</v>
      </c>
    </row>
    <row r="1340">
      <c r="A1340" s="1" t="s">
        <v>1484</v>
      </c>
      <c r="B1340" s="2">
        <f>IFERROR(__xludf.DUMMYFUNCTION("SPLIT(A1340,""_"")"),2.0150806E7)</f>
        <v>20150806</v>
      </c>
      <c r="C1340" s="2" t="str">
        <f>IFERROR(__xludf.DUMMYFUNCTION("""COMPUTED_VALUE"""),"STMP")</f>
        <v>STMP</v>
      </c>
      <c r="D1340" s="2" t="str">
        <f>LEFT(B1340,4)</f>
        <v>2015</v>
      </c>
      <c r="E1340" s="2" t="str">
        <f>MID(B1340,5,2)</f>
        <v>08</v>
      </c>
      <c r="F1340" s="2" t="str">
        <f>RIGHT(B1340,2)</f>
        <v>06</v>
      </c>
      <c r="G1340" s="29">
        <f>DATE(D1340,E1340,F1340)</f>
        <v>42222</v>
      </c>
    </row>
    <row r="1341" hidden="1">
      <c r="A1341" s="1" t="s">
        <v>642</v>
      </c>
    </row>
    <row r="1342" hidden="1">
      <c r="A1342" s="1" t="s">
        <v>643</v>
      </c>
    </row>
    <row r="1343">
      <c r="A1343" s="1" t="s">
        <v>1485</v>
      </c>
      <c r="B1343" s="2">
        <f>IFERROR(__xludf.DUMMYFUNCTION("SPLIT(A1343,""_"")"),2.0150806E7)</f>
        <v>20150806</v>
      </c>
      <c r="C1343" s="2" t="str">
        <f>IFERROR(__xludf.DUMMYFUNCTION("""COMPUTED_VALUE"""),"TAP")</f>
        <v>TAP</v>
      </c>
      <c r="D1343" s="2" t="str">
        <f>LEFT(B1343,4)</f>
        <v>2015</v>
      </c>
      <c r="E1343" s="2" t="str">
        <f>MID(B1343,5,2)</f>
        <v>08</v>
      </c>
      <c r="F1343" s="2" t="str">
        <f>RIGHT(B1343,2)</f>
        <v>06</v>
      </c>
      <c r="G1343" s="29">
        <f>DATE(D1343,E1343,F1343)</f>
        <v>42222</v>
      </c>
    </row>
    <row r="1344" hidden="1">
      <c r="A1344" s="1" t="s">
        <v>642</v>
      </c>
    </row>
    <row r="1345" hidden="1">
      <c r="A1345" s="1" t="s">
        <v>643</v>
      </c>
    </row>
    <row r="1346">
      <c r="A1346" s="1" t="s">
        <v>1486</v>
      </c>
      <c r="B1346" s="2">
        <f>IFERROR(__xludf.DUMMYFUNCTION("SPLIT(A1346,""_"")"),2.0150806E7)</f>
        <v>20150806</v>
      </c>
      <c r="C1346" s="2" t="str">
        <f>IFERROR(__xludf.DUMMYFUNCTION("""COMPUTED_VALUE"""),"VIAB")</f>
        <v>VIAB</v>
      </c>
      <c r="D1346" s="2" t="str">
        <f>LEFT(B1346,4)</f>
        <v>2015</v>
      </c>
      <c r="E1346" s="2" t="str">
        <f>MID(B1346,5,2)</f>
        <v>08</v>
      </c>
      <c r="F1346" s="2" t="str">
        <f>RIGHT(B1346,2)</f>
        <v>06</v>
      </c>
      <c r="G1346" s="29">
        <f>DATE(D1346,E1346,F1346)</f>
        <v>42222</v>
      </c>
    </row>
    <row r="1347" hidden="1">
      <c r="A1347" s="1" t="s">
        <v>642</v>
      </c>
    </row>
    <row r="1348" hidden="1">
      <c r="A1348" s="1" t="s">
        <v>643</v>
      </c>
    </row>
    <row r="1349">
      <c r="A1349" s="1" t="s">
        <v>1487</v>
      </c>
      <c r="B1349" s="2">
        <f>IFERROR(__xludf.DUMMYFUNCTION("SPLIT(A1349,""_"")"),2.0150807E7)</f>
        <v>20150807</v>
      </c>
      <c r="C1349" s="2" t="str">
        <f>IFERROR(__xludf.DUMMYFUNCTION("""COMPUTED_VALUE"""),"EBIX")</f>
        <v>EBIX</v>
      </c>
      <c r="D1349" s="2" t="str">
        <f>LEFT(B1349,4)</f>
        <v>2015</v>
      </c>
      <c r="E1349" s="2" t="str">
        <f>MID(B1349,5,2)</f>
        <v>08</v>
      </c>
      <c r="F1349" s="2" t="str">
        <f>RIGHT(B1349,2)</f>
        <v>07</v>
      </c>
      <c r="G1349" s="29">
        <f>DATE(D1349,E1349,F1349)</f>
        <v>42223</v>
      </c>
    </row>
    <row r="1350" hidden="1">
      <c r="A1350" s="1" t="s">
        <v>642</v>
      </c>
    </row>
    <row r="1351" hidden="1">
      <c r="A1351" s="1" t="s">
        <v>643</v>
      </c>
    </row>
    <row r="1352">
      <c r="A1352" s="1" t="s">
        <v>1488</v>
      </c>
      <c r="B1352" s="2">
        <f>IFERROR(__xludf.DUMMYFUNCTION("SPLIT(A1352,""_"")"),2.0150807E7)</f>
        <v>20150807</v>
      </c>
      <c r="C1352" s="2" t="str">
        <f>IFERROR(__xludf.DUMMYFUNCTION("""COMPUTED_VALUE"""),"SJI")</f>
        <v>SJI</v>
      </c>
      <c r="D1352" s="2" t="str">
        <f>LEFT(B1352,4)</f>
        <v>2015</v>
      </c>
      <c r="E1352" s="2" t="str">
        <f>MID(B1352,5,2)</f>
        <v>08</v>
      </c>
      <c r="F1352" s="2" t="str">
        <f>RIGHT(B1352,2)</f>
        <v>07</v>
      </c>
      <c r="G1352" s="29">
        <f>DATE(D1352,E1352,F1352)</f>
        <v>42223</v>
      </c>
    </row>
    <row r="1353" hidden="1">
      <c r="A1353" s="1" t="s">
        <v>642</v>
      </c>
    </row>
    <row r="1354" hidden="1">
      <c r="A1354" s="1" t="s">
        <v>643</v>
      </c>
    </row>
    <row r="1355">
      <c r="A1355" s="1" t="s">
        <v>1489</v>
      </c>
      <c r="B1355" s="2">
        <f>IFERROR(__xludf.DUMMYFUNCTION("SPLIT(A1355,""_"")"),2.0150807E7)</f>
        <v>20150807</v>
      </c>
      <c r="C1355" s="2" t="str">
        <f>IFERROR(__xludf.DUMMYFUNCTION("""COMPUTED_VALUE"""),"TTI")</f>
        <v>TTI</v>
      </c>
      <c r="D1355" s="2" t="str">
        <f>LEFT(B1355,4)</f>
        <v>2015</v>
      </c>
      <c r="E1355" s="2" t="str">
        <f>MID(B1355,5,2)</f>
        <v>08</v>
      </c>
      <c r="F1355" s="2" t="str">
        <f>RIGHT(B1355,2)</f>
        <v>07</v>
      </c>
      <c r="G1355" s="29">
        <f>DATE(D1355,E1355,F1355)</f>
        <v>42223</v>
      </c>
    </row>
    <row r="1356" hidden="1">
      <c r="A1356" s="1" t="s">
        <v>642</v>
      </c>
    </row>
    <row r="1357" hidden="1">
      <c r="A1357" s="1" t="s">
        <v>643</v>
      </c>
    </row>
    <row r="1358">
      <c r="A1358" s="1" t="s">
        <v>1490</v>
      </c>
      <c r="B1358" s="2">
        <f>IFERROR(__xludf.DUMMYFUNCTION("SPLIT(A1358,""_"")"),2.015081E7)</f>
        <v>20150810</v>
      </c>
      <c r="C1358" s="2" t="str">
        <f>IFERROR(__xludf.DUMMYFUNCTION("""COMPUTED_VALUE"""),"ESE")</f>
        <v>ESE</v>
      </c>
      <c r="D1358" s="2" t="str">
        <f>LEFT(B1358,4)</f>
        <v>2015</v>
      </c>
      <c r="E1358" s="2" t="str">
        <f>MID(B1358,5,2)</f>
        <v>08</v>
      </c>
      <c r="F1358" s="2" t="str">
        <f>RIGHT(B1358,2)</f>
        <v>10</v>
      </c>
      <c r="G1358" s="29">
        <f>DATE(D1358,E1358,F1358)</f>
        <v>42226</v>
      </c>
    </row>
    <row r="1359" hidden="1">
      <c r="A1359" s="1" t="s">
        <v>642</v>
      </c>
    </row>
    <row r="1360" hidden="1">
      <c r="A1360" s="1" t="s">
        <v>643</v>
      </c>
    </row>
    <row r="1361">
      <c r="A1361" s="1" t="s">
        <v>1491</v>
      </c>
      <c r="B1361" s="2">
        <f>IFERROR(__xludf.DUMMYFUNCTION("SPLIT(A1361,""_"")"),2.015081E7)</f>
        <v>20150810</v>
      </c>
      <c r="C1361" s="2" t="str">
        <f>IFERROR(__xludf.DUMMYFUNCTION("""COMPUTED_VALUE"""),"LYV")</f>
        <v>LYV</v>
      </c>
      <c r="D1361" s="2" t="str">
        <f>LEFT(B1361,4)</f>
        <v>2015</v>
      </c>
      <c r="E1361" s="2" t="str">
        <f>MID(B1361,5,2)</f>
        <v>08</v>
      </c>
      <c r="F1361" s="2" t="str">
        <f>RIGHT(B1361,2)</f>
        <v>10</v>
      </c>
      <c r="G1361" s="29">
        <f>DATE(D1361,E1361,F1361)</f>
        <v>42226</v>
      </c>
    </row>
    <row r="1362" hidden="1">
      <c r="A1362" s="1" t="s">
        <v>642</v>
      </c>
    </row>
    <row r="1363" hidden="1">
      <c r="A1363" s="1" t="s">
        <v>643</v>
      </c>
    </row>
    <row r="1364">
      <c r="A1364" s="1" t="s">
        <v>1492</v>
      </c>
      <c r="B1364" s="2">
        <f>IFERROR(__xludf.DUMMYFUNCTION("SPLIT(A1364,""_"")"),2.015081E7)</f>
        <v>20150810</v>
      </c>
      <c r="C1364" s="2" t="str">
        <f>IFERROR(__xludf.DUMMYFUNCTION("""COMPUTED_VALUE"""),"PRAA")</f>
        <v>PRAA</v>
      </c>
      <c r="D1364" s="2" t="str">
        <f>LEFT(B1364,4)</f>
        <v>2015</v>
      </c>
      <c r="E1364" s="2" t="str">
        <f>MID(B1364,5,2)</f>
        <v>08</v>
      </c>
      <c r="F1364" s="2" t="str">
        <f>RIGHT(B1364,2)</f>
        <v>10</v>
      </c>
      <c r="G1364" s="29">
        <f>DATE(D1364,E1364,F1364)</f>
        <v>42226</v>
      </c>
    </row>
    <row r="1365" hidden="1">
      <c r="A1365" s="1" t="s">
        <v>642</v>
      </c>
    </row>
    <row r="1366" hidden="1">
      <c r="A1366" s="1" t="s">
        <v>643</v>
      </c>
    </row>
    <row r="1367">
      <c r="A1367" s="1" t="s">
        <v>1493</v>
      </c>
      <c r="B1367" s="2">
        <f>IFERROR(__xludf.DUMMYFUNCTION("SPLIT(A1367,""_"")"),2.015081E7)</f>
        <v>20150810</v>
      </c>
      <c r="C1367" s="2" t="str">
        <f>IFERROR(__xludf.DUMMYFUNCTION("""COMPUTED_VALUE"""),"TTWO")</f>
        <v>TTWO</v>
      </c>
      <c r="D1367" s="2" t="str">
        <f>LEFT(B1367,4)</f>
        <v>2015</v>
      </c>
      <c r="E1367" s="2" t="str">
        <f>MID(B1367,5,2)</f>
        <v>08</v>
      </c>
      <c r="F1367" s="2" t="str">
        <f>RIGHT(B1367,2)</f>
        <v>10</v>
      </c>
      <c r="G1367" s="29">
        <f>DATE(D1367,E1367,F1367)</f>
        <v>42226</v>
      </c>
    </row>
    <row r="1368" hidden="1">
      <c r="A1368" s="1" t="s">
        <v>642</v>
      </c>
    </row>
    <row r="1369" hidden="1">
      <c r="A1369" s="1" t="s">
        <v>643</v>
      </c>
    </row>
    <row r="1370">
      <c r="A1370" s="1" t="s">
        <v>1494</v>
      </c>
      <c r="B1370" s="2">
        <f>IFERROR(__xludf.DUMMYFUNCTION("SPLIT(A1370,""_"")"),2.0150811E7)</f>
        <v>20150811</v>
      </c>
      <c r="C1370" s="2" t="str">
        <f>IFERROR(__xludf.DUMMYFUNCTION("""COMPUTED_VALUE"""),"ZBRA")</f>
        <v>ZBRA</v>
      </c>
      <c r="D1370" s="2" t="str">
        <f>LEFT(B1370,4)</f>
        <v>2015</v>
      </c>
      <c r="E1370" s="2" t="str">
        <f>MID(B1370,5,2)</f>
        <v>08</v>
      </c>
      <c r="F1370" s="2" t="str">
        <f>RIGHT(B1370,2)</f>
        <v>11</v>
      </c>
      <c r="G1370" s="29">
        <f>DATE(D1370,E1370,F1370)</f>
        <v>42227</v>
      </c>
    </row>
    <row r="1371" hidden="1">
      <c r="A1371" s="1" t="s">
        <v>642</v>
      </c>
    </row>
    <row r="1372" hidden="1">
      <c r="A1372" s="1" t="s">
        <v>643</v>
      </c>
    </row>
    <row r="1373">
      <c r="A1373" s="1" t="s">
        <v>1495</v>
      </c>
      <c r="B1373" s="2">
        <f>IFERROR(__xludf.DUMMYFUNCTION("SPLIT(A1373,""_"")"),2.0150813E7)</f>
        <v>20150813</v>
      </c>
      <c r="C1373" s="2" t="str">
        <f>IFERROR(__xludf.DUMMYFUNCTION("""COMPUTED_VALUE"""),"JWN")</f>
        <v>JWN</v>
      </c>
      <c r="D1373" s="2" t="str">
        <f>LEFT(B1373,4)</f>
        <v>2015</v>
      </c>
      <c r="E1373" s="2" t="str">
        <f>MID(B1373,5,2)</f>
        <v>08</v>
      </c>
      <c r="F1373" s="2" t="str">
        <f>RIGHT(B1373,2)</f>
        <v>13</v>
      </c>
      <c r="G1373" s="29">
        <f>DATE(D1373,E1373,F1373)</f>
        <v>42229</v>
      </c>
    </row>
    <row r="1374" hidden="1">
      <c r="A1374" s="1" t="s">
        <v>642</v>
      </c>
    </row>
    <row r="1375" hidden="1">
      <c r="A1375" s="1" t="s">
        <v>643</v>
      </c>
    </row>
    <row r="1376">
      <c r="A1376" s="1" t="s">
        <v>1496</v>
      </c>
      <c r="B1376" s="2">
        <f>IFERROR(__xludf.DUMMYFUNCTION("SPLIT(A1376,""_"")"),2.0150813E7)</f>
        <v>20150813</v>
      </c>
      <c r="C1376" s="2" t="str">
        <f>IFERROR(__xludf.DUMMYFUNCTION("""COMPUTED_VALUE"""),"KSS")</f>
        <v>KSS</v>
      </c>
      <c r="D1376" s="2" t="str">
        <f>LEFT(B1376,4)</f>
        <v>2015</v>
      </c>
      <c r="E1376" s="2" t="str">
        <f>MID(B1376,5,2)</f>
        <v>08</v>
      </c>
      <c r="F1376" s="2" t="str">
        <f>RIGHT(B1376,2)</f>
        <v>13</v>
      </c>
      <c r="G1376" s="29">
        <f>DATE(D1376,E1376,F1376)</f>
        <v>42229</v>
      </c>
    </row>
    <row r="1377" hidden="1">
      <c r="A1377" s="1" t="s">
        <v>642</v>
      </c>
    </row>
    <row r="1378" hidden="1">
      <c r="A1378" s="1" t="s">
        <v>643</v>
      </c>
    </row>
    <row r="1379">
      <c r="A1379" s="1" t="s">
        <v>1497</v>
      </c>
      <c r="B1379" s="2">
        <f>IFERROR(__xludf.DUMMYFUNCTION("SPLIT(A1379,""_"")"),2.0150814E7)</f>
        <v>20150814</v>
      </c>
      <c r="C1379" s="2" t="str">
        <f>IFERROR(__xludf.DUMMYFUNCTION("""COMPUTED_VALUE"""),"JCP")</f>
        <v>JCP</v>
      </c>
      <c r="D1379" s="2" t="str">
        <f>LEFT(B1379,4)</f>
        <v>2015</v>
      </c>
      <c r="E1379" s="2" t="str">
        <f>MID(B1379,5,2)</f>
        <v>08</v>
      </c>
      <c r="F1379" s="2" t="str">
        <f>RIGHT(B1379,2)</f>
        <v>14</v>
      </c>
      <c r="G1379" s="29">
        <f>DATE(D1379,E1379,F1379)</f>
        <v>42230</v>
      </c>
    </row>
    <row r="1380" hidden="1">
      <c r="A1380" s="1" t="s">
        <v>642</v>
      </c>
    </row>
    <row r="1381" hidden="1">
      <c r="A1381" s="1" t="s">
        <v>643</v>
      </c>
    </row>
    <row r="1382">
      <c r="A1382" s="1" t="s">
        <v>1498</v>
      </c>
      <c r="B1382" s="2">
        <f>IFERROR(__xludf.DUMMYFUNCTION("SPLIT(A1382,""_"")"),2.0150818E7)</f>
        <v>20150818</v>
      </c>
      <c r="C1382" s="2" t="str">
        <f>IFERROR(__xludf.DUMMYFUNCTION("""COMPUTED_VALUE"""),"ADI")</f>
        <v>ADI</v>
      </c>
      <c r="D1382" s="2" t="str">
        <f>LEFT(B1382,4)</f>
        <v>2015</v>
      </c>
      <c r="E1382" s="2" t="str">
        <f>MID(B1382,5,2)</f>
        <v>08</v>
      </c>
      <c r="F1382" s="2" t="str">
        <f>RIGHT(B1382,2)</f>
        <v>18</v>
      </c>
      <c r="G1382" s="29">
        <f>DATE(D1382,E1382,F1382)</f>
        <v>42234</v>
      </c>
    </row>
    <row r="1383" hidden="1">
      <c r="A1383" s="1" t="s">
        <v>642</v>
      </c>
    </row>
    <row r="1384" hidden="1">
      <c r="A1384" s="1" t="s">
        <v>643</v>
      </c>
    </row>
    <row r="1385">
      <c r="A1385" s="1" t="s">
        <v>1499</v>
      </c>
      <c r="B1385" s="2">
        <f>IFERROR(__xludf.DUMMYFUNCTION("SPLIT(A1385,""_"")"),2.0150818E7)</f>
        <v>20150818</v>
      </c>
      <c r="C1385" s="2" t="str">
        <f>IFERROR(__xludf.DUMMYFUNCTION("""COMPUTED_VALUE"""),"ATGE")</f>
        <v>ATGE</v>
      </c>
      <c r="D1385" s="2" t="str">
        <f>LEFT(B1385,4)</f>
        <v>2015</v>
      </c>
      <c r="E1385" s="2" t="str">
        <f>MID(B1385,5,2)</f>
        <v>08</v>
      </c>
      <c r="F1385" s="2" t="str">
        <f>RIGHT(B1385,2)</f>
        <v>18</v>
      </c>
      <c r="G1385" s="29">
        <f>DATE(D1385,E1385,F1385)</f>
        <v>42234</v>
      </c>
    </row>
    <row r="1386" hidden="1">
      <c r="A1386" s="1" t="s">
        <v>642</v>
      </c>
    </row>
    <row r="1387" hidden="1">
      <c r="A1387" s="1" t="s">
        <v>643</v>
      </c>
    </row>
    <row r="1388">
      <c r="A1388" s="1" t="s">
        <v>1500</v>
      </c>
      <c r="B1388" s="2">
        <f>IFERROR(__xludf.DUMMYFUNCTION("SPLIT(A1388,""_"")"),2.0150819E7)</f>
        <v>20150819</v>
      </c>
      <c r="C1388" s="2" t="str">
        <f>IFERROR(__xludf.DUMMYFUNCTION("""COMPUTED_VALUE"""),"LZB")</f>
        <v>LZB</v>
      </c>
      <c r="D1388" s="2" t="str">
        <f>LEFT(B1388,4)</f>
        <v>2015</v>
      </c>
      <c r="E1388" s="2" t="str">
        <f>MID(B1388,5,2)</f>
        <v>08</v>
      </c>
      <c r="F1388" s="2" t="str">
        <f>RIGHT(B1388,2)</f>
        <v>19</v>
      </c>
      <c r="G1388" s="29">
        <f>DATE(D1388,E1388,F1388)</f>
        <v>42235</v>
      </c>
    </row>
    <row r="1389" hidden="1">
      <c r="A1389" s="1" t="s">
        <v>642</v>
      </c>
    </row>
    <row r="1390" hidden="1">
      <c r="A1390" s="1" t="s">
        <v>643</v>
      </c>
    </row>
    <row r="1391">
      <c r="A1391" s="1" t="s">
        <v>1501</v>
      </c>
      <c r="B1391" s="2">
        <f>IFERROR(__xludf.DUMMYFUNCTION("SPLIT(A1391,""_"")"),2.0150819E7)</f>
        <v>20150819</v>
      </c>
      <c r="C1391" s="2" t="str">
        <f>IFERROR(__xludf.DUMMYFUNCTION("""COMPUTED_VALUE"""),"NTAP")</f>
        <v>NTAP</v>
      </c>
      <c r="D1391" s="2" t="str">
        <f>LEFT(B1391,4)</f>
        <v>2015</v>
      </c>
      <c r="E1391" s="2" t="str">
        <f>MID(B1391,5,2)</f>
        <v>08</v>
      </c>
      <c r="F1391" s="2" t="str">
        <f>RIGHT(B1391,2)</f>
        <v>19</v>
      </c>
      <c r="G1391" s="29">
        <f>DATE(D1391,E1391,F1391)</f>
        <v>42235</v>
      </c>
    </row>
    <row r="1392" hidden="1">
      <c r="A1392" s="1" t="s">
        <v>642</v>
      </c>
    </row>
    <row r="1393" hidden="1">
      <c r="A1393" s="1" t="s">
        <v>643</v>
      </c>
    </row>
    <row r="1394">
      <c r="A1394" s="1" t="s">
        <v>1502</v>
      </c>
      <c r="B1394" s="2">
        <f>IFERROR(__xludf.DUMMYFUNCTION("SPLIT(A1394,""_"")"),2.0150819E7)</f>
        <v>20150819</v>
      </c>
      <c r="C1394" s="2" t="str">
        <f>IFERROR(__xludf.DUMMYFUNCTION("""COMPUTED_VALUE"""),"TGT")</f>
        <v>TGT</v>
      </c>
      <c r="D1394" s="2" t="str">
        <f>LEFT(B1394,4)</f>
        <v>2015</v>
      </c>
      <c r="E1394" s="2" t="str">
        <f>MID(B1394,5,2)</f>
        <v>08</v>
      </c>
      <c r="F1394" s="2" t="str">
        <f>RIGHT(B1394,2)</f>
        <v>19</v>
      </c>
      <c r="G1394" s="29">
        <f>DATE(D1394,E1394,F1394)</f>
        <v>42235</v>
      </c>
    </row>
    <row r="1395" hidden="1">
      <c r="A1395" s="1" t="s">
        <v>642</v>
      </c>
    </row>
    <row r="1396" hidden="1">
      <c r="A1396" s="1" t="s">
        <v>643</v>
      </c>
    </row>
    <row r="1397">
      <c r="A1397" s="1" t="s">
        <v>1503</v>
      </c>
      <c r="B1397" s="2">
        <f>IFERROR(__xludf.DUMMYFUNCTION("SPLIT(A1397,""_"")"),2.015082E7)</f>
        <v>20150820</v>
      </c>
      <c r="C1397" s="2" t="str">
        <f>IFERROR(__xludf.DUMMYFUNCTION("""COMPUTED_VALUE"""),"GPS")</f>
        <v>GPS</v>
      </c>
      <c r="D1397" s="2" t="str">
        <f>LEFT(B1397,4)</f>
        <v>2015</v>
      </c>
      <c r="E1397" s="2" t="str">
        <f>MID(B1397,5,2)</f>
        <v>08</v>
      </c>
      <c r="F1397" s="2" t="str">
        <f>RIGHT(B1397,2)</f>
        <v>20</v>
      </c>
      <c r="G1397" s="29">
        <f>DATE(D1397,E1397,F1397)</f>
        <v>42236</v>
      </c>
    </row>
    <row r="1398" hidden="1">
      <c r="A1398" s="1" t="s">
        <v>642</v>
      </c>
    </row>
    <row r="1399" hidden="1">
      <c r="A1399" s="1" t="s">
        <v>643</v>
      </c>
    </row>
    <row r="1400">
      <c r="A1400" s="1" t="s">
        <v>1504</v>
      </c>
      <c r="B1400" s="2">
        <f>IFERROR(__xludf.DUMMYFUNCTION("SPLIT(A1400,""_"")"),2.015082E7)</f>
        <v>20150820</v>
      </c>
      <c r="C1400" s="2" t="str">
        <f>IFERROR(__xludf.DUMMYFUNCTION("""COMPUTED_VALUE"""),"HPQ")</f>
        <v>HPQ</v>
      </c>
      <c r="D1400" s="2" t="str">
        <f>LEFT(B1400,4)</f>
        <v>2015</v>
      </c>
      <c r="E1400" s="2" t="str">
        <f>MID(B1400,5,2)</f>
        <v>08</v>
      </c>
      <c r="F1400" s="2" t="str">
        <f>RIGHT(B1400,2)</f>
        <v>20</v>
      </c>
      <c r="G1400" s="29">
        <f>DATE(D1400,E1400,F1400)</f>
        <v>42236</v>
      </c>
    </row>
    <row r="1401" hidden="1">
      <c r="A1401" s="1" t="s">
        <v>642</v>
      </c>
    </row>
    <row r="1402" hidden="1">
      <c r="A1402" s="1" t="s">
        <v>643</v>
      </c>
    </row>
    <row r="1403">
      <c r="A1403" s="1" t="s">
        <v>1505</v>
      </c>
      <c r="B1403" s="2">
        <f>IFERROR(__xludf.DUMMYFUNCTION("SPLIT(A1403,""_"")"),2.015082E7)</f>
        <v>20150820</v>
      </c>
      <c r="C1403" s="2" t="str">
        <f>IFERROR(__xludf.DUMMYFUNCTION("""COMPUTED_VALUE"""),"PERY")</f>
        <v>PERY</v>
      </c>
      <c r="D1403" s="2" t="str">
        <f>LEFT(B1403,4)</f>
        <v>2015</v>
      </c>
      <c r="E1403" s="2" t="str">
        <f>MID(B1403,5,2)</f>
        <v>08</v>
      </c>
      <c r="F1403" s="2" t="str">
        <f>RIGHT(B1403,2)</f>
        <v>20</v>
      </c>
      <c r="G1403" s="29">
        <f>DATE(D1403,E1403,F1403)</f>
        <v>42236</v>
      </c>
    </row>
    <row r="1404" hidden="1">
      <c r="A1404" s="1" t="s">
        <v>642</v>
      </c>
    </row>
    <row r="1405" hidden="1">
      <c r="A1405" s="1" t="s">
        <v>643</v>
      </c>
    </row>
    <row r="1406">
      <c r="A1406" s="1" t="s">
        <v>1506</v>
      </c>
      <c r="B1406" s="2">
        <f>IFERROR(__xludf.DUMMYFUNCTION("SPLIT(A1406,""_"")"),2.0150821E7)</f>
        <v>20150821</v>
      </c>
      <c r="C1406" s="2" t="str">
        <f>IFERROR(__xludf.DUMMYFUNCTION("""COMPUTED_VALUE"""),"FL")</f>
        <v>FL</v>
      </c>
      <c r="D1406" s="2" t="str">
        <f>LEFT(B1406,4)</f>
        <v>2015</v>
      </c>
      <c r="E1406" s="2" t="str">
        <f>MID(B1406,5,2)</f>
        <v>08</v>
      </c>
      <c r="F1406" s="2" t="str">
        <f>RIGHT(B1406,2)</f>
        <v>21</v>
      </c>
      <c r="G1406" s="29">
        <f>DATE(D1406,E1406,F1406)</f>
        <v>42237</v>
      </c>
    </row>
    <row r="1407" hidden="1">
      <c r="A1407" s="1" t="s">
        <v>642</v>
      </c>
    </row>
    <row r="1408" hidden="1">
      <c r="A1408" s="1" t="s">
        <v>643</v>
      </c>
    </row>
    <row r="1409">
      <c r="A1409" s="1" t="s">
        <v>1507</v>
      </c>
      <c r="B1409" s="2">
        <f>IFERROR(__xludf.DUMMYFUNCTION("SPLIT(A1409,""_"")"),2.0150826E7)</f>
        <v>20150826</v>
      </c>
      <c r="C1409" s="2" t="str">
        <f>IFERROR(__xludf.DUMMYFUNCTION("""COMPUTED_VALUE"""),"GES")</f>
        <v>GES</v>
      </c>
      <c r="D1409" s="2" t="str">
        <f>LEFT(B1409,4)</f>
        <v>2015</v>
      </c>
      <c r="E1409" s="2" t="str">
        <f>MID(B1409,5,2)</f>
        <v>08</v>
      </c>
      <c r="F1409" s="2" t="str">
        <f>RIGHT(B1409,2)</f>
        <v>26</v>
      </c>
      <c r="G1409" s="29">
        <f>DATE(D1409,E1409,F1409)</f>
        <v>42242</v>
      </c>
    </row>
    <row r="1410" hidden="1">
      <c r="A1410" s="1" t="s">
        <v>642</v>
      </c>
    </row>
    <row r="1411" hidden="1">
      <c r="A1411" s="1" t="s">
        <v>643</v>
      </c>
    </row>
    <row r="1412">
      <c r="A1412" s="1" t="s">
        <v>1508</v>
      </c>
      <c r="B1412" s="2">
        <f>IFERROR(__xludf.DUMMYFUNCTION("SPLIT(A1412,""_"")"),2.0150826E7)</f>
        <v>20150826</v>
      </c>
      <c r="C1412" s="2" t="str">
        <f>IFERROR(__xludf.DUMMYFUNCTION("""COMPUTED_VALUE"""),"WSM")</f>
        <v>WSM</v>
      </c>
      <c r="D1412" s="2" t="str">
        <f>LEFT(B1412,4)</f>
        <v>2015</v>
      </c>
      <c r="E1412" s="2" t="str">
        <f>MID(B1412,5,2)</f>
        <v>08</v>
      </c>
      <c r="F1412" s="2" t="str">
        <f>RIGHT(B1412,2)</f>
        <v>26</v>
      </c>
      <c r="G1412" s="29">
        <f>DATE(D1412,E1412,F1412)</f>
        <v>42242</v>
      </c>
    </row>
    <row r="1413" hidden="1">
      <c r="A1413" s="1" t="s">
        <v>642</v>
      </c>
    </row>
    <row r="1414" hidden="1">
      <c r="A1414" s="1" t="s">
        <v>643</v>
      </c>
    </row>
    <row r="1415">
      <c r="A1415" s="1" t="s">
        <v>1509</v>
      </c>
      <c r="B1415" s="2">
        <f>IFERROR(__xludf.DUMMYFUNCTION("SPLIT(A1415,""_"")"),2.0150827E7)</f>
        <v>20150827</v>
      </c>
      <c r="C1415" s="2" t="str">
        <f>IFERROR(__xludf.DUMMYFUNCTION("""COMPUTED_VALUE"""),"FRED")</f>
        <v>FRED</v>
      </c>
      <c r="D1415" s="2" t="str">
        <f>LEFT(B1415,4)</f>
        <v>2015</v>
      </c>
      <c r="E1415" s="2" t="str">
        <f>MID(B1415,5,2)</f>
        <v>08</v>
      </c>
      <c r="F1415" s="2" t="str">
        <f>RIGHT(B1415,2)</f>
        <v>27</v>
      </c>
      <c r="G1415" s="29">
        <f>DATE(D1415,E1415,F1415)</f>
        <v>42243</v>
      </c>
    </row>
    <row r="1416" hidden="1">
      <c r="A1416" s="1" t="s">
        <v>642</v>
      </c>
    </row>
    <row r="1417" hidden="1">
      <c r="A1417" s="1" t="s">
        <v>643</v>
      </c>
    </row>
    <row r="1418">
      <c r="A1418" s="1" t="s">
        <v>1510</v>
      </c>
      <c r="B1418" s="2">
        <f>IFERROR(__xludf.DUMMYFUNCTION("SPLIT(A1418,""_"")"),2.0150827E7)</f>
        <v>20150827</v>
      </c>
      <c r="C1418" s="2" t="str">
        <f>IFERROR(__xludf.DUMMYFUNCTION("""COMPUTED_VALUE"""),"GME")</f>
        <v>GME</v>
      </c>
      <c r="D1418" s="2" t="str">
        <f>LEFT(B1418,4)</f>
        <v>2015</v>
      </c>
      <c r="E1418" s="2" t="str">
        <f>MID(B1418,5,2)</f>
        <v>08</v>
      </c>
      <c r="F1418" s="2" t="str">
        <f>RIGHT(B1418,2)</f>
        <v>27</v>
      </c>
      <c r="G1418" s="29">
        <f>DATE(D1418,E1418,F1418)</f>
        <v>42243</v>
      </c>
    </row>
    <row r="1419" hidden="1">
      <c r="A1419" s="1" t="s">
        <v>642</v>
      </c>
    </row>
    <row r="1420" hidden="1">
      <c r="A1420" s="1" t="s">
        <v>643</v>
      </c>
    </row>
    <row r="1421">
      <c r="A1421" s="1" t="s">
        <v>1511</v>
      </c>
      <c r="B1421" s="2">
        <f>IFERROR(__xludf.DUMMYFUNCTION("SPLIT(A1421,""_"")"),2.0150827E7)</f>
        <v>20150827</v>
      </c>
      <c r="C1421" s="2" t="str">
        <f>IFERROR(__xludf.DUMMYFUNCTION("""COMPUTED_VALUE"""),"MOV")</f>
        <v>MOV</v>
      </c>
      <c r="D1421" s="2" t="str">
        <f>LEFT(B1421,4)</f>
        <v>2015</v>
      </c>
      <c r="E1421" s="2" t="str">
        <f>MID(B1421,5,2)</f>
        <v>08</v>
      </c>
      <c r="F1421" s="2" t="str">
        <f>RIGHT(B1421,2)</f>
        <v>27</v>
      </c>
      <c r="G1421" s="29">
        <f>DATE(D1421,E1421,F1421)</f>
        <v>42243</v>
      </c>
    </row>
    <row r="1422" hidden="1">
      <c r="A1422" s="1" t="s">
        <v>642</v>
      </c>
    </row>
    <row r="1423" hidden="1">
      <c r="A1423" s="1" t="s">
        <v>643</v>
      </c>
    </row>
    <row r="1424">
      <c r="A1424" s="1" t="s">
        <v>1512</v>
      </c>
      <c r="B1424" s="2">
        <f>IFERROR(__xludf.DUMMYFUNCTION("SPLIT(A1424,""_"")"),2.0150827E7)</f>
        <v>20150827</v>
      </c>
      <c r="C1424" s="2" t="str">
        <f>IFERROR(__xludf.DUMMYFUNCTION("""COMPUTED_VALUE"""),"ULTA")</f>
        <v>ULTA</v>
      </c>
      <c r="D1424" s="2" t="str">
        <f>LEFT(B1424,4)</f>
        <v>2015</v>
      </c>
      <c r="E1424" s="2" t="str">
        <f>MID(B1424,5,2)</f>
        <v>08</v>
      </c>
      <c r="F1424" s="2" t="str">
        <f>RIGHT(B1424,2)</f>
        <v>27</v>
      </c>
      <c r="G1424" s="29">
        <f>DATE(D1424,E1424,F1424)</f>
        <v>42243</v>
      </c>
    </row>
    <row r="1425" hidden="1">
      <c r="A1425" s="1" t="s">
        <v>642</v>
      </c>
    </row>
    <row r="1426" hidden="1">
      <c r="A1426" s="1" t="s">
        <v>643</v>
      </c>
    </row>
    <row r="1427">
      <c r="A1427" s="1" t="s">
        <v>1513</v>
      </c>
      <c r="B1427" s="2">
        <f>IFERROR(__xludf.DUMMYFUNCTION("SPLIT(A1427,""_"")"),2.0150828E7)</f>
        <v>20150828</v>
      </c>
      <c r="C1427" s="2" t="str">
        <f>IFERROR(__xludf.DUMMYFUNCTION("""COMPUTED_VALUE"""),"BIG")</f>
        <v>BIG</v>
      </c>
      <c r="D1427" s="2" t="str">
        <f>LEFT(B1427,4)</f>
        <v>2015</v>
      </c>
      <c r="E1427" s="2" t="str">
        <f>MID(B1427,5,2)</f>
        <v>08</v>
      </c>
      <c r="F1427" s="2" t="str">
        <f>RIGHT(B1427,2)</f>
        <v>28</v>
      </c>
      <c r="G1427" s="29">
        <f>DATE(D1427,E1427,F1427)</f>
        <v>42244</v>
      </c>
    </row>
    <row r="1428" hidden="1">
      <c r="A1428" s="1" t="s">
        <v>642</v>
      </c>
    </row>
    <row r="1429" hidden="1">
      <c r="A1429" s="1" t="s">
        <v>643</v>
      </c>
    </row>
    <row r="1430">
      <c r="A1430" s="1" t="s">
        <v>1514</v>
      </c>
      <c r="B1430" s="2">
        <f>IFERROR(__xludf.DUMMYFUNCTION("SPLIT(A1430,""_"")"),2.0150828E7)</f>
        <v>20150828</v>
      </c>
      <c r="C1430" s="2" t="str">
        <f>IFERROR(__xludf.DUMMYFUNCTION("""COMPUTED_VALUE"""),"RGS")</f>
        <v>RGS</v>
      </c>
      <c r="D1430" s="2" t="str">
        <f>LEFT(B1430,4)</f>
        <v>2015</v>
      </c>
      <c r="E1430" s="2" t="str">
        <f>MID(B1430,5,2)</f>
        <v>08</v>
      </c>
      <c r="F1430" s="2" t="str">
        <f>RIGHT(B1430,2)</f>
        <v>28</v>
      </c>
      <c r="G1430" s="29">
        <f>DATE(D1430,E1430,F1430)</f>
        <v>42244</v>
      </c>
    </row>
    <row r="1431" hidden="1">
      <c r="A1431" s="1" t="s">
        <v>642</v>
      </c>
    </row>
    <row r="1432" hidden="1">
      <c r="A1432" s="1" t="s">
        <v>643</v>
      </c>
    </row>
    <row r="1433">
      <c r="A1433" s="1" t="s">
        <v>1515</v>
      </c>
      <c r="B1433" s="2">
        <f>IFERROR(__xludf.DUMMYFUNCTION("SPLIT(A1433,""_"")"),2.0150901E7)</f>
        <v>20150901</v>
      </c>
      <c r="C1433" s="2" t="str">
        <f>IFERROR(__xludf.DUMMYFUNCTION("""COMPUTED_VALUE"""),"HRB")</f>
        <v>HRB</v>
      </c>
      <c r="D1433" s="2" t="str">
        <f>LEFT(B1433,4)</f>
        <v>2015</v>
      </c>
      <c r="E1433" s="2" t="str">
        <f>MID(B1433,5,2)</f>
        <v>09</v>
      </c>
      <c r="F1433" s="2" t="str">
        <f>RIGHT(B1433,2)</f>
        <v>01</v>
      </c>
      <c r="G1433" s="29">
        <f>DATE(D1433,E1433,F1433)</f>
        <v>42248</v>
      </c>
    </row>
    <row r="1434" hidden="1">
      <c r="A1434" s="1" t="s">
        <v>642</v>
      </c>
    </row>
    <row r="1435" hidden="1">
      <c r="A1435" s="1" t="s">
        <v>643</v>
      </c>
    </row>
    <row r="1436">
      <c r="A1436" s="1" t="s">
        <v>1516</v>
      </c>
      <c r="B1436" s="2">
        <f>IFERROR(__xludf.DUMMYFUNCTION("SPLIT(A1436,""_"")"),2.0150901E7)</f>
        <v>20150901</v>
      </c>
      <c r="C1436" s="2" t="str">
        <f>IFERROR(__xludf.DUMMYFUNCTION("""COMPUTED_VALUE"""),"SCVL")</f>
        <v>SCVL</v>
      </c>
      <c r="D1436" s="2" t="str">
        <f>LEFT(B1436,4)</f>
        <v>2015</v>
      </c>
      <c r="E1436" s="2" t="str">
        <f>MID(B1436,5,2)</f>
        <v>09</v>
      </c>
      <c r="F1436" s="2" t="str">
        <f>RIGHT(B1436,2)</f>
        <v>01</v>
      </c>
      <c r="G1436" s="29">
        <f>DATE(D1436,E1436,F1436)</f>
        <v>42248</v>
      </c>
    </row>
    <row r="1437" hidden="1">
      <c r="A1437" s="1" t="s">
        <v>642</v>
      </c>
    </row>
    <row r="1438" hidden="1">
      <c r="A1438" s="1" t="s">
        <v>643</v>
      </c>
    </row>
    <row r="1439">
      <c r="A1439" s="1" t="s">
        <v>1517</v>
      </c>
      <c r="B1439" s="2">
        <f>IFERROR(__xludf.DUMMYFUNCTION("SPLIT(A1439,""_"")"),2.0150908E7)</f>
        <v>20150908</v>
      </c>
      <c r="C1439" s="2" t="str">
        <f>IFERROR(__xludf.DUMMYFUNCTION("""COMPUTED_VALUE"""),"KFY")</f>
        <v>KFY</v>
      </c>
      <c r="D1439" s="2" t="str">
        <f>LEFT(B1439,4)</f>
        <v>2015</v>
      </c>
      <c r="E1439" s="2" t="str">
        <f>MID(B1439,5,2)</f>
        <v>09</v>
      </c>
      <c r="F1439" s="2" t="str">
        <f>RIGHT(B1439,2)</f>
        <v>08</v>
      </c>
      <c r="G1439" s="29">
        <f>DATE(D1439,E1439,F1439)</f>
        <v>42255</v>
      </c>
    </row>
    <row r="1440" hidden="1">
      <c r="A1440" s="1" t="s">
        <v>642</v>
      </c>
    </row>
    <row r="1441" hidden="1">
      <c r="A1441" s="1" t="s">
        <v>643</v>
      </c>
    </row>
    <row r="1442">
      <c r="A1442" s="1" t="s">
        <v>1518</v>
      </c>
      <c r="B1442" s="2">
        <f>IFERROR(__xludf.DUMMYFUNCTION("SPLIT(A1442,""_"")"),2.0150909E7)</f>
        <v>20150909</v>
      </c>
      <c r="C1442" s="2" t="str">
        <f>IFERROR(__xludf.DUMMYFUNCTION("""COMPUTED_VALUE"""),"BKS")</f>
        <v>BKS</v>
      </c>
      <c r="D1442" s="2" t="str">
        <f>LEFT(B1442,4)</f>
        <v>2015</v>
      </c>
      <c r="E1442" s="2" t="str">
        <f>MID(B1442,5,2)</f>
        <v>09</v>
      </c>
      <c r="F1442" s="2" t="str">
        <f>RIGHT(B1442,2)</f>
        <v>09</v>
      </c>
      <c r="G1442" s="29">
        <f>DATE(D1442,E1442,F1442)</f>
        <v>42256</v>
      </c>
    </row>
    <row r="1443" hidden="1">
      <c r="A1443" s="1" t="s">
        <v>642</v>
      </c>
    </row>
    <row r="1444" hidden="1">
      <c r="A1444" s="1" t="s">
        <v>643</v>
      </c>
    </row>
    <row r="1445">
      <c r="A1445" s="1" t="s">
        <v>1519</v>
      </c>
      <c r="B1445" s="2">
        <f>IFERROR(__xludf.DUMMYFUNCTION("SPLIT(A1445,""_"")"),2.0150911E7)</f>
        <v>20150911</v>
      </c>
      <c r="C1445" s="2" t="str">
        <f>IFERROR(__xludf.DUMMYFUNCTION("""COMPUTED_VALUE"""),"BRC")</f>
        <v>BRC</v>
      </c>
      <c r="D1445" s="2" t="str">
        <f>LEFT(B1445,4)</f>
        <v>2015</v>
      </c>
      <c r="E1445" s="2" t="str">
        <f>MID(B1445,5,2)</f>
        <v>09</v>
      </c>
      <c r="F1445" s="2" t="str">
        <f>RIGHT(B1445,2)</f>
        <v>11</v>
      </c>
      <c r="G1445" s="29">
        <f>DATE(D1445,E1445,F1445)</f>
        <v>42258</v>
      </c>
    </row>
    <row r="1446" hidden="1">
      <c r="A1446" s="1" t="s">
        <v>642</v>
      </c>
    </row>
    <row r="1447" hidden="1">
      <c r="A1447" s="1" t="s">
        <v>643</v>
      </c>
    </row>
    <row r="1448">
      <c r="A1448" s="1" t="s">
        <v>1520</v>
      </c>
      <c r="B1448" s="2">
        <f>IFERROR(__xludf.DUMMYFUNCTION("SPLIT(A1448,""_"")"),2.0150921E7)</f>
        <v>20150921</v>
      </c>
      <c r="C1448" s="2" t="str">
        <f>IFERROR(__xludf.DUMMYFUNCTION("""COMPUTED_VALUE"""),"RHT")</f>
        <v>RHT</v>
      </c>
      <c r="D1448" s="2" t="str">
        <f>LEFT(B1448,4)</f>
        <v>2015</v>
      </c>
      <c r="E1448" s="2" t="str">
        <f>MID(B1448,5,2)</f>
        <v>09</v>
      </c>
      <c r="F1448" s="2" t="str">
        <f>RIGHT(B1448,2)</f>
        <v>21</v>
      </c>
      <c r="G1448" s="29">
        <f>DATE(D1448,E1448,F1448)</f>
        <v>42268</v>
      </c>
    </row>
    <row r="1449" hidden="1">
      <c r="A1449" s="1" t="s">
        <v>642</v>
      </c>
    </row>
    <row r="1450" hidden="1">
      <c r="A1450" s="1" t="s">
        <v>643</v>
      </c>
    </row>
    <row r="1451">
      <c r="A1451" s="1" t="s">
        <v>1521</v>
      </c>
      <c r="B1451" s="2">
        <f>IFERROR(__xludf.DUMMYFUNCTION("SPLIT(A1451,""_"")"),2.0150922E7)</f>
        <v>20150922</v>
      </c>
      <c r="C1451" s="2" t="str">
        <f>IFERROR(__xludf.DUMMYFUNCTION("""COMPUTED_VALUE"""),"CCL")</f>
        <v>CCL</v>
      </c>
      <c r="D1451" s="2" t="str">
        <f>LEFT(B1451,4)</f>
        <v>2015</v>
      </c>
      <c r="E1451" s="2" t="str">
        <f>MID(B1451,5,2)</f>
        <v>09</v>
      </c>
      <c r="F1451" s="2" t="str">
        <f>RIGHT(B1451,2)</f>
        <v>22</v>
      </c>
      <c r="G1451" s="29">
        <f>DATE(D1451,E1451,F1451)</f>
        <v>42269</v>
      </c>
    </row>
    <row r="1452" hidden="1">
      <c r="A1452" s="1" t="s">
        <v>642</v>
      </c>
    </row>
    <row r="1453" hidden="1">
      <c r="A1453" s="1" t="s">
        <v>643</v>
      </c>
    </row>
    <row r="1454">
      <c r="A1454" s="1" t="s">
        <v>1522</v>
      </c>
      <c r="B1454" s="2">
        <f>IFERROR(__xludf.DUMMYFUNCTION("SPLIT(A1454,""_"")"),2.0150922E7)</f>
        <v>20150922</v>
      </c>
      <c r="C1454" s="2" t="str">
        <f>IFERROR(__xludf.DUMMYFUNCTION("""COMPUTED_VALUE"""),"GIS")</f>
        <v>GIS</v>
      </c>
      <c r="D1454" s="2" t="str">
        <f>LEFT(B1454,4)</f>
        <v>2015</v>
      </c>
      <c r="E1454" s="2" t="str">
        <f>MID(B1454,5,2)</f>
        <v>09</v>
      </c>
      <c r="F1454" s="2" t="str">
        <f>RIGHT(B1454,2)</f>
        <v>22</v>
      </c>
      <c r="G1454" s="29">
        <f>DATE(D1454,E1454,F1454)</f>
        <v>42269</v>
      </c>
    </row>
    <row r="1455" hidden="1">
      <c r="A1455" s="1" t="s">
        <v>642</v>
      </c>
    </row>
    <row r="1456" hidden="1">
      <c r="A1456" s="1" t="s">
        <v>643</v>
      </c>
    </row>
    <row r="1457">
      <c r="A1457" s="1" t="s">
        <v>1523</v>
      </c>
      <c r="B1457" s="2">
        <f>IFERROR(__xludf.DUMMYFUNCTION("SPLIT(A1457,""_"")"),2.0150924E7)</f>
        <v>20150924</v>
      </c>
      <c r="C1457" s="2" t="str">
        <f>IFERROR(__xludf.DUMMYFUNCTION("""COMPUTED_VALUE"""),"ACN")</f>
        <v>ACN</v>
      </c>
      <c r="D1457" s="2" t="str">
        <f>LEFT(B1457,4)</f>
        <v>2015</v>
      </c>
      <c r="E1457" s="2" t="str">
        <f>MID(B1457,5,2)</f>
        <v>09</v>
      </c>
      <c r="F1457" s="2" t="str">
        <f>RIGHT(B1457,2)</f>
        <v>24</v>
      </c>
      <c r="G1457" s="29">
        <f>DATE(D1457,E1457,F1457)</f>
        <v>42271</v>
      </c>
    </row>
    <row r="1458" hidden="1">
      <c r="A1458" s="1" t="s">
        <v>642</v>
      </c>
    </row>
    <row r="1459" hidden="1">
      <c r="A1459" s="1" t="s">
        <v>643</v>
      </c>
    </row>
    <row r="1460">
      <c r="A1460" s="1" t="s">
        <v>1524</v>
      </c>
      <c r="B1460" s="2">
        <f>IFERROR(__xludf.DUMMYFUNCTION("SPLIT(A1460,""_"")"),2.0150924E7)</f>
        <v>20150924</v>
      </c>
      <c r="C1460" s="2" t="str">
        <f>IFERROR(__xludf.DUMMYFUNCTION("""COMPUTED_VALUE"""),"AIR")</f>
        <v>AIR</v>
      </c>
      <c r="D1460" s="2" t="str">
        <f>LEFT(B1460,4)</f>
        <v>2015</v>
      </c>
      <c r="E1460" s="2" t="str">
        <f>MID(B1460,5,2)</f>
        <v>09</v>
      </c>
      <c r="F1460" s="2" t="str">
        <f>RIGHT(B1460,2)</f>
        <v>24</v>
      </c>
      <c r="G1460" s="29">
        <f>DATE(D1460,E1460,F1460)</f>
        <v>42271</v>
      </c>
    </row>
    <row r="1461" hidden="1">
      <c r="A1461" s="1" t="s">
        <v>642</v>
      </c>
    </row>
    <row r="1462" hidden="1">
      <c r="A1462" s="1" t="s">
        <v>643</v>
      </c>
    </row>
    <row r="1463">
      <c r="A1463" s="1" t="s">
        <v>1525</v>
      </c>
      <c r="B1463" s="2">
        <f>IFERROR(__xludf.DUMMYFUNCTION("SPLIT(A1463,""_"")"),2.0150924E7)</f>
        <v>20150924</v>
      </c>
      <c r="C1463" s="2" t="str">
        <f>IFERROR(__xludf.DUMMYFUNCTION("""COMPUTED_VALUE"""),"BBBY")</f>
        <v>BBBY</v>
      </c>
      <c r="D1463" s="2" t="str">
        <f>LEFT(B1463,4)</f>
        <v>2015</v>
      </c>
      <c r="E1463" s="2" t="str">
        <f>MID(B1463,5,2)</f>
        <v>09</v>
      </c>
      <c r="F1463" s="2" t="str">
        <f>RIGHT(B1463,2)</f>
        <v>24</v>
      </c>
      <c r="G1463" s="29">
        <f>DATE(D1463,E1463,F1463)</f>
        <v>42271</v>
      </c>
    </row>
    <row r="1464" hidden="1">
      <c r="A1464" s="1" t="s">
        <v>642</v>
      </c>
    </row>
    <row r="1465" hidden="1">
      <c r="A1465" s="1" t="s">
        <v>643</v>
      </c>
    </row>
    <row r="1466">
      <c r="A1466" s="1" t="s">
        <v>1526</v>
      </c>
      <c r="B1466" s="2">
        <f>IFERROR(__xludf.DUMMYFUNCTION("SPLIT(A1466,""_"")"),2.0150924E7)</f>
        <v>20150924</v>
      </c>
      <c r="C1466" s="2" t="str">
        <f>IFERROR(__xludf.DUMMYFUNCTION("""COMPUTED_VALUE"""),"SCHL")</f>
        <v>SCHL</v>
      </c>
      <c r="D1466" s="2" t="str">
        <f>LEFT(B1466,4)</f>
        <v>2015</v>
      </c>
      <c r="E1466" s="2" t="str">
        <f>MID(B1466,5,2)</f>
        <v>09</v>
      </c>
      <c r="F1466" s="2" t="str">
        <f>RIGHT(B1466,2)</f>
        <v>24</v>
      </c>
      <c r="G1466" s="29">
        <f>DATE(D1466,E1466,F1466)</f>
        <v>42271</v>
      </c>
    </row>
    <row r="1467" hidden="1">
      <c r="A1467" s="1" t="s">
        <v>642</v>
      </c>
    </row>
    <row r="1468" hidden="1">
      <c r="A1468" s="1" t="s">
        <v>643</v>
      </c>
    </row>
    <row r="1469">
      <c r="A1469" s="1" t="s">
        <v>1527</v>
      </c>
      <c r="B1469" s="2">
        <f>IFERROR(__xludf.DUMMYFUNCTION("SPLIT(A1469,""_"")"),2.0150929E7)</f>
        <v>20150929</v>
      </c>
      <c r="C1469" s="2" t="str">
        <f>IFERROR(__xludf.DUMMYFUNCTION("""COMPUTED_VALUE"""),"AZZ")</f>
        <v>AZZ</v>
      </c>
      <c r="D1469" s="2" t="str">
        <f>LEFT(B1469,4)</f>
        <v>2015</v>
      </c>
      <c r="E1469" s="2" t="str">
        <f>MID(B1469,5,2)</f>
        <v>09</v>
      </c>
      <c r="F1469" s="2" t="str">
        <f>RIGHT(B1469,2)</f>
        <v>29</v>
      </c>
      <c r="G1469" s="29">
        <f>DATE(D1469,E1469,F1469)</f>
        <v>42276</v>
      </c>
    </row>
    <row r="1470" hidden="1">
      <c r="A1470" s="1" t="s">
        <v>642</v>
      </c>
    </row>
    <row r="1471" hidden="1">
      <c r="A1471" s="1" t="s">
        <v>643</v>
      </c>
    </row>
    <row r="1472">
      <c r="A1472" s="1" t="s">
        <v>1528</v>
      </c>
      <c r="B1472" s="2">
        <f>IFERROR(__xludf.DUMMYFUNCTION("SPLIT(A1472,""_"")"),2.0151001E7)</f>
        <v>20151001</v>
      </c>
      <c r="C1472" s="2" t="str">
        <f>IFERROR(__xludf.DUMMYFUNCTION("""COMPUTED_VALUE"""),"CAMP")</f>
        <v>CAMP</v>
      </c>
      <c r="D1472" s="2" t="str">
        <f>LEFT(B1472,4)</f>
        <v>2015</v>
      </c>
      <c r="E1472" s="2" t="str">
        <f>MID(B1472,5,2)</f>
        <v>10</v>
      </c>
      <c r="F1472" s="2" t="str">
        <f>RIGHT(B1472,2)</f>
        <v>01</v>
      </c>
      <c r="G1472" s="29">
        <f>DATE(D1472,E1472,F1472)</f>
        <v>42278</v>
      </c>
    </row>
    <row r="1473" hidden="1">
      <c r="A1473" s="1" t="s">
        <v>642</v>
      </c>
    </row>
    <row r="1474" hidden="1">
      <c r="A1474" s="1" t="s">
        <v>643</v>
      </c>
    </row>
    <row r="1475">
      <c r="A1475" s="1" t="s">
        <v>1529</v>
      </c>
      <c r="B1475" s="2">
        <f>IFERROR(__xludf.DUMMYFUNCTION("SPLIT(A1475,""_"")"),2.0151001E7)</f>
        <v>20151001</v>
      </c>
      <c r="C1475" s="2" t="str">
        <f>IFERROR(__xludf.DUMMYFUNCTION("""COMPUTED_VALUE"""),"MU")</f>
        <v>MU</v>
      </c>
      <c r="D1475" s="2" t="str">
        <f>LEFT(B1475,4)</f>
        <v>2015</v>
      </c>
      <c r="E1475" s="2" t="str">
        <f>MID(B1475,5,2)</f>
        <v>10</v>
      </c>
      <c r="F1475" s="2" t="str">
        <f>RIGHT(B1475,2)</f>
        <v>01</v>
      </c>
      <c r="G1475" s="29">
        <f>DATE(D1475,E1475,F1475)</f>
        <v>42278</v>
      </c>
    </row>
    <row r="1476" hidden="1">
      <c r="A1476" s="1" t="s">
        <v>642</v>
      </c>
    </row>
    <row r="1477" hidden="1">
      <c r="A1477" s="1" t="s">
        <v>643</v>
      </c>
    </row>
    <row r="1478">
      <c r="A1478" s="1" t="s">
        <v>1530</v>
      </c>
      <c r="B1478" s="2">
        <f>IFERROR(__xludf.DUMMYFUNCTION("SPLIT(A1478,""_"")"),2.0151001E7)</f>
        <v>20151001</v>
      </c>
      <c r="C1478" s="2" t="str">
        <f>IFERROR(__xludf.DUMMYFUNCTION("""COMPUTED_VALUE"""),"PRGS")</f>
        <v>PRGS</v>
      </c>
      <c r="D1478" s="2" t="str">
        <f>LEFT(B1478,4)</f>
        <v>2015</v>
      </c>
      <c r="E1478" s="2" t="str">
        <f>MID(B1478,5,2)</f>
        <v>10</v>
      </c>
      <c r="F1478" s="2" t="str">
        <f>RIGHT(B1478,2)</f>
        <v>01</v>
      </c>
      <c r="G1478" s="29">
        <f>DATE(D1478,E1478,F1478)</f>
        <v>42278</v>
      </c>
    </row>
    <row r="1479" hidden="1">
      <c r="A1479" s="1" t="s">
        <v>642</v>
      </c>
    </row>
    <row r="1480" hidden="1">
      <c r="A1480" s="1" t="s">
        <v>643</v>
      </c>
    </row>
    <row r="1481">
      <c r="A1481" s="1" t="s">
        <v>1531</v>
      </c>
      <c r="B1481" s="2">
        <f>IFERROR(__xludf.DUMMYFUNCTION("SPLIT(A1481,""_"")"),2.0151007E7)</f>
        <v>20151007</v>
      </c>
      <c r="C1481" s="2" t="str">
        <f>IFERROR(__xludf.DUMMYFUNCTION("""COMPUTED_VALUE"""),"PKE")</f>
        <v>PKE</v>
      </c>
      <c r="D1481" s="2" t="str">
        <f>LEFT(B1481,4)</f>
        <v>2015</v>
      </c>
      <c r="E1481" s="2" t="str">
        <f>MID(B1481,5,2)</f>
        <v>10</v>
      </c>
      <c r="F1481" s="2" t="str">
        <f>RIGHT(B1481,2)</f>
        <v>07</v>
      </c>
      <c r="G1481" s="29">
        <f>DATE(D1481,E1481,F1481)</f>
        <v>42284</v>
      </c>
    </row>
    <row r="1482" hidden="1">
      <c r="A1482" s="1" t="s">
        <v>642</v>
      </c>
    </row>
    <row r="1483" hidden="1">
      <c r="A1483" s="1" t="s">
        <v>643</v>
      </c>
    </row>
    <row r="1484">
      <c r="A1484" s="1" t="s">
        <v>1532</v>
      </c>
      <c r="B1484" s="2">
        <f>IFERROR(__xludf.DUMMYFUNCTION("SPLIT(A1484,""_"")"),2.0151007E7)</f>
        <v>20151007</v>
      </c>
      <c r="C1484" s="2" t="str">
        <f>IFERROR(__xludf.DUMMYFUNCTION("""COMPUTED_VALUE"""),"STZ")</f>
        <v>STZ</v>
      </c>
      <c r="D1484" s="2" t="str">
        <f>LEFT(B1484,4)</f>
        <v>2015</v>
      </c>
      <c r="E1484" s="2" t="str">
        <f>MID(B1484,5,2)</f>
        <v>10</v>
      </c>
      <c r="F1484" s="2" t="str">
        <f>RIGHT(B1484,2)</f>
        <v>07</v>
      </c>
      <c r="G1484" s="29">
        <f>DATE(D1484,E1484,F1484)</f>
        <v>42284</v>
      </c>
    </row>
    <row r="1485" hidden="1">
      <c r="A1485" s="1" t="s">
        <v>642</v>
      </c>
    </row>
    <row r="1486" hidden="1">
      <c r="A1486" s="1" t="s">
        <v>643</v>
      </c>
    </row>
    <row r="1487">
      <c r="A1487" s="1" t="s">
        <v>1533</v>
      </c>
      <c r="B1487" s="2">
        <f>IFERROR(__xludf.DUMMYFUNCTION("SPLIT(A1487,""_"")"),2.0151014E7)</f>
        <v>20151014</v>
      </c>
      <c r="C1487" s="2" t="str">
        <f>IFERROR(__xludf.DUMMYFUNCTION("""COMPUTED_VALUE"""),"CSX")</f>
        <v>CSX</v>
      </c>
      <c r="D1487" s="2" t="str">
        <f>LEFT(B1487,4)</f>
        <v>2015</v>
      </c>
      <c r="E1487" s="2" t="str">
        <f>MID(B1487,5,2)</f>
        <v>10</v>
      </c>
      <c r="F1487" s="2" t="str">
        <f>RIGHT(B1487,2)</f>
        <v>14</v>
      </c>
      <c r="G1487" s="29">
        <f>DATE(D1487,E1487,F1487)</f>
        <v>42291</v>
      </c>
    </row>
    <row r="1488" hidden="1">
      <c r="A1488" s="1" t="s">
        <v>642</v>
      </c>
    </row>
    <row r="1489" hidden="1">
      <c r="A1489" s="1" t="s">
        <v>643</v>
      </c>
    </row>
    <row r="1490">
      <c r="A1490" s="1" t="s">
        <v>1534</v>
      </c>
      <c r="B1490" s="2">
        <f>IFERROR(__xludf.DUMMYFUNCTION("SPLIT(A1490,""_"")"),2.0151014E7)</f>
        <v>20151014</v>
      </c>
      <c r="C1490" s="2" t="str">
        <f>IFERROR(__xludf.DUMMYFUNCTION("""COMPUTED_VALUE"""),"WFC")</f>
        <v>WFC</v>
      </c>
      <c r="D1490" s="2" t="str">
        <f>LEFT(B1490,4)</f>
        <v>2015</v>
      </c>
      <c r="E1490" s="2" t="str">
        <f>MID(B1490,5,2)</f>
        <v>10</v>
      </c>
      <c r="F1490" s="2" t="str">
        <f>RIGHT(B1490,2)</f>
        <v>14</v>
      </c>
      <c r="G1490" s="29">
        <f>DATE(D1490,E1490,F1490)</f>
        <v>42291</v>
      </c>
    </row>
    <row r="1491" hidden="1">
      <c r="A1491" s="1" t="s">
        <v>642</v>
      </c>
    </row>
    <row r="1492" hidden="1">
      <c r="A1492" s="1" t="s">
        <v>643</v>
      </c>
    </row>
    <row r="1493">
      <c r="A1493" s="1" t="s">
        <v>1535</v>
      </c>
      <c r="B1493" s="2">
        <f>IFERROR(__xludf.DUMMYFUNCTION("SPLIT(A1493,""_"")"),2.0151014E7)</f>
        <v>20151014</v>
      </c>
      <c r="C1493" s="2" t="str">
        <f>IFERROR(__xludf.DUMMYFUNCTION("""COMPUTED_VALUE"""),"XLNX")</f>
        <v>XLNX</v>
      </c>
      <c r="D1493" s="2" t="str">
        <f>LEFT(B1493,4)</f>
        <v>2015</v>
      </c>
      <c r="E1493" s="2" t="str">
        <f>MID(B1493,5,2)</f>
        <v>10</v>
      </c>
      <c r="F1493" s="2" t="str">
        <f>RIGHT(B1493,2)</f>
        <v>14</v>
      </c>
      <c r="G1493" s="29">
        <f>DATE(D1493,E1493,F1493)</f>
        <v>42291</v>
      </c>
    </row>
    <row r="1494" hidden="1">
      <c r="A1494" s="1" t="s">
        <v>642</v>
      </c>
    </row>
    <row r="1495" hidden="1">
      <c r="A1495" s="1" t="s">
        <v>643</v>
      </c>
    </row>
    <row r="1496">
      <c r="A1496" s="1" t="s">
        <v>1536</v>
      </c>
      <c r="B1496" s="2">
        <f>IFERROR(__xludf.DUMMYFUNCTION("SPLIT(A1496,""_"")"),2.0151015E7)</f>
        <v>20151015</v>
      </c>
      <c r="C1496" s="2" t="str">
        <f>IFERROR(__xludf.DUMMYFUNCTION("""COMPUTED_VALUE"""),"KEY")</f>
        <v>KEY</v>
      </c>
      <c r="D1496" s="2" t="str">
        <f>LEFT(B1496,4)</f>
        <v>2015</v>
      </c>
      <c r="E1496" s="2" t="str">
        <f>MID(B1496,5,2)</f>
        <v>10</v>
      </c>
      <c r="F1496" s="2" t="str">
        <f>RIGHT(B1496,2)</f>
        <v>15</v>
      </c>
      <c r="G1496" s="29">
        <f>DATE(D1496,E1496,F1496)</f>
        <v>42292</v>
      </c>
    </row>
    <row r="1497" hidden="1">
      <c r="A1497" s="1" t="s">
        <v>642</v>
      </c>
    </row>
    <row r="1498" hidden="1">
      <c r="A1498" s="1" t="s">
        <v>643</v>
      </c>
    </row>
    <row r="1499">
      <c r="A1499" s="1" t="s">
        <v>1537</v>
      </c>
      <c r="B1499" s="2">
        <f>IFERROR(__xludf.DUMMYFUNCTION("SPLIT(A1499,""_"")"),2.0151015E7)</f>
        <v>20151015</v>
      </c>
      <c r="C1499" s="2" t="str">
        <f>IFERROR(__xludf.DUMMYFUNCTION("""COMPUTED_VALUE"""),"LNN")</f>
        <v>LNN</v>
      </c>
      <c r="D1499" s="2" t="str">
        <f>LEFT(B1499,4)</f>
        <v>2015</v>
      </c>
      <c r="E1499" s="2" t="str">
        <f>MID(B1499,5,2)</f>
        <v>10</v>
      </c>
      <c r="F1499" s="2" t="str">
        <f>RIGHT(B1499,2)</f>
        <v>15</v>
      </c>
      <c r="G1499" s="29">
        <f>DATE(D1499,E1499,F1499)</f>
        <v>42292</v>
      </c>
    </row>
    <row r="1500" hidden="1">
      <c r="A1500" s="1" t="s">
        <v>642</v>
      </c>
    </row>
    <row r="1501" hidden="1">
      <c r="A1501" s="1" t="s">
        <v>643</v>
      </c>
    </row>
    <row r="1502">
      <c r="A1502" s="1" t="s">
        <v>1538</v>
      </c>
      <c r="B1502" s="2">
        <f>IFERROR(__xludf.DUMMYFUNCTION("SPLIT(A1502,""_"")"),2.0151015E7)</f>
        <v>20151015</v>
      </c>
      <c r="C1502" s="2" t="str">
        <f>IFERROR(__xludf.DUMMYFUNCTION("""COMPUTED_VALUE"""),"PPG")</f>
        <v>PPG</v>
      </c>
      <c r="D1502" s="2" t="str">
        <f>LEFT(B1502,4)</f>
        <v>2015</v>
      </c>
      <c r="E1502" s="2" t="str">
        <f>MID(B1502,5,2)</f>
        <v>10</v>
      </c>
      <c r="F1502" s="2" t="str">
        <f>RIGHT(B1502,2)</f>
        <v>15</v>
      </c>
      <c r="G1502" s="29">
        <f>DATE(D1502,E1502,F1502)</f>
        <v>42292</v>
      </c>
    </row>
    <row r="1503" hidden="1">
      <c r="A1503" s="1" t="s">
        <v>642</v>
      </c>
    </row>
    <row r="1504" hidden="1">
      <c r="A1504" s="1" t="s">
        <v>643</v>
      </c>
    </row>
    <row r="1505">
      <c r="A1505" s="1" t="s">
        <v>1539</v>
      </c>
      <c r="B1505" s="2">
        <f>IFERROR(__xludf.DUMMYFUNCTION("SPLIT(A1505,""_"")"),2.0151015E7)</f>
        <v>20151015</v>
      </c>
      <c r="C1505" s="2" t="str">
        <f>IFERROR(__xludf.DUMMYFUNCTION("""COMPUTED_VALUE"""),"UFPI")</f>
        <v>UFPI</v>
      </c>
      <c r="D1505" s="2" t="str">
        <f>LEFT(B1505,4)</f>
        <v>2015</v>
      </c>
      <c r="E1505" s="2" t="str">
        <f>MID(B1505,5,2)</f>
        <v>10</v>
      </c>
      <c r="F1505" s="2" t="str">
        <f>RIGHT(B1505,2)</f>
        <v>15</v>
      </c>
      <c r="G1505" s="29">
        <f>DATE(D1505,E1505,F1505)</f>
        <v>42292</v>
      </c>
    </row>
    <row r="1506" hidden="1">
      <c r="A1506" s="1" t="s">
        <v>642</v>
      </c>
    </row>
    <row r="1507" hidden="1">
      <c r="A1507" s="1" t="s">
        <v>643</v>
      </c>
    </row>
    <row r="1508">
      <c r="A1508" s="1" t="s">
        <v>1540</v>
      </c>
      <c r="B1508" s="2">
        <f>IFERROR(__xludf.DUMMYFUNCTION("SPLIT(A1508,""_"")"),2.0151015E7)</f>
        <v>20151015</v>
      </c>
      <c r="C1508" s="2" t="str">
        <f>IFERROR(__xludf.DUMMYFUNCTION("""COMPUTED_VALUE"""),"USB")</f>
        <v>USB</v>
      </c>
      <c r="D1508" s="2" t="str">
        <f>LEFT(B1508,4)</f>
        <v>2015</v>
      </c>
      <c r="E1508" s="2" t="str">
        <f>MID(B1508,5,2)</f>
        <v>10</v>
      </c>
      <c r="F1508" s="2" t="str">
        <f>RIGHT(B1508,2)</f>
        <v>15</v>
      </c>
      <c r="G1508" s="29">
        <f>DATE(D1508,E1508,F1508)</f>
        <v>42292</v>
      </c>
    </row>
    <row r="1509" hidden="1">
      <c r="A1509" s="1" t="s">
        <v>642</v>
      </c>
    </row>
    <row r="1510" hidden="1">
      <c r="A1510" s="1" t="s">
        <v>643</v>
      </c>
    </row>
    <row r="1511">
      <c r="A1511" s="1" t="s">
        <v>1541</v>
      </c>
      <c r="B1511" s="2">
        <f>IFERROR(__xludf.DUMMYFUNCTION("SPLIT(A1511,""_"")"),2.0151015E7)</f>
        <v>20151015</v>
      </c>
      <c r="C1511" s="2" t="str">
        <f>IFERROR(__xludf.DUMMYFUNCTION("""COMPUTED_VALUE"""),"WYNN")</f>
        <v>WYNN</v>
      </c>
      <c r="D1511" s="2" t="str">
        <f>LEFT(B1511,4)</f>
        <v>2015</v>
      </c>
      <c r="E1511" s="2" t="str">
        <f>MID(B1511,5,2)</f>
        <v>10</v>
      </c>
      <c r="F1511" s="2" t="str">
        <f>RIGHT(B1511,2)</f>
        <v>15</v>
      </c>
      <c r="G1511" s="29">
        <f>DATE(D1511,E1511,F1511)</f>
        <v>42292</v>
      </c>
    </row>
    <row r="1512" hidden="1">
      <c r="A1512" s="1" t="s">
        <v>642</v>
      </c>
    </row>
    <row r="1513" hidden="1">
      <c r="A1513" s="1" t="s">
        <v>643</v>
      </c>
    </row>
    <row r="1514">
      <c r="A1514" s="1" t="s">
        <v>1542</v>
      </c>
      <c r="B1514" s="2">
        <f>IFERROR(__xludf.DUMMYFUNCTION("SPLIT(A1514,""_"")"),2.015102E7)</f>
        <v>20151020</v>
      </c>
      <c r="C1514" s="2" t="str">
        <f>IFERROR(__xludf.DUMMYFUNCTION("""COMPUTED_VALUE"""),"DOV")</f>
        <v>DOV</v>
      </c>
      <c r="D1514" s="2" t="str">
        <f>LEFT(B1514,4)</f>
        <v>2015</v>
      </c>
      <c r="E1514" s="2" t="str">
        <f>MID(B1514,5,2)</f>
        <v>10</v>
      </c>
      <c r="F1514" s="2" t="str">
        <f>RIGHT(B1514,2)</f>
        <v>20</v>
      </c>
      <c r="G1514" s="29">
        <f>DATE(D1514,E1514,F1514)</f>
        <v>42297</v>
      </c>
    </row>
    <row r="1515" hidden="1">
      <c r="A1515" s="1" t="s">
        <v>642</v>
      </c>
    </row>
    <row r="1516" hidden="1">
      <c r="A1516" s="1" t="s">
        <v>643</v>
      </c>
    </row>
    <row r="1517">
      <c r="A1517" s="1" t="s">
        <v>1543</v>
      </c>
      <c r="B1517" s="2">
        <f>IFERROR(__xludf.DUMMYFUNCTION("SPLIT(A1517,""_"")"),2.015102E7)</f>
        <v>20151020</v>
      </c>
      <c r="C1517" s="2" t="str">
        <f>IFERROR(__xludf.DUMMYFUNCTION("""COMPUTED_VALUE"""),"FITB")</f>
        <v>FITB</v>
      </c>
      <c r="D1517" s="2" t="str">
        <f>LEFT(B1517,4)</f>
        <v>2015</v>
      </c>
      <c r="E1517" s="2" t="str">
        <f>MID(B1517,5,2)</f>
        <v>10</v>
      </c>
      <c r="F1517" s="2" t="str">
        <f>RIGHT(B1517,2)</f>
        <v>20</v>
      </c>
      <c r="G1517" s="29">
        <f>DATE(D1517,E1517,F1517)</f>
        <v>42297</v>
      </c>
    </row>
    <row r="1518" hidden="1">
      <c r="A1518" s="1" t="s">
        <v>642</v>
      </c>
    </row>
    <row r="1519" hidden="1">
      <c r="A1519" s="1" t="s">
        <v>643</v>
      </c>
    </row>
    <row r="1520">
      <c r="A1520" s="1" t="s">
        <v>1544</v>
      </c>
      <c r="B1520" s="2">
        <f>IFERROR(__xludf.DUMMYFUNCTION("SPLIT(A1520,""_"")"),2.015102E7)</f>
        <v>20151020</v>
      </c>
      <c r="C1520" s="2" t="str">
        <f>IFERROR(__xludf.DUMMYFUNCTION("""COMPUTED_VALUE"""),"IBKR")</f>
        <v>IBKR</v>
      </c>
      <c r="D1520" s="2" t="str">
        <f>LEFT(B1520,4)</f>
        <v>2015</v>
      </c>
      <c r="E1520" s="2" t="str">
        <f>MID(B1520,5,2)</f>
        <v>10</v>
      </c>
      <c r="F1520" s="2" t="str">
        <f>RIGHT(B1520,2)</f>
        <v>20</v>
      </c>
      <c r="G1520" s="29">
        <f>DATE(D1520,E1520,F1520)</f>
        <v>42297</v>
      </c>
    </row>
    <row r="1521" hidden="1">
      <c r="A1521" s="1" t="s">
        <v>642</v>
      </c>
    </row>
    <row r="1522" hidden="1">
      <c r="A1522" s="1" t="s">
        <v>643</v>
      </c>
    </row>
    <row r="1523">
      <c r="A1523" s="1" t="s">
        <v>1545</v>
      </c>
      <c r="B1523" s="2">
        <f>IFERROR(__xludf.DUMMYFUNCTION("SPLIT(A1523,""_"")"),2.015102E7)</f>
        <v>20151020</v>
      </c>
      <c r="C1523" s="2" t="str">
        <f>IFERROR(__xludf.DUMMYFUNCTION("""COMPUTED_VALUE"""),"PNR")</f>
        <v>PNR</v>
      </c>
      <c r="D1523" s="2" t="str">
        <f>LEFT(B1523,4)</f>
        <v>2015</v>
      </c>
      <c r="E1523" s="2" t="str">
        <f>MID(B1523,5,2)</f>
        <v>10</v>
      </c>
      <c r="F1523" s="2" t="str">
        <f>RIGHT(B1523,2)</f>
        <v>20</v>
      </c>
      <c r="G1523" s="29">
        <f>DATE(D1523,E1523,F1523)</f>
        <v>42297</v>
      </c>
    </row>
    <row r="1524" hidden="1">
      <c r="A1524" s="1" t="s">
        <v>642</v>
      </c>
    </row>
    <row r="1525" hidden="1">
      <c r="A1525" s="1" t="s">
        <v>643</v>
      </c>
    </row>
    <row r="1526">
      <c r="A1526" s="1" t="s">
        <v>1546</v>
      </c>
      <c r="B1526" s="2">
        <f>IFERROR(__xludf.DUMMYFUNCTION("SPLIT(A1526,""_"")"),2.015102E7)</f>
        <v>20151020</v>
      </c>
      <c r="C1526" s="2" t="str">
        <f>IFERROR(__xludf.DUMMYFUNCTION("""COMPUTED_VALUE"""),"RLI")</f>
        <v>RLI</v>
      </c>
      <c r="D1526" s="2" t="str">
        <f>LEFT(B1526,4)</f>
        <v>2015</v>
      </c>
      <c r="E1526" s="2" t="str">
        <f>MID(B1526,5,2)</f>
        <v>10</v>
      </c>
      <c r="F1526" s="2" t="str">
        <f>RIGHT(B1526,2)</f>
        <v>20</v>
      </c>
      <c r="G1526" s="29">
        <f>DATE(D1526,E1526,F1526)</f>
        <v>42297</v>
      </c>
    </row>
    <row r="1527" hidden="1">
      <c r="A1527" s="1" t="s">
        <v>642</v>
      </c>
    </row>
    <row r="1528" hidden="1">
      <c r="A1528" s="1" t="s">
        <v>643</v>
      </c>
    </row>
    <row r="1529">
      <c r="A1529" s="1" t="s">
        <v>1547</v>
      </c>
      <c r="B1529" s="2">
        <f>IFERROR(__xludf.DUMMYFUNCTION("SPLIT(A1529,""_"")"),2.015102E7)</f>
        <v>20151020</v>
      </c>
      <c r="C1529" s="2" t="str">
        <f>IFERROR(__xludf.DUMMYFUNCTION("""COMPUTED_VALUE"""),"STBA")</f>
        <v>STBA</v>
      </c>
      <c r="D1529" s="2" t="str">
        <f>LEFT(B1529,4)</f>
        <v>2015</v>
      </c>
      <c r="E1529" s="2" t="str">
        <f>MID(B1529,5,2)</f>
        <v>10</v>
      </c>
      <c r="F1529" s="2" t="str">
        <f>RIGHT(B1529,2)</f>
        <v>20</v>
      </c>
      <c r="G1529" s="29">
        <f>DATE(D1529,E1529,F1529)</f>
        <v>42297</v>
      </c>
    </row>
    <row r="1530" hidden="1">
      <c r="A1530" s="1" t="s">
        <v>642</v>
      </c>
    </row>
    <row r="1531" hidden="1">
      <c r="A1531" s="1" t="s">
        <v>643</v>
      </c>
    </row>
    <row r="1532">
      <c r="A1532" s="1" t="s">
        <v>1548</v>
      </c>
      <c r="B1532" s="2">
        <f>IFERROR(__xludf.DUMMYFUNCTION("SPLIT(A1532,""_"")"),2.015102E7)</f>
        <v>20151020</v>
      </c>
      <c r="C1532" s="2" t="str">
        <f>IFERROR(__xludf.DUMMYFUNCTION("""COMPUTED_VALUE"""),"UTX")</f>
        <v>UTX</v>
      </c>
      <c r="D1532" s="2" t="str">
        <f>LEFT(B1532,4)</f>
        <v>2015</v>
      </c>
      <c r="E1532" s="2" t="str">
        <f>MID(B1532,5,2)</f>
        <v>10</v>
      </c>
      <c r="F1532" s="2" t="str">
        <f>RIGHT(B1532,2)</f>
        <v>20</v>
      </c>
      <c r="G1532" s="29">
        <f>DATE(D1532,E1532,F1532)</f>
        <v>42297</v>
      </c>
    </row>
    <row r="1533" hidden="1">
      <c r="A1533" s="1" t="s">
        <v>642</v>
      </c>
    </row>
    <row r="1534" hidden="1">
      <c r="A1534" s="1" t="s">
        <v>643</v>
      </c>
    </row>
    <row r="1535">
      <c r="A1535" s="1" t="s">
        <v>1549</v>
      </c>
      <c r="B1535" s="2">
        <f>IFERROR(__xludf.DUMMYFUNCTION("SPLIT(A1535,""_"")"),2.015102E7)</f>
        <v>20151020</v>
      </c>
      <c r="C1535" s="2" t="str">
        <f>IFERROR(__xludf.DUMMYFUNCTION("""COMPUTED_VALUE"""),"VZ")</f>
        <v>VZ</v>
      </c>
      <c r="D1535" s="2" t="str">
        <f>LEFT(B1535,4)</f>
        <v>2015</v>
      </c>
      <c r="E1535" s="2" t="str">
        <f>MID(B1535,5,2)</f>
        <v>10</v>
      </c>
      <c r="F1535" s="2" t="str">
        <f>RIGHT(B1535,2)</f>
        <v>20</v>
      </c>
      <c r="G1535" s="29">
        <f>DATE(D1535,E1535,F1535)</f>
        <v>42297</v>
      </c>
    </row>
    <row r="1536" hidden="1">
      <c r="A1536" s="1" t="s">
        <v>642</v>
      </c>
    </row>
    <row r="1537" hidden="1">
      <c r="A1537" s="1" t="s">
        <v>643</v>
      </c>
    </row>
    <row r="1538">
      <c r="A1538" s="1" t="s">
        <v>1550</v>
      </c>
      <c r="B1538" s="2">
        <f>IFERROR(__xludf.DUMMYFUNCTION("SPLIT(A1538,""_"")"),2.015102E7)</f>
        <v>20151020</v>
      </c>
      <c r="C1538" s="2" t="str">
        <f>IFERROR(__xludf.DUMMYFUNCTION("""COMPUTED_VALUE"""),"WWW")</f>
        <v>WWW</v>
      </c>
      <c r="D1538" s="2" t="str">
        <f>LEFT(B1538,4)</f>
        <v>2015</v>
      </c>
      <c r="E1538" s="2" t="str">
        <f>MID(B1538,5,2)</f>
        <v>10</v>
      </c>
      <c r="F1538" s="2" t="str">
        <f>RIGHT(B1538,2)</f>
        <v>20</v>
      </c>
      <c r="G1538" s="29">
        <f>DATE(D1538,E1538,F1538)</f>
        <v>42297</v>
      </c>
    </row>
    <row r="1539" hidden="1">
      <c r="A1539" s="1" t="s">
        <v>642</v>
      </c>
    </row>
    <row r="1540" hidden="1">
      <c r="A1540" s="1" t="s">
        <v>643</v>
      </c>
    </row>
    <row r="1541">
      <c r="A1541" s="1" t="s">
        <v>1551</v>
      </c>
      <c r="B1541" s="2">
        <f>IFERROR(__xludf.DUMMYFUNCTION("SPLIT(A1541,""_"")"),2.0151021E7)</f>
        <v>20151021</v>
      </c>
      <c r="C1541" s="2" t="str">
        <f>IFERROR(__xludf.DUMMYFUNCTION("""COMPUTED_VALUE"""),"AXP")</f>
        <v>AXP</v>
      </c>
      <c r="D1541" s="2" t="str">
        <f>LEFT(B1541,4)</f>
        <v>2015</v>
      </c>
      <c r="E1541" s="2" t="str">
        <f>MID(B1541,5,2)</f>
        <v>10</v>
      </c>
      <c r="F1541" s="2" t="str">
        <f>RIGHT(B1541,2)</f>
        <v>21</v>
      </c>
      <c r="G1541" s="29">
        <f>DATE(D1541,E1541,F1541)</f>
        <v>42298</v>
      </c>
    </row>
    <row r="1542" hidden="1">
      <c r="A1542" s="1" t="s">
        <v>642</v>
      </c>
    </row>
    <row r="1543" hidden="1">
      <c r="A1543" s="1" t="s">
        <v>643</v>
      </c>
    </row>
    <row r="1544">
      <c r="A1544" s="1" t="s">
        <v>1552</v>
      </c>
      <c r="B1544" s="2">
        <f>IFERROR(__xludf.DUMMYFUNCTION("SPLIT(A1544,""_"")"),2.0151021E7)</f>
        <v>20151021</v>
      </c>
      <c r="C1544" s="2" t="str">
        <f>IFERROR(__xludf.DUMMYFUNCTION("""COMPUTED_VALUE"""),"CA")</f>
        <v>CA</v>
      </c>
      <c r="D1544" s="2" t="str">
        <f>LEFT(B1544,4)</f>
        <v>2015</v>
      </c>
      <c r="E1544" s="2" t="str">
        <f>MID(B1544,5,2)</f>
        <v>10</v>
      </c>
      <c r="F1544" s="2" t="str">
        <f>RIGHT(B1544,2)</f>
        <v>21</v>
      </c>
      <c r="G1544" s="29">
        <f>DATE(D1544,E1544,F1544)</f>
        <v>42298</v>
      </c>
    </row>
    <row r="1545" hidden="1">
      <c r="A1545" s="1" t="s">
        <v>642</v>
      </c>
    </row>
    <row r="1546" hidden="1">
      <c r="A1546" s="1" t="s">
        <v>643</v>
      </c>
    </row>
    <row r="1547">
      <c r="A1547" s="1" t="s">
        <v>1553</v>
      </c>
      <c r="B1547" s="2">
        <f>IFERROR(__xludf.DUMMYFUNCTION("SPLIT(A1547,""_"")"),2.0151021E7)</f>
        <v>20151021</v>
      </c>
      <c r="C1547" s="2" t="str">
        <f>IFERROR(__xludf.DUMMYFUNCTION("""COMPUTED_VALUE"""),"ELY")</f>
        <v>ELY</v>
      </c>
      <c r="D1547" s="2" t="str">
        <f>LEFT(B1547,4)</f>
        <v>2015</v>
      </c>
      <c r="E1547" s="2" t="str">
        <f>MID(B1547,5,2)</f>
        <v>10</v>
      </c>
      <c r="F1547" s="2" t="str">
        <f>RIGHT(B1547,2)</f>
        <v>21</v>
      </c>
      <c r="G1547" s="29">
        <f>DATE(D1547,E1547,F1547)</f>
        <v>42298</v>
      </c>
    </row>
    <row r="1548" hidden="1">
      <c r="A1548" s="1" t="s">
        <v>642</v>
      </c>
    </row>
    <row r="1549" hidden="1">
      <c r="A1549" s="1" t="s">
        <v>643</v>
      </c>
    </row>
    <row r="1550">
      <c r="A1550" s="1" t="s">
        <v>1554</v>
      </c>
      <c r="B1550" s="2">
        <f>IFERROR(__xludf.DUMMYFUNCTION("SPLIT(A1550,""_"")"),2.0151021E7)</f>
        <v>20151021</v>
      </c>
      <c r="C1550" s="2" t="str">
        <f>IFERROR(__xludf.DUMMYFUNCTION("""COMPUTED_VALUE"""),"EXPO")</f>
        <v>EXPO</v>
      </c>
      <c r="D1550" s="2" t="str">
        <f>LEFT(B1550,4)</f>
        <v>2015</v>
      </c>
      <c r="E1550" s="2" t="str">
        <f>MID(B1550,5,2)</f>
        <v>10</v>
      </c>
      <c r="F1550" s="2" t="str">
        <f>RIGHT(B1550,2)</f>
        <v>21</v>
      </c>
      <c r="G1550" s="29">
        <f>DATE(D1550,E1550,F1550)</f>
        <v>42298</v>
      </c>
    </row>
    <row r="1551" hidden="1">
      <c r="A1551" s="1" t="s">
        <v>642</v>
      </c>
    </row>
    <row r="1552" hidden="1">
      <c r="A1552" s="1" t="s">
        <v>643</v>
      </c>
    </row>
    <row r="1553">
      <c r="A1553" s="1" t="s">
        <v>1555</v>
      </c>
      <c r="B1553" s="2">
        <f>IFERROR(__xludf.DUMMYFUNCTION("SPLIT(A1553,""_"")"),2.0151021E7)</f>
        <v>20151021</v>
      </c>
      <c r="C1553" s="2" t="str">
        <f>IFERROR(__xludf.DUMMYFUNCTION("""COMPUTED_VALUE"""),"SEIC")</f>
        <v>SEIC</v>
      </c>
      <c r="D1553" s="2" t="str">
        <f>LEFT(B1553,4)</f>
        <v>2015</v>
      </c>
      <c r="E1553" s="2" t="str">
        <f>MID(B1553,5,2)</f>
        <v>10</v>
      </c>
      <c r="F1553" s="2" t="str">
        <f>RIGHT(B1553,2)</f>
        <v>21</v>
      </c>
      <c r="G1553" s="29">
        <f>DATE(D1553,E1553,F1553)</f>
        <v>42298</v>
      </c>
    </row>
    <row r="1554" hidden="1">
      <c r="A1554" s="1" t="s">
        <v>642</v>
      </c>
    </row>
    <row r="1555" hidden="1">
      <c r="A1555" s="1" t="s">
        <v>643</v>
      </c>
    </row>
    <row r="1556">
      <c r="A1556" s="1" t="s">
        <v>1556</v>
      </c>
      <c r="B1556" s="2">
        <f>IFERROR(__xludf.DUMMYFUNCTION("SPLIT(A1556,""_"")"),2.0151021E7)</f>
        <v>20151021</v>
      </c>
      <c r="C1556" s="2" t="str">
        <f>IFERROR(__xludf.DUMMYFUNCTION("""COMPUTED_VALUE"""),"SVU")</f>
        <v>SVU</v>
      </c>
      <c r="D1556" s="2" t="str">
        <f>LEFT(B1556,4)</f>
        <v>2015</v>
      </c>
      <c r="E1556" s="2" t="str">
        <f>MID(B1556,5,2)</f>
        <v>10</v>
      </c>
      <c r="F1556" s="2" t="str">
        <f>RIGHT(B1556,2)</f>
        <v>21</v>
      </c>
      <c r="G1556" s="29">
        <f>DATE(D1556,E1556,F1556)</f>
        <v>42298</v>
      </c>
    </row>
    <row r="1557" hidden="1">
      <c r="A1557" s="1" t="s">
        <v>642</v>
      </c>
    </row>
    <row r="1558" hidden="1">
      <c r="A1558" s="1" t="s">
        <v>643</v>
      </c>
    </row>
    <row r="1559">
      <c r="A1559" s="1" t="s">
        <v>1557</v>
      </c>
      <c r="B1559" s="2">
        <f>IFERROR(__xludf.DUMMYFUNCTION("SPLIT(A1559,""_"")"),2.0151022E7)</f>
        <v>20151022</v>
      </c>
      <c r="C1559" s="2" t="str">
        <f>IFERROR(__xludf.DUMMYFUNCTION("""COMPUTED_VALUE"""),"ALK")</f>
        <v>ALK</v>
      </c>
      <c r="D1559" s="2" t="str">
        <f>LEFT(B1559,4)</f>
        <v>2015</v>
      </c>
      <c r="E1559" s="2" t="str">
        <f>MID(B1559,5,2)</f>
        <v>10</v>
      </c>
      <c r="F1559" s="2" t="str">
        <f>RIGHT(B1559,2)</f>
        <v>22</v>
      </c>
      <c r="G1559" s="29">
        <f>DATE(D1559,E1559,F1559)</f>
        <v>42299</v>
      </c>
    </row>
    <row r="1560" hidden="1">
      <c r="A1560" s="1" t="s">
        <v>642</v>
      </c>
    </row>
    <row r="1561" hidden="1">
      <c r="A1561" s="1" t="s">
        <v>643</v>
      </c>
    </row>
    <row r="1562">
      <c r="A1562" s="1" t="s">
        <v>1558</v>
      </c>
      <c r="B1562" s="2">
        <f>IFERROR(__xludf.DUMMYFUNCTION("SPLIT(A1562,""_"")"),2.0151022E7)</f>
        <v>20151022</v>
      </c>
      <c r="C1562" s="2" t="str">
        <f>IFERROR(__xludf.DUMMYFUNCTION("""COMPUTED_VALUE"""),"AMZN")</f>
        <v>AMZN</v>
      </c>
      <c r="D1562" s="2" t="str">
        <f>LEFT(B1562,4)</f>
        <v>2015</v>
      </c>
      <c r="E1562" s="2" t="str">
        <f>MID(B1562,5,2)</f>
        <v>10</v>
      </c>
      <c r="F1562" s="2" t="str">
        <f>RIGHT(B1562,2)</f>
        <v>22</v>
      </c>
      <c r="G1562" s="29">
        <f>DATE(D1562,E1562,F1562)</f>
        <v>42299</v>
      </c>
    </row>
    <row r="1563" hidden="1">
      <c r="A1563" s="1" t="s">
        <v>642</v>
      </c>
    </row>
    <row r="1564" hidden="1">
      <c r="A1564" s="1" t="s">
        <v>643</v>
      </c>
    </row>
    <row r="1565">
      <c r="A1565" s="1" t="s">
        <v>1559</v>
      </c>
      <c r="B1565" s="2">
        <f>IFERROR(__xludf.DUMMYFUNCTION("SPLIT(A1565,""_"")"),2.0151022E7)</f>
        <v>20151022</v>
      </c>
      <c r="C1565" s="2" t="str">
        <f>IFERROR(__xludf.DUMMYFUNCTION("""COMPUTED_VALUE"""),"BEN")</f>
        <v>BEN</v>
      </c>
      <c r="D1565" s="2" t="str">
        <f>LEFT(B1565,4)</f>
        <v>2015</v>
      </c>
      <c r="E1565" s="2" t="str">
        <f>MID(B1565,5,2)</f>
        <v>10</v>
      </c>
      <c r="F1565" s="2" t="str">
        <f>RIGHT(B1565,2)</f>
        <v>22</v>
      </c>
      <c r="G1565" s="29">
        <f>DATE(D1565,E1565,F1565)</f>
        <v>42299</v>
      </c>
    </row>
    <row r="1566" hidden="1">
      <c r="A1566" s="1" t="s">
        <v>642</v>
      </c>
    </row>
    <row r="1567" hidden="1">
      <c r="A1567" s="1" t="s">
        <v>643</v>
      </c>
    </row>
    <row r="1568">
      <c r="A1568" s="1" t="s">
        <v>1560</v>
      </c>
      <c r="B1568" s="2">
        <f>IFERROR(__xludf.DUMMYFUNCTION("SPLIT(A1568,""_"")"),2.0151022E7)</f>
        <v>20151022</v>
      </c>
      <c r="C1568" s="2" t="str">
        <f>IFERROR(__xludf.DUMMYFUNCTION("""COMPUTED_VALUE"""),"BJRI")</f>
        <v>BJRI</v>
      </c>
      <c r="D1568" s="2" t="str">
        <f>LEFT(B1568,4)</f>
        <v>2015</v>
      </c>
      <c r="E1568" s="2" t="str">
        <f>MID(B1568,5,2)</f>
        <v>10</v>
      </c>
      <c r="F1568" s="2" t="str">
        <f>RIGHT(B1568,2)</f>
        <v>22</v>
      </c>
      <c r="G1568" s="29">
        <f>DATE(D1568,E1568,F1568)</f>
        <v>42299</v>
      </c>
    </row>
    <row r="1569" hidden="1">
      <c r="A1569" s="1" t="s">
        <v>642</v>
      </c>
    </row>
    <row r="1570" hidden="1">
      <c r="A1570" s="1" t="s">
        <v>643</v>
      </c>
    </row>
    <row r="1571">
      <c r="A1571" s="1" t="s">
        <v>1561</v>
      </c>
      <c r="B1571" s="2">
        <f>IFERROR(__xludf.DUMMYFUNCTION("SPLIT(A1571,""_"")"),2.0151022E7)</f>
        <v>20151022</v>
      </c>
      <c r="C1571" s="2" t="str">
        <f>IFERROR(__xludf.DUMMYFUNCTION("""COMPUTED_VALUE"""),"BMS")</f>
        <v>BMS</v>
      </c>
      <c r="D1571" s="2" t="str">
        <f>LEFT(B1571,4)</f>
        <v>2015</v>
      </c>
      <c r="E1571" s="2" t="str">
        <f>MID(B1571,5,2)</f>
        <v>10</v>
      </c>
      <c r="F1571" s="2" t="str">
        <f>RIGHT(B1571,2)</f>
        <v>22</v>
      </c>
      <c r="G1571" s="29">
        <f>DATE(D1571,E1571,F1571)</f>
        <v>42299</v>
      </c>
    </row>
    <row r="1572" hidden="1">
      <c r="A1572" s="1" t="s">
        <v>642</v>
      </c>
    </row>
    <row r="1573" hidden="1">
      <c r="A1573" s="1" t="s">
        <v>643</v>
      </c>
    </row>
    <row r="1574">
      <c r="A1574" s="1" t="s">
        <v>1562</v>
      </c>
      <c r="B1574" s="2">
        <f>IFERROR(__xludf.DUMMYFUNCTION("SPLIT(A1574,""_"")"),2.0151022E7)</f>
        <v>20151022</v>
      </c>
      <c r="C1574" s="2" t="str">
        <f>IFERROR(__xludf.DUMMYFUNCTION("""COMPUTED_VALUE"""),"CBU")</f>
        <v>CBU</v>
      </c>
      <c r="D1574" s="2" t="str">
        <f>LEFT(B1574,4)</f>
        <v>2015</v>
      </c>
      <c r="E1574" s="2" t="str">
        <f>MID(B1574,5,2)</f>
        <v>10</v>
      </c>
      <c r="F1574" s="2" t="str">
        <f>RIGHT(B1574,2)</f>
        <v>22</v>
      </c>
      <c r="G1574" s="29">
        <f>DATE(D1574,E1574,F1574)</f>
        <v>42299</v>
      </c>
    </row>
    <row r="1575" hidden="1">
      <c r="A1575" s="1" t="s">
        <v>642</v>
      </c>
    </row>
    <row r="1576" hidden="1">
      <c r="A1576" s="1" t="s">
        <v>643</v>
      </c>
    </row>
    <row r="1577">
      <c r="A1577" s="1" t="s">
        <v>1563</v>
      </c>
      <c r="B1577" s="2">
        <f>IFERROR(__xludf.DUMMYFUNCTION("SPLIT(A1577,""_"")"),2.0151022E7)</f>
        <v>20151022</v>
      </c>
      <c r="C1577" s="2" t="str">
        <f>IFERROR(__xludf.DUMMYFUNCTION("""COMPUTED_VALUE"""),"CRS")</f>
        <v>CRS</v>
      </c>
      <c r="D1577" s="2" t="str">
        <f>LEFT(B1577,4)</f>
        <v>2015</v>
      </c>
      <c r="E1577" s="2" t="str">
        <f>MID(B1577,5,2)</f>
        <v>10</v>
      </c>
      <c r="F1577" s="2" t="str">
        <f>RIGHT(B1577,2)</f>
        <v>22</v>
      </c>
      <c r="G1577" s="29">
        <f>DATE(D1577,E1577,F1577)</f>
        <v>42299</v>
      </c>
    </row>
    <row r="1578" hidden="1">
      <c r="A1578" s="1" t="s">
        <v>642</v>
      </c>
    </row>
    <row r="1579" hidden="1">
      <c r="A1579" s="1" t="s">
        <v>643</v>
      </c>
    </row>
    <row r="1580">
      <c r="A1580" s="1" t="s">
        <v>1564</v>
      </c>
      <c r="B1580" s="2">
        <f>IFERROR(__xludf.DUMMYFUNCTION("SPLIT(A1580,""_"")"),2.0151022E7)</f>
        <v>20151022</v>
      </c>
      <c r="C1580" s="2" t="str">
        <f>IFERROR(__xludf.DUMMYFUNCTION("""COMPUTED_VALUE"""),"CY")</f>
        <v>CY</v>
      </c>
      <c r="D1580" s="2" t="str">
        <f>LEFT(B1580,4)</f>
        <v>2015</v>
      </c>
      <c r="E1580" s="2" t="str">
        <f>MID(B1580,5,2)</f>
        <v>10</v>
      </c>
      <c r="F1580" s="2" t="str">
        <f>RIGHT(B1580,2)</f>
        <v>22</v>
      </c>
      <c r="G1580" s="29">
        <f>DATE(D1580,E1580,F1580)</f>
        <v>42299</v>
      </c>
    </row>
    <row r="1581" hidden="1">
      <c r="A1581" s="1" t="s">
        <v>642</v>
      </c>
    </row>
    <row r="1582" hidden="1">
      <c r="A1582" s="1" t="s">
        <v>643</v>
      </c>
    </row>
    <row r="1583">
      <c r="A1583" s="1" t="s">
        <v>1565</v>
      </c>
      <c r="B1583" s="2">
        <f>IFERROR(__xludf.DUMMYFUNCTION("SPLIT(A1583,""_"")"),2.0151022E7)</f>
        <v>20151022</v>
      </c>
      <c r="C1583" s="2" t="str">
        <f>IFERROR(__xludf.DUMMYFUNCTION("""COMPUTED_VALUE"""),"DGX")</f>
        <v>DGX</v>
      </c>
      <c r="D1583" s="2" t="str">
        <f>LEFT(B1583,4)</f>
        <v>2015</v>
      </c>
      <c r="E1583" s="2" t="str">
        <f>MID(B1583,5,2)</f>
        <v>10</v>
      </c>
      <c r="F1583" s="2" t="str">
        <f>RIGHT(B1583,2)</f>
        <v>22</v>
      </c>
      <c r="G1583" s="29">
        <f>DATE(D1583,E1583,F1583)</f>
        <v>42299</v>
      </c>
    </row>
    <row r="1584" hidden="1">
      <c r="A1584" s="1" t="s">
        <v>642</v>
      </c>
    </row>
    <row r="1585" hidden="1">
      <c r="A1585" s="1" t="s">
        <v>643</v>
      </c>
    </row>
    <row r="1586">
      <c r="A1586" s="1" t="s">
        <v>1566</v>
      </c>
      <c r="B1586" s="2">
        <f>IFERROR(__xludf.DUMMYFUNCTION("SPLIT(A1586,""_"")"),2.0151022E7)</f>
        <v>20151022</v>
      </c>
      <c r="C1586" s="2" t="str">
        <f>IFERROR(__xludf.DUMMYFUNCTION("""COMPUTED_VALUE"""),"DHR")</f>
        <v>DHR</v>
      </c>
      <c r="D1586" s="2" t="str">
        <f>LEFT(B1586,4)</f>
        <v>2015</v>
      </c>
      <c r="E1586" s="2" t="str">
        <f>MID(B1586,5,2)</f>
        <v>10</v>
      </c>
      <c r="F1586" s="2" t="str">
        <f>RIGHT(B1586,2)</f>
        <v>22</v>
      </c>
      <c r="G1586" s="29">
        <f>DATE(D1586,E1586,F1586)</f>
        <v>42299</v>
      </c>
    </row>
    <row r="1587" hidden="1">
      <c r="A1587" s="1" t="s">
        <v>642</v>
      </c>
    </row>
    <row r="1588" hidden="1">
      <c r="A1588" s="1" t="s">
        <v>643</v>
      </c>
    </row>
    <row r="1589">
      <c r="A1589" s="1" t="s">
        <v>1567</v>
      </c>
      <c r="B1589" s="2">
        <f>IFERROR(__xludf.DUMMYFUNCTION("SPLIT(A1589,""_"")"),2.0151022E7)</f>
        <v>20151022</v>
      </c>
      <c r="C1589" s="2" t="str">
        <f>IFERROR(__xludf.DUMMYFUNCTION("""COMPUTED_VALUE"""),"EGHT")</f>
        <v>EGHT</v>
      </c>
      <c r="D1589" s="2" t="str">
        <f>LEFT(B1589,4)</f>
        <v>2015</v>
      </c>
      <c r="E1589" s="2" t="str">
        <f>MID(B1589,5,2)</f>
        <v>10</v>
      </c>
      <c r="F1589" s="2" t="str">
        <f>RIGHT(B1589,2)</f>
        <v>22</v>
      </c>
      <c r="G1589" s="29">
        <f>DATE(D1589,E1589,F1589)</f>
        <v>42299</v>
      </c>
    </row>
    <row r="1590" hidden="1">
      <c r="A1590" s="1" t="s">
        <v>642</v>
      </c>
    </row>
    <row r="1591" hidden="1">
      <c r="A1591" s="1" t="s">
        <v>643</v>
      </c>
    </row>
    <row r="1592">
      <c r="A1592" s="1" t="s">
        <v>1568</v>
      </c>
      <c r="B1592" s="2">
        <f>IFERROR(__xludf.DUMMYFUNCTION("SPLIT(A1592,""_"")"),2.0151022E7)</f>
        <v>20151022</v>
      </c>
      <c r="C1592" s="2" t="str">
        <f>IFERROR(__xludf.DUMMYFUNCTION("""COMPUTED_VALUE"""),"FAF")</f>
        <v>FAF</v>
      </c>
      <c r="D1592" s="2" t="str">
        <f>LEFT(B1592,4)</f>
        <v>2015</v>
      </c>
      <c r="E1592" s="2" t="str">
        <f>MID(B1592,5,2)</f>
        <v>10</v>
      </c>
      <c r="F1592" s="2" t="str">
        <f>RIGHT(B1592,2)</f>
        <v>22</v>
      </c>
      <c r="G1592" s="29">
        <f>DATE(D1592,E1592,F1592)</f>
        <v>42299</v>
      </c>
    </row>
    <row r="1593" hidden="1">
      <c r="A1593" s="1" t="s">
        <v>642</v>
      </c>
    </row>
    <row r="1594" hidden="1">
      <c r="A1594" s="1" t="s">
        <v>643</v>
      </c>
    </row>
    <row r="1595">
      <c r="A1595" s="1" t="s">
        <v>1569</v>
      </c>
      <c r="B1595" s="2">
        <f>IFERROR(__xludf.DUMMYFUNCTION("SPLIT(A1595,""_"")"),2.0151022E7)</f>
        <v>20151022</v>
      </c>
      <c r="C1595" s="2" t="str">
        <f>IFERROR(__xludf.DUMMYFUNCTION("""COMPUTED_VALUE"""),"HBAN")</f>
        <v>HBAN</v>
      </c>
      <c r="D1595" s="2" t="str">
        <f>LEFT(B1595,4)</f>
        <v>2015</v>
      </c>
      <c r="E1595" s="2" t="str">
        <f>MID(B1595,5,2)</f>
        <v>10</v>
      </c>
      <c r="F1595" s="2" t="str">
        <f>RIGHT(B1595,2)</f>
        <v>22</v>
      </c>
      <c r="G1595" s="29">
        <f>DATE(D1595,E1595,F1595)</f>
        <v>42299</v>
      </c>
    </row>
    <row r="1596" hidden="1">
      <c r="A1596" s="1" t="s">
        <v>642</v>
      </c>
    </row>
    <row r="1597" hidden="1">
      <c r="A1597" s="1" t="s">
        <v>643</v>
      </c>
    </row>
    <row r="1598">
      <c r="A1598" s="1" t="s">
        <v>1570</v>
      </c>
      <c r="B1598" s="2">
        <f>IFERROR(__xludf.DUMMYFUNCTION("SPLIT(A1598,""_"")"),2.0151022E7)</f>
        <v>20151022</v>
      </c>
      <c r="C1598" s="2" t="str">
        <f>IFERROR(__xludf.DUMMYFUNCTION("""COMPUTED_VALUE"""),"IVC")</f>
        <v>IVC</v>
      </c>
      <c r="D1598" s="2" t="str">
        <f>LEFT(B1598,4)</f>
        <v>2015</v>
      </c>
      <c r="E1598" s="2" t="str">
        <f>MID(B1598,5,2)</f>
        <v>10</v>
      </c>
      <c r="F1598" s="2" t="str">
        <f>RIGHT(B1598,2)</f>
        <v>22</v>
      </c>
      <c r="G1598" s="29">
        <f>DATE(D1598,E1598,F1598)</f>
        <v>42299</v>
      </c>
    </row>
    <row r="1599" hidden="1">
      <c r="A1599" s="1" t="s">
        <v>642</v>
      </c>
    </row>
    <row r="1600" hidden="1">
      <c r="A1600" s="1" t="s">
        <v>643</v>
      </c>
    </row>
    <row r="1601">
      <c r="A1601" s="1" t="s">
        <v>1571</v>
      </c>
      <c r="B1601" s="2">
        <f>IFERROR(__xludf.DUMMYFUNCTION("SPLIT(A1601,""_"")"),2.0151022E7)</f>
        <v>20151022</v>
      </c>
      <c r="C1601" s="2" t="str">
        <f>IFERROR(__xludf.DUMMYFUNCTION("""COMPUTED_VALUE"""),"LLY")</f>
        <v>LLY</v>
      </c>
      <c r="D1601" s="2" t="str">
        <f>LEFT(B1601,4)</f>
        <v>2015</v>
      </c>
      <c r="E1601" s="2" t="str">
        <f>MID(B1601,5,2)</f>
        <v>10</v>
      </c>
      <c r="F1601" s="2" t="str">
        <f>RIGHT(B1601,2)</f>
        <v>22</v>
      </c>
      <c r="G1601" s="29">
        <f>DATE(D1601,E1601,F1601)</f>
        <v>42299</v>
      </c>
    </row>
    <row r="1602" hidden="1">
      <c r="A1602" s="1" t="s">
        <v>642</v>
      </c>
    </row>
    <row r="1603" hidden="1">
      <c r="A1603" s="1" t="s">
        <v>643</v>
      </c>
    </row>
    <row r="1604">
      <c r="A1604" s="1" t="s">
        <v>1572</v>
      </c>
      <c r="B1604" s="2">
        <f>IFERROR(__xludf.DUMMYFUNCTION("SPLIT(A1604,""_"")"),2.0151022E7)</f>
        <v>20151022</v>
      </c>
      <c r="C1604" s="2" t="str">
        <f>IFERROR(__xludf.DUMMYFUNCTION("""COMPUTED_VALUE"""),"LOGM")</f>
        <v>LOGM</v>
      </c>
      <c r="D1604" s="2" t="str">
        <f>LEFT(B1604,4)</f>
        <v>2015</v>
      </c>
      <c r="E1604" s="2" t="str">
        <f>MID(B1604,5,2)</f>
        <v>10</v>
      </c>
      <c r="F1604" s="2" t="str">
        <f>RIGHT(B1604,2)</f>
        <v>22</v>
      </c>
      <c r="G1604" s="29">
        <f>DATE(D1604,E1604,F1604)</f>
        <v>42299</v>
      </c>
    </row>
    <row r="1605" hidden="1">
      <c r="A1605" s="1" t="s">
        <v>642</v>
      </c>
    </row>
    <row r="1606" hidden="1">
      <c r="A1606" s="1" t="s">
        <v>643</v>
      </c>
    </row>
    <row r="1607">
      <c r="A1607" s="1" t="s">
        <v>1573</v>
      </c>
      <c r="B1607" s="2">
        <f>IFERROR(__xludf.DUMMYFUNCTION("SPLIT(A1607,""_"")"),2.0151022E7)</f>
        <v>20151022</v>
      </c>
      <c r="C1607" s="2" t="str">
        <f>IFERROR(__xludf.DUMMYFUNCTION("""COMPUTED_VALUE"""),"MHO")</f>
        <v>MHO</v>
      </c>
      <c r="D1607" s="2" t="str">
        <f>LEFT(B1607,4)</f>
        <v>2015</v>
      </c>
      <c r="E1607" s="2" t="str">
        <f>MID(B1607,5,2)</f>
        <v>10</v>
      </c>
      <c r="F1607" s="2" t="str">
        <f>RIGHT(B1607,2)</f>
        <v>22</v>
      </c>
      <c r="G1607" s="29">
        <f>DATE(D1607,E1607,F1607)</f>
        <v>42299</v>
      </c>
    </row>
    <row r="1608" hidden="1">
      <c r="A1608" s="1" t="s">
        <v>642</v>
      </c>
    </row>
    <row r="1609" hidden="1">
      <c r="A1609" s="1" t="s">
        <v>643</v>
      </c>
    </row>
    <row r="1610">
      <c r="A1610" s="1" t="s">
        <v>1574</v>
      </c>
      <c r="B1610" s="2">
        <f>IFERROR(__xludf.DUMMYFUNCTION("SPLIT(A1610,""_"")"),2.0151022E7)</f>
        <v>20151022</v>
      </c>
      <c r="C1610" s="2" t="str">
        <f>IFERROR(__xludf.DUMMYFUNCTION("""COMPUTED_VALUE"""),"MMM")</f>
        <v>MMM</v>
      </c>
      <c r="D1610" s="2" t="str">
        <f>LEFT(B1610,4)</f>
        <v>2015</v>
      </c>
      <c r="E1610" s="2" t="str">
        <f>MID(B1610,5,2)</f>
        <v>10</v>
      </c>
      <c r="F1610" s="2" t="str">
        <f>RIGHT(B1610,2)</f>
        <v>22</v>
      </c>
      <c r="G1610" s="29">
        <f>DATE(D1610,E1610,F1610)</f>
        <v>42299</v>
      </c>
    </row>
    <row r="1611" hidden="1">
      <c r="A1611" s="1" t="s">
        <v>642</v>
      </c>
    </row>
    <row r="1612" hidden="1">
      <c r="A1612" s="1" t="s">
        <v>643</v>
      </c>
    </row>
    <row r="1613">
      <c r="A1613" s="1" t="s">
        <v>1575</v>
      </c>
      <c r="B1613" s="2">
        <f>IFERROR(__xludf.DUMMYFUNCTION("SPLIT(A1613,""_"")"),2.0151022E7)</f>
        <v>20151022</v>
      </c>
      <c r="C1613" s="2" t="str">
        <f>IFERROR(__xludf.DUMMYFUNCTION("""COMPUTED_VALUE"""),"MSFT")</f>
        <v>MSFT</v>
      </c>
      <c r="D1613" s="2" t="str">
        <f>LEFT(B1613,4)</f>
        <v>2015</v>
      </c>
      <c r="E1613" s="2" t="str">
        <f>MID(B1613,5,2)</f>
        <v>10</v>
      </c>
      <c r="F1613" s="2" t="str">
        <f>RIGHT(B1613,2)</f>
        <v>22</v>
      </c>
      <c r="G1613" s="29">
        <f>DATE(D1613,E1613,F1613)</f>
        <v>42299</v>
      </c>
    </row>
    <row r="1614" hidden="1">
      <c r="A1614" s="1" t="s">
        <v>642</v>
      </c>
    </row>
    <row r="1615" hidden="1">
      <c r="A1615" s="1" t="s">
        <v>643</v>
      </c>
    </row>
    <row r="1616">
      <c r="A1616" s="1" t="s">
        <v>1576</v>
      </c>
      <c r="B1616" s="2">
        <f>IFERROR(__xludf.DUMMYFUNCTION("SPLIT(A1616,""_"")"),2.0151022E7)</f>
        <v>20151022</v>
      </c>
      <c r="C1616" s="2" t="str">
        <f>IFERROR(__xludf.DUMMYFUNCTION("""COMPUTED_VALUE"""),"NDAQ")</f>
        <v>NDAQ</v>
      </c>
      <c r="D1616" s="2" t="str">
        <f>LEFT(B1616,4)</f>
        <v>2015</v>
      </c>
      <c r="E1616" s="2" t="str">
        <f>MID(B1616,5,2)</f>
        <v>10</v>
      </c>
      <c r="F1616" s="2" t="str">
        <f>RIGHT(B1616,2)</f>
        <v>22</v>
      </c>
      <c r="G1616" s="29">
        <f>DATE(D1616,E1616,F1616)</f>
        <v>42299</v>
      </c>
    </row>
    <row r="1617" hidden="1">
      <c r="A1617" s="1" t="s">
        <v>642</v>
      </c>
    </row>
    <row r="1618" hidden="1">
      <c r="A1618" s="1" t="s">
        <v>643</v>
      </c>
    </row>
    <row r="1619">
      <c r="A1619" s="1" t="s">
        <v>1577</v>
      </c>
      <c r="B1619" s="2">
        <f>IFERROR(__xludf.DUMMYFUNCTION("SPLIT(A1619,""_"")"),2.0151022E7)</f>
        <v>20151022</v>
      </c>
      <c r="C1619" s="2" t="str">
        <f>IFERROR(__xludf.DUMMYFUNCTION("""COMPUTED_VALUE"""),"NTGR")</f>
        <v>NTGR</v>
      </c>
      <c r="D1619" s="2" t="str">
        <f>LEFT(B1619,4)</f>
        <v>2015</v>
      </c>
      <c r="E1619" s="2" t="str">
        <f>MID(B1619,5,2)</f>
        <v>10</v>
      </c>
      <c r="F1619" s="2" t="str">
        <f>RIGHT(B1619,2)</f>
        <v>22</v>
      </c>
      <c r="G1619" s="29">
        <f>DATE(D1619,E1619,F1619)</f>
        <v>42299</v>
      </c>
    </row>
    <row r="1620" hidden="1">
      <c r="A1620" s="1" t="s">
        <v>642</v>
      </c>
    </row>
    <row r="1621" hidden="1">
      <c r="A1621" s="1" t="s">
        <v>643</v>
      </c>
    </row>
    <row r="1622">
      <c r="A1622" s="1" t="s">
        <v>1578</v>
      </c>
      <c r="B1622" s="2">
        <f>IFERROR(__xludf.DUMMYFUNCTION("SPLIT(A1622,""_"")"),2.0151022E7)</f>
        <v>20151022</v>
      </c>
      <c r="C1622" s="2" t="str">
        <f>IFERROR(__xludf.DUMMYFUNCTION("""COMPUTED_VALUE"""),"NUE")</f>
        <v>NUE</v>
      </c>
      <c r="D1622" s="2" t="str">
        <f>LEFT(B1622,4)</f>
        <v>2015</v>
      </c>
      <c r="E1622" s="2" t="str">
        <f>MID(B1622,5,2)</f>
        <v>10</v>
      </c>
      <c r="F1622" s="2" t="str">
        <f>RIGHT(B1622,2)</f>
        <v>22</v>
      </c>
      <c r="G1622" s="29">
        <f>DATE(D1622,E1622,F1622)</f>
        <v>42299</v>
      </c>
    </row>
    <row r="1623" hidden="1">
      <c r="A1623" s="1" t="s">
        <v>642</v>
      </c>
    </row>
    <row r="1624" hidden="1">
      <c r="A1624" s="1" t="s">
        <v>643</v>
      </c>
    </row>
    <row r="1625">
      <c r="A1625" s="1" t="s">
        <v>1579</v>
      </c>
      <c r="B1625" s="2">
        <f>IFERROR(__xludf.DUMMYFUNCTION("SPLIT(A1625,""_"")"),2.0151022E7)</f>
        <v>20151022</v>
      </c>
      <c r="C1625" s="2" t="str">
        <f>IFERROR(__xludf.DUMMYFUNCTION("""COMPUTED_VALUE"""),"ORI")</f>
        <v>ORI</v>
      </c>
      <c r="D1625" s="2" t="str">
        <f>LEFT(B1625,4)</f>
        <v>2015</v>
      </c>
      <c r="E1625" s="2" t="str">
        <f>MID(B1625,5,2)</f>
        <v>10</v>
      </c>
      <c r="F1625" s="2" t="str">
        <f>RIGHT(B1625,2)</f>
        <v>22</v>
      </c>
      <c r="G1625" s="29">
        <f>DATE(D1625,E1625,F1625)</f>
        <v>42299</v>
      </c>
    </row>
    <row r="1626" hidden="1">
      <c r="A1626" s="1" t="s">
        <v>642</v>
      </c>
    </row>
    <row r="1627" hidden="1">
      <c r="A1627" s="1" t="s">
        <v>643</v>
      </c>
    </row>
    <row r="1628">
      <c r="A1628" s="1" t="s">
        <v>1580</v>
      </c>
      <c r="B1628" s="2">
        <f>IFERROR(__xludf.DUMMYFUNCTION("SPLIT(A1628,""_"")"),2.0151022E7)</f>
        <v>20151022</v>
      </c>
      <c r="C1628" s="2" t="str">
        <f>IFERROR(__xludf.DUMMYFUNCTION("""COMPUTED_VALUE"""),"POOL")</f>
        <v>POOL</v>
      </c>
      <c r="D1628" s="2" t="str">
        <f>LEFT(B1628,4)</f>
        <v>2015</v>
      </c>
      <c r="E1628" s="2" t="str">
        <f>MID(B1628,5,2)</f>
        <v>10</v>
      </c>
      <c r="F1628" s="2" t="str">
        <f>RIGHT(B1628,2)</f>
        <v>22</v>
      </c>
      <c r="G1628" s="29">
        <f>DATE(D1628,E1628,F1628)</f>
        <v>42299</v>
      </c>
    </row>
    <row r="1629" hidden="1">
      <c r="A1629" s="1" t="s">
        <v>642</v>
      </c>
    </row>
    <row r="1630" hidden="1">
      <c r="A1630" s="1" t="s">
        <v>643</v>
      </c>
    </row>
    <row r="1631">
      <c r="A1631" s="1" t="s">
        <v>1581</v>
      </c>
      <c r="B1631" s="2">
        <f>IFERROR(__xludf.DUMMYFUNCTION("SPLIT(A1631,""_"")"),2.0151022E7)</f>
        <v>20151022</v>
      </c>
      <c r="C1631" s="2" t="str">
        <f>IFERROR(__xludf.DUMMYFUNCTION("""COMPUTED_VALUE"""),"PRLB")</f>
        <v>PRLB</v>
      </c>
      <c r="D1631" s="2" t="str">
        <f>LEFT(B1631,4)</f>
        <v>2015</v>
      </c>
      <c r="E1631" s="2" t="str">
        <f>MID(B1631,5,2)</f>
        <v>10</v>
      </c>
      <c r="F1631" s="2" t="str">
        <f>RIGHT(B1631,2)</f>
        <v>22</v>
      </c>
      <c r="G1631" s="29">
        <f>DATE(D1631,E1631,F1631)</f>
        <v>42299</v>
      </c>
    </row>
    <row r="1632" hidden="1">
      <c r="A1632" s="1" t="s">
        <v>642</v>
      </c>
    </row>
    <row r="1633" hidden="1">
      <c r="A1633" s="1" t="s">
        <v>643</v>
      </c>
    </row>
    <row r="1634">
      <c r="A1634" s="1" t="s">
        <v>1582</v>
      </c>
      <c r="B1634" s="2">
        <f>IFERROR(__xludf.DUMMYFUNCTION("SPLIT(A1634,""_"")"),2.0151022E7)</f>
        <v>20151022</v>
      </c>
      <c r="C1634" s="2" t="str">
        <f>IFERROR(__xludf.DUMMYFUNCTION("""COMPUTED_VALUE"""),"QSII")</f>
        <v>QSII</v>
      </c>
      <c r="D1634" s="2" t="str">
        <f>LEFT(B1634,4)</f>
        <v>2015</v>
      </c>
      <c r="E1634" s="2" t="str">
        <f>MID(B1634,5,2)</f>
        <v>10</v>
      </c>
      <c r="F1634" s="2" t="str">
        <f>RIGHT(B1634,2)</f>
        <v>22</v>
      </c>
      <c r="G1634" s="29">
        <f>DATE(D1634,E1634,F1634)</f>
        <v>42299</v>
      </c>
    </row>
    <row r="1635" hidden="1">
      <c r="A1635" s="1" t="s">
        <v>642</v>
      </c>
    </row>
    <row r="1636" hidden="1">
      <c r="A1636" s="1" t="s">
        <v>643</v>
      </c>
    </row>
    <row r="1637">
      <c r="A1637" s="1" t="s">
        <v>1583</v>
      </c>
      <c r="B1637" s="2">
        <f>IFERROR(__xludf.DUMMYFUNCTION("SPLIT(A1637,""_"")"),2.0151022E7)</f>
        <v>20151022</v>
      </c>
      <c r="C1637" s="2" t="str">
        <f>IFERROR(__xludf.DUMMYFUNCTION("""COMPUTED_VALUE"""),"R")</f>
        <v>R</v>
      </c>
      <c r="D1637" s="2" t="str">
        <f>LEFT(B1637,4)</f>
        <v>2015</v>
      </c>
      <c r="E1637" s="2" t="str">
        <f>MID(B1637,5,2)</f>
        <v>10</v>
      </c>
      <c r="F1637" s="2" t="str">
        <f>RIGHT(B1637,2)</f>
        <v>22</v>
      </c>
      <c r="G1637" s="29">
        <f>DATE(D1637,E1637,F1637)</f>
        <v>42299</v>
      </c>
    </row>
    <row r="1638" hidden="1">
      <c r="A1638" s="1" t="s">
        <v>642</v>
      </c>
    </row>
    <row r="1639" hidden="1">
      <c r="A1639" s="1" t="s">
        <v>643</v>
      </c>
    </row>
    <row r="1640">
      <c r="A1640" s="1" t="s">
        <v>1584</v>
      </c>
      <c r="B1640" s="2">
        <f>IFERROR(__xludf.DUMMYFUNCTION("SPLIT(A1640,""_"")"),2.0151022E7)</f>
        <v>20151022</v>
      </c>
      <c r="C1640" s="2" t="str">
        <f>IFERROR(__xludf.DUMMYFUNCTION("""COMPUTED_VALUE"""),"RMD")</f>
        <v>RMD</v>
      </c>
      <c r="D1640" s="2" t="str">
        <f>LEFT(B1640,4)</f>
        <v>2015</v>
      </c>
      <c r="E1640" s="2" t="str">
        <f>MID(B1640,5,2)</f>
        <v>10</v>
      </c>
      <c r="F1640" s="2" t="str">
        <f>RIGHT(B1640,2)</f>
        <v>22</v>
      </c>
      <c r="G1640" s="29">
        <f>DATE(D1640,E1640,F1640)</f>
        <v>42299</v>
      </c>
    </row>
    <row r="1641" hidden="1">
      <c r="A1641" s="1" t="s">
        <v>642</v>
      </c>
    </row>
    <row r="1642" hidden="1">
      <c r="A1642" s="1" t="s">
        <v>643</v>
      </c>
    </row>
    <row r="1643">
      <c r="A1643" s="1" t="s">
        <v>1585</v>
      </c>
      <c r="B1643" s="2">
        <f>IFERROR(__xludf.DUMMYFUNCTION("SPLIT(A1643,""_"")"),2.0151022E7)</f>
        <v>20151022</v>
      </c>
      <c r="C1643" s="2" t="str">
        <f>IFERROR(__xludf.DUMMYFUNCTION("""COMPUTED_VALUE"""),"SFNC")</f>
        <v>SFNC</v>
      </c>
      <c r="D1643" s="2" t="str">
        <f>LEFT(B1643,4)</f>
        <v>2015</v>
      </c>
      <c r="E1643" s="2" t="str">
        <f>MID(B1643,5,2)</f>
        <v>10</v>
      </c>
      <c r="F1643" s="2" t="str">
        <f>RIGHT(B1643,2)</f>
        <v>22</v>
      </c>
      <c r="G1643" s="29">
        <f>DATE(D1643,E1643,F1643)</f>
        <v>42299</v>
      </c>
    </row>
    <row r="1644" hidden="1">
      <c r="A1644" s="1" t="s">
        <v>642</v>
      </c>
    </row>
    <row r="1645" hidden="1">
      <c r="A1645" s="1" t="s">
        <v>643</v>
      </c>
    </row>
    <row r="1646">
      <c r="A1646" s="1" t="s">
        <v>1586</v>
      </c>
      <c r="B1646" s="2">
        <f>IFERROR(__xludf.DUMMYFUNCTION("SPLIT(A1646,""_"")"),2.0151022E7)</f>
        <v>20151022</v>
      </c>
      <c r="C1646" s="2" t="str">
        <f>IFERROR(__xludf.DUMMYFUNCTION("""COMPUTED_VALUE"""),"SKX")</f>
        <v>SKX</v>
      </c>
      <c r="D1646" s="2" t="str">
        <f>LEFT(B1646,4)</f>
        <v>2015</v>
      </c>
      <c r="E1646" s="2" t="str">
        <f>MID(B1646,5,2)</f>
        <v>10</v>
      </c>
      <c r="F1646" s="2" t="str">
        <f>RIGHT(B1646,2)</f>
        <v>22</v>
      </c>
      <c r="G1646" s="29">
        <f>DATE(D1646,E1646,F1646)</f>
        <v>42299</v>
      </c>
    </row>
    <row r="1647" hidden="1">
      <c r="A1647" s="1" t="s">
        <v>642</v>
      </c>
    </row>
    <row r="1648" hidden="1">
      <c r="A1648" s="1" t="s">
        <v>643</v>
      </c>
    </row>
    <row r="1649">
      <c r="A1649" s="1" t="s">
        <v>1587</v>
      </c>
      <c r="B1649" s="2">
        <f>IFERROR(__xludf.DUMMYFUNCTION("SPLIT(A1649,""_"")"),2.0151022E7)</f>
        <v>20151022</v>
      </c>
      <c r="C1649" s="2" t="str">
        <f>IFERROR(__xludf.DUMMYFUNCTION("""COMPUTED_VALUE"""),"SPSC")</f>
        <v>SPSC</v>
      </c>
      <c r="D1649" s="2" t="str">
        <f>LEFT(B1649,4)</f>
        <v>2015</v>
      </c>
      <c r="E1649" s="2" t="str">
        <f>MID(B1649,5,2)</f>
        <v>10</v>
      </c>
      <c r="F1649" s="2" t="str">
        <f>RIGHT(B1649,2)</f>
        <v>22</v>
      </c>
      <c r="G1649" s="29">
        <f>DATE(D1649,E1649,F1649)</f>
        <v>42299</v>
      </c>
    </row>
    <row r="1650" hidden="1">
      <c r="A1650" s="1" t="s">
        <v>642</v>
      </c>
    </row>
    <row r="1651" hidden="1">
      <c r="A1651" s="1" t="s">
        <v>643</v>
      </c>
    </row>
    <row r="1652">
      <c r="A1652" s="1" t="s">
        <v>1588</v>
      </c>
      <c r="B1652" s="2">
        <f>IFERROR(__xludf.DUMMYFUNCTION("SPLIT(A1652,""_"")"),2.0151022E7)</f>
        <v>20151022</v>
      </c>
      <c r="C1652" s="2" t="str">
        <f>IFERROR(__xludf.DUMMYFUNCTION("""COMPUTED_VALUE"""),"SXT")</f>
        <v>SXT</v>
      </c>
      <c r="D1652" s="2" t="str">
        <f>LEFT(B1652,4)</f>
        <v>2015</v>
      </c>
      <c r="E1652" s="2" t="str">
        <f>MID(B1652,5,2)</f>
        <v>10</v>
      </c>
      <c r="F1652" s="2" t="str">
        <f>RIGHT(B1652,2)</f>
        <v>22</v>
      </c>
      <c r="G1652" s="29">
        <f>DATE(D1652,E1652,F1652)</f>
        <v>42299</v>
      </c>
    </row>
    <row r="1653" hidden="1">
      <c r="A1653" s="1" t="s">
        <v>642</v>
      </c>
    </row>
    <row r="1654" hidden="1">
      <c r="A1654" s="1" t="s">
        <v>643</v>
      </c>
    </row>
    <row r="1655">
      <c r="A1655" s="1" t="s">
        <v>1589</v>
      </c>
      <c r="B1655" s="2">
        <f>IFERROR(__xludf.DUMMYFUNCTION("SPLIT(A1655,""_"")"),2.0151022E7)</f>
        <v>20151022</v>
      </c>
      <c r="C1655" s="2" t="str">
        <f>IFERROR(__xludf.DUMMYFUNCTION("""COMPUTED_VALUE"""),"SYK")</f>
        <v>SYK</v>
      </c>
      <c r="D1655" s="2" t="str">
        <f>LEFT(B1655,4)</f>
        <v>2015</v>
      </c>
      <c r="E1655" s="2" t="str">
        <f>MID(B1655,5,2)</f>
        <v>10</v>
      </c>
      <c r="F1655" s="2" t="str">
        <f>RIGHT(B1655,2)</f>
        <v>22</v>
      </c>
      <c r="G1655" s="29">
        <f>DATE(D1655,E1655,F1655)</f>
        <v>42299</v>
      </c>
    </row>
    <row r="1656" hidden="1">
      <c r="A1656" s="1" t="s">
        <v>642</v>
      </c>
    </row>
    <row r="1657" hidden="1">
      <c r="A1657" s="1" t="s">
        <v>643</v>
      </c>
    </row>
    <row r="1658">
      <c r="A1658" s="1" t="s">
        <v>1590</v>
      </c>
      <c r="B1658" s="2">
        <f>IFERROR(__xludf.DUMMYFUNCTION("SPLIT(A1658,""_"")"),2.0151022E7)</f>
        <v>20151022</v>
      </c>
      <c r="C1658" s="2" t="str">
        <f>IFERROR(__xludf.DUMMYFUNCTION("""COMPUTED_VALUE"""),"SYNA")</f>
        <v>SYNA</v>
      </c>
      <c r="D1658" s="2" t="str">
        <f>LEFT(B1658,4)</f>
        <v>2015</v>
      </c>
      <c r="E1658" s="2" t="str">
        <f>MID(B1658,5,2)</f>
        <v>10</v>
      </c>
      <c r="F1658" s="2" t="str">
        <f>RIGHT(B1658,2)</f>
        <v>22</v>
      </c>
      <c r="G1658" s="29">
        <f>DATE(D1658,E1658,F1658)</f>
        <v>42299</v>
      </c>
    </row>
    <row r="1659" hidden="1">
      <c r="A1659" s="1" t="s">
        <v>642</v>
      </c>
    </row>
    <row r="1660" hidden="1">
      <c r="A1660" s="1" t="s">
        <v>643</v>
      </c>
    </row>
    <row r="1661">
      <c r="A1661" s="1" t="s">
        <v>1591</v>
      </c>
      <c r="B1661" s="2">
        <f>IFERROR(__xludf.DUMMYFUNCTION("SPLIT(A1661,""_"")"),2.0151022E7)</f>
        <v>20151022</v>
      </c>
      <c r="C1661" s="2" t="str">
        <f>IFERROR(__xludf.DUMMYFUNCTION("""COMPUTED_VALUE"""),"UMPQ")</f>
        <v>UMPQ</v>
      </c>
      <c r="D1661" s="2" t="str">
        <f>LEFT(B1661,4)</f>
        <v>2015</v>
      </c>
      <c r="E1661" s="2" t="str">
        <f>MID(B1661,5,2)</f>
        <v>10</v>
      </c>
      <c r="F1661" s="2" t="str">
        <f>RIGHT(B1661,2)</f>
        <v>22</v>
      </c>
      <c r="G1661" s="29">
        <f>DATE(D1661,E1661,F1661)</f>
        <v>42299</v>
      </c>
    </row>
    <row r="1662" hidden="1">
      <c r="A1662" s="1" t="s">
        <v>642</v>
      </c>
    </row>
    <row r="1663" hidden="1">
      <c r="A1663" s="1" t="s">
        <v>643</v>
      </c>
    </row>
    <row r="1664">
      <c r="A1664" s="1" t="s">
        <v>1592</v>
      </c>
      <c r="B1664" s="2">
        <f>IFERROR(__xludf.DUMMYFUNCTION("SPLIT(A1664,""_"")"),2.0151022E7)</f>
        <v>20151022</v>
      </c>
      <c r="C1664" s="2" t="str">
        <f>IFERROR(__xludf.DUMMYFUNCTION("""COMPUTED_VALUE"""),"UNP")</f>
        <v>UNP</v>
      </c>
      <c r="D1664" s="2" t="str">
        <f>LEFT(B1664,4)</f>
        <v>2015</v>
      </c>
      <c r="E1664" s="2" t="str">
        <f>MID(B1664,5,2)</f>
        <v>10</v>
      </c>
      <c r="F1664" s="2" t="str">
        <f>RIGHT(B1664,2)</f>
        <v>22</v>
      </c>
      <c r="G1664" s="29">
        <f>DATE(D1664,E1664,F1664)</f>
        <v>42299</v>
      </c>
    </row>
    <row r="1665" hidden="1">
      <c r="A1665" s="1" t="s">
        <v>642</v>
      </c>
    </row>
    <row r="1666" hidden="1">
      <c r="A1666" s="1" t="s">
        <v>643</v>
      </c>
    </row>
    <row r="1667">
      <c r="A1667" s="1" t="s">
        <v>1593</v>
      </c>
      <c r="B1667" s="2">
        <f>IFERROR(__xludf.DUMMYFUNCTION("SPLIT(A1667,""_"")"),2.0151022E7)</f>
        <v>20151022</v>
      </c>
      <c r="C1667" s="2" t="str">
        <f>IFERROR(__xludf.DUMMYFUNCTION("""COMPUTED_VALUE"""),"VRSN")</f>
        <v>VRSN</v>
      </c>
      <c r="D1667" s="2" t="str">
        <f>LEFT(B1667,4)</f>
        <v>2015</v>
      </c>
      <c r="E1667" s="2" t="str">
        <f>MID(B1667,5,2)</f>
        <v>10</v>
      </c>
      <c r="F1667" s="2" t="str">
        <f>RIGHT(B1667,2)</f>
        <v>22</v>
      </c>
      <c r="G1667" s="29">
        <f>DATE(D1667,E1667,F1667)</f>
        <v>42299</v>
      </c>
    </row>
    <row r="1668" hidden="1">
      <c r="A1668" s="1" t="s">
        <v>642</v>
      </c>
    </row>
    <row r="1669" hidden="1">
      <c r="A1669" s="1" t="s">
        <v>643</v>
      </c>
    </row>
    <row r="1670">
      <c r="A1670" s="1" t="s">
        <v>1594</v>
      </c>
      <c r="B1670" s="2">
        <f>IFERROR(__xludf.DUMMYFUNCTION("SPLIT(A1670,""_"")"),2.0151023E7)</f>
        <v>20151023</v>
      </c>
      <c r="C1670" s="2" t="str">
        <f>IFERROR(__xludf.DUMMYFUNCTION("""COMPUTED_VALUE"""),"B")</f>
        <v>B</v>
      </c>
      <c r="D1670" s="2" t="str">
        <f>LEFT(B1670,4)</f>
        <v>2015</v>
      </c>
      <c r="E1670" s="2" t="str">
        <f>MID(B1670,5,2)</f>
        <v>10</v>
      </c>
      <c r="F1670" s="2" t="str">
        <f>RIGHT(B1670,2)</f>
        <v>23</v>
      </c>
      <c r="G1670" s="29">
        <f>DATE(D1670,E1670,F1670)</f>
        <v>42300</v>
      </c>
    </row>
    <row r="1671" hidden="1">
      <c r="A1671" s="1" t="s">
        <v>642</v>
      </c>
    </row>
    <row r="1672" hidden="1">
      <c r="A1672" s="1" t="s">
        <v>643</v>
      </c>
    </row>
    <row r="1673">
      <c r="A1673" s="1" t="s">
        <v>1595</v>
      </c>
      <c r="B1673" s="2">
        <f>IFERROR(__xludf.DUMMYFUNCTION("SPLIT(A1673,""_"")"),2.0151023E7)</f>
        <v>20151023</v>
      </c>
      <c r="C1673" s="2" t="str">
        <f>IFERROR(__xludf.DUMMYFUNCTION("""COMPUTED_VALUE"""),"COG")</f>
        <v>COG</v>
      </c>
      <c r="D1673" s="2" t="str">
        <f>LEFT(B1673,4)</f>
        <v>2015</v>
      </c>
      <c r="E1673" s="2" t="str">
        <f>MID(B1673,5,2)</f>
        <v>10</v>
      </c>
      <c r="F1673" s="2" t="str">
        <f>RIGHT(B1673,2)</f>
        <v>23</v>
      </c>
      <c r="G1673" s="29">
        <f>DATE(D1673,E1673,F1673)</f>
        <v>42300</v>
      </c>
    </row>
    <row r="1674" hidden="1">
      <c r="A1674" s="1" t="s">
        <v>642</v>
      </c>
    </row>
    <row r="1675" hidden="1">
      <c r="A1675" s="1" t="s">
        <v>643</v>
      </c>
    </row>
    <row r="1676">
      <c r="A1676" s="1" t="s">
        <v>1596</v>
      </c>
      <c r="B1676" s="2">
        <f>IFERROR(__xludf.DUMMYFUNCTION("SPLIT(A1676,""_"")"),2.0151023E7)</f>
        <v>20151023</v>
      </c>
      <c r="C1676" s="2" t="str">
        <f>IFERROR(__xludf.DUMMYFUNCTION("""COMPUTED_VALUE"""),"OFG")</f>
        <v>OFG</v>
      </c>
      <c r="D1676" s="2" t="str">
        <f>LEFT(B1676,4)</f>
        <v>2015</v>
      </c>
      <c r="E1676" s="2" t="str">
        <f>MID(B1676,5,2)</f>
        <v>10</v>
      </c>
      <c r="F1676" s="2" t="str">
        <f>RIGHT(B1676,2)</f>
        <v>23</v>
      </c>
      <c r="G1676" s="29">
        <f>DATE(D1676,E1676,F1676)</f>
        <v>42300</v>
      </c>
    </row>
    <row r="1677" hidden="1">
      <c r="A1677" s="1" t="s">
        <v>642</v>
      </c>
    </row>
    <row r="1678" hidden="1">
      <c r="A1678" s="1" t="s">
        <v>643</v>
      </c>
    </row>
    <row r="1679">
      <c r="A1679" s="1" t="s">
        <v>1597</v>
      </c>
      <c r="B1679" s="2">
        <f>IFERROR(__xludf.DUMMYFUNCTION("SPLIT(A1679,""_"")"),2.0151023E7)</f>
        <v>20151023</v>
      </c>
      <c r="C1679" s="2" t="str">
        <f>IFERROR(__xludf.DUMMYFUNCTION("""COMPUTED_VALUE"""),"RCL")</f>
        <v>RCL</v>
      </c>
      <c r="D1679" s="2" t="str">
        <f>LEFT(B1679,4)</f>
        <v>2015</v>
      </c>
      <c r="E1679" s="2" t="str">
        <f>MID(B1679,5,2)</f>
        <v>10</v>
      </c>
      <c r="F1679" s="2" t="str">
        <f>RIGHT(B1679,2)</f>
        <v>23</v>
      </c>
      <c r="G1679" s="29">
        <f>DATE(D1679,E1679,F1679)</f>
        <v>42300</v>
      </c>
    </row>
    <row r="1680" hidden="1">
      <c r="A1680" s="1" t="s">
        <v>642</v>
      </c>
    </row>
    <row r="1681" hidden="1">
      <c r="A1681" s="1" t="s">
        <v>643</v>
      </c>
    </row>
    <row r="1682">
      <c r="A1682" s="1" t="s">
        <v>1598</v>
      </c>
      <c r="B1682" s="2">
        <f>IFERROR(__xludf.DUMMYFUNCTION("SPLIT(A1682,""_"")"),2.0151023E7)</f>
        <v>20151023</v>
      </c>
      <c r="C1682" s="2" t="str">
        <f>IFERROR(__xludf.DUMMYFUNCTION("""COMPUTED_VALUE"""),"SSD")</f>
        <v>SSD</v>
      </c>
      <c r="D1682" s="2" t="str">
        <f>LEFT(B1682,4)</f>
        <v>2015</v>
      </c>
      <c r="E1682" s="2" t="str">
        <f>MID(B1682,5,2)</f>
        <v>10</v>
      </c>
      <c r="F1682" s="2" t="str">
        <f>RIGHT(B1682,2)</f>
        <v>23</v>
      </c>
      <c r="G1682" s="29">
        <f>DATE(D1682,E1682,F1682)</f>
        <v>42300</v>
      </c>
    </row>
    <row r="1683" hidden="1">
      <c r="A1683" s="1" t="s">
        <v>642</v>
      </c>
    </row>
    <row r="1684" hidden="1">
      <c r="A1684" s="1" t="s">
        <v>643</v>
      </c>
    </row>
    <row r="1685">
      <c r="A1685" s="1" t="s">
        <v>1599</v>
      </c>
      <c r="B1685" s="2">
        <f>IFERROR(__xludf.DUMMYFUNCTION("SPLIT(A1685,""_"")"),2.0151023E7)</f>
        <v>20151023</v>
      </c>
      <c r="C1685" s="2" t="str">
        <f>IFERROR(__xludf.DUMMYFUNCTION("""COMPUTED_VALUE"""),"STT")</f>
        <v>STT</v>
      </c>
      <c r="D1685" s="2" t="str">
        <f>LEFT(B1685,4)</f>
        <v>2015</v>
      </c>
      <c r="E1685" s="2" t="str">
        <f>MID(B1685,5,2)</f>
        <v>10</v>
      </c>
      <c r="F1685" s="2" t="str">
        <f>RIGHT(B1685,2)</f>
        <v>23</v>
      </c>
      <c r="G1685" s="29">
        <f>DATE(D1685,E1685,F1685)</f>
        <v>42300</v>
      </c>
    </row>
    <row r="1686" hidden="1">
      <c r="A1686" s="1" t="s">
        <v>642</v>
      </c>
    </row>
    <row r="1687" hidden="1">
      <c r="A1687" s="1" t="s">
        <v>643</v>
      </c>
    </row>
    <row r="1688">
      <c r="A1688" s="1" t="s">
        <v>1600</v>
      </c>
      <c r="B1688" s="2">
        <f>IFERROR(__xludf.DUMMYFUNCTION("SPLIT(A1688,""_"")"),2.0151026E7)</f>
        <v>20151026</v>
      </c>
      <c r="C1688" s="2" t="str">
        <f>IFERROR(__xludf.DUMMYFUNCTION("""COMPUTED_VALUE"""),"BOH")</f>
        <v>BOH</v>
      </c>
      <c r="D1688" s="2" t="str">
        <f>LEFT(B1688,4)</f>
        <v>2015</v>
      </c>
      <c r="E1688" s="2" t="str">
        <f>MID(B1688,5,2)</f>
        <v>10</v>
      </c>
      <c r="F1688" s="2" t="str">
        <f>RIGHT(B1688,2)</f>
        <v>26</v>
      </c>
      <c r="G1688" s="29">
        <f>DATE(D1688,E1688,F1688)</f>
        <v>42303</v>
      </c>
    </row>
    <row r="1689" hidden="1">
      <c r="A1689" s="1" t="s">
        <v>642</v>
      </c>
    </row>
    <row r="1690" hidden="1">
      <c r="A1690" s="1" t="s">
        <v>643</v>
      </c>
    </row>
    <row r="1691">
      <c r="A1691" s="1" t="s">
        <v>1601</v>
      </c>
      <c r="B1691" s="2">
        <f>IFERROR(__xludf.DUMMYFUNCTION("SPLIT(A1691,""_"")"),2.0151026E7)</f>
        <v>20151026</v>
      </c>
      <c r="C1691" s="2" t="str">
        <f>IFERROR(__xludf.DUMMYFUNCTION("""COMPUTED_VALUE"""),"MPWR")</f>
        <v>MPWR</v>
      </c>
      <c r="D1691" s="2" t="str">
        <f>LEFT(B1691,4)</f>
        <v>2015</v>
      </c>
      <c r="E1691" s="2" t="str">
        <f>MID(B1691,5,2)</f>
        <v>10</v>
      </c>
      <c r="F1691" s="2" t="str">
        <f>RIGHT(B1691,2)</f>
        <v>26</v>
      </c>
      <c r="G1691" s="29">
        <f>DATE(D1691,E1691,F1691)</f>
        <v>42303</v>
      </c>
    </row>
    <row r="1692" hidden="1">
      <c r="A1692" s="1" t="s">
        <v>642</v>
      </c>
    </row>
    <row r="1693" hidden="1">
      <c r="A1693" s="1" t="s">
        <v>643</v>
      </c>
    </row>
    <row r="1694">
      <c r="A1694" s="1" t="s">
        <v>1602</v>
      </c>
      <c r="B1694" s="2">
        <f>IFERROR(__xludf.DUMMYFUNCTION("SPLIT(A1694,""_"")"),2.0151026E7)</f>
        <v>20151026</v>
      </c>
      <c r="C1694" s="2" t="str">
        <f>IFERROR(__xludf.DUMMYFUNCTION("""COMPUTED_VALUE"""),"MSTR")</f>
        <v>MSTR</v>
      </c>
      <c r="D1694" s="2" t="str">
        <f>LEFT(B1694,4)</f>
        <v>2015</v>
      </c>
      <c r="E1694" s="2" t="str">
        <f>MID(B1694,5,2)</f>
        <v>10</v>
      </c>
      <c r="F1694" s="2" t="str">
        <f>RIGHT(B1694,2)</f>
        <v>26</v>
      </c>
      <c r="G1694" s="29">
        <f>DATE(D1694,E1694,F1694)</f>
        <v>42303</v>
      </c>
    </row>
    <row r="1695" hidden="1">
      <c r="A1695" s="1" t="s">
        <v>642</v>
      </c>
    </row>
    <row r="1696" hidden="1">
      <c r="A1696" s="1" t="s">
        <v>643</v>
      </c>
    </row>
    <row r="1697">
      <c r="A1697" s="1" t="s">
        <v>1603</v>
      </c>
      <c r="B1697" s="2">
        <f>IFERROR(__xludf.DUMMYFUNCTION("SPLIT(A1697,""_"")"),2.0151026E7)</f>
        <v>20151026</v>
      </c>
      <c r="C1697" s="2" t="str">
        <f>IFERROR(__xludf.DUMMYFUNCTION("""COMPUTED_VALUE"""),"ROP")</f>
        <v>ROP</v>
      </c>
      <c r="D1697" s="2" t="str">
        <f>LEFT(B1697,4)</f>
        <v>2015</v>
      </c>
      <c r="E1697" s="2" t="str">
        <f>MID(B1697,5,2)</f>
        <v>10</v>
      </c>
      <c r="F1697" s="2" t="str">
        <f>RIGHT(B1697,2)</f>
        <v>26</v>
      </c>
      <c r="G1697" s="29">
        <f>DATE(D1697,E1697,F1697)</f>
        <v>42303</v>
      </c>
    </row>
    <row r="1698" hidden="1">
      <c r="A1698" s="1" t="s">
        <v>642</v>
      </c>
    </row>
    <row r="1699" hidden="1">
      <c r="A1699" s="1" t="s">
        <v>643</v>
      </c>
    </row>
    <row r="1700">
      <c r="A1700" s="1" t="s">
        <v>1604</v>
      </c>
      <c r="B1700" s="2">
        <f>IFERROR(__xludf.DUMMYFUNCTION("SPLIT(A1700,""_"")"),2.0151026E7)</f>
        <v>20151026</v>
      </c>
      <c r="C1700" s="2" t="str">
        <f>IFERROR(__xludf.DUMMYFUNCTION("""COMPUTED_VALUE"""),"WRB")</f>
        <v>WRB</v>
      </c>
      <c r="D1700" s="2" t="str">
        <f>LEFT(B1700,4)</f>
        <v>2015</v>
      </c>
      <c r="E1700" s="2" t="str">
        <f>MID(B1700,5,2)</f>
        <v>10</v>
      </c>
      <c r="F1700" s="2" t="str">
        <f>RIGHT(B1700,2)</f>
        <v>26</v>
      </c>
      <c r="G1700" s="29">
        <f>DATE(D1700,E1700,F1700)</f>
        <v>42303</v>
      </c>
    </row>
    <row r="1701" hidden="1">
      <c r="A1701" s="1" t="s">
        <v>642</v>
      </c>
    </row>
    <row r="1702" hidden="1">
      <c r="A1702" s="1" t="s">
        <v>643</v>
      </c>
    </row>
    <row r="1703">
      <c r="A1703" s="1" t="s">
        <v>1605</v>
      </c>
      <c r="B1703" s="2">
        <f>IFERROR(__xludf.DUMMYFUNCTION("SPLIT(A1703,""_"")"),2.0151027E7)</f>
        <v>20151027</v>
      </c>
      <c r="C1703" s="2" t="str">
        <f>IFERROR(__xludf.DUMMYFUNCTION("""COMPUTED_VALUE"""),"ABAX")</f>
        <v>ABAX</v>
      </c>
      <c r="D1703" s="2" t="str">
        <f>LEFT(B1703,4)</f>
        <v>2015</v>
      </c>
      <c r="E1703" s="2" t="str">
        <f>MID(B1703,5,2)</f>
        <v>10</v>
      </c>
      <c r="F1703" s="2" t="str">
        <f>RIGHT(B1703,2)</f>
        <v>27</v>
      </c>
      <c r="G1703" s="29">
        <f>DATE(D1703,E1703,F1703)</f>
        <v>42304</v>
      </c>
    </row>
    <row r="1704" hidden="1">
      <c r="A1704" s="1" t="s">
        <v>642</v>
      </c>
    </row>
    <row r="1705" hidden="1">
      <c r="A1705" s="1" t="s">
        <v>643</v>
      </c>
    </row>
    <row r="1706">
      <c r="A1706" s="1" t="s">
        <v>1606</v>
      </c>
      <c r="B1706" s="2">
        <f>IFERROR(__xludf.DUMMYFUNCTION("SPLIT(A1706,""_"")"),2.0151027E7)</f>
        <v>20151027</v>
      </c>
      <c r="C1706" s="2" t="str">
        <f>IFERROR(__xludf.DUMMYFUNCTION("""COMPUTED_VALUE"""),"AKAM")</f>
        <v>AKAM</v>
      </c>
      <c r="D1706" s="2" t="str">
        <f>LEFT(B1706,4)</f>
        <v>2015</v>
      </c>
      <c r="E1706" s="2" t="str">
        <f>MID(B1706,5,2)</f>
        <v>10</v>
      </c>
      <c r="F1706" s="2" t="str">
        <f>RIGHT(B1706,2)</f>
        <v>27</v>
      </c>
      <c r="G1706" s="29">
        <f>DATE(D1706,E1706,F1706)</f>
        <v>42304</v>
      </c>
    </row>
    <row r="1707" hidden="1">
      <c r="A1707" s="1" t="s">
        <v>642</v>
      </c>
    </row>
    <row r="1708" hidden="1">
      <c r="A1708" s="1" t="s">
        <v>643</v>
      </c>
    </row>
    <row r="1709">
      <c r="A1709" s="1" t="s">
        <v>1607</v>
      </c>
      <c r="B1709" s="2">
        <f>IFERROR(__xludf.DUMMYFUNCTION("SPLIT(A1709,""_"")"),2.0151027E7)</f>
        <v>20151027</v>
      </c>
      <c r="C1709" s="2" t="str">
        <f>IFERROR(__xludf.DUMMYFUNCTION("""COMPUTED_VALUE"""),"BGFV")</f>
        <v>BGFV</v>
      </c>
      <c r="D1709" s="2" t="str">
        <f>LEFT(B1709,4)</f>
        <v>2015</v>
      </c>
      <c r="E1709" s="2" t="str">
        <f>MID(B1709,5,2)</f>
        <v>10</v>
      </c>
      <c r="F1709" s="2" t="str">
        <f>RIGHT(B1709,2)</f>
        <v>27</v>
      </c>
      <c r="G1709" s="29">
        <f>DATE(D1709,E1709,F1709)</f>
        <v>42304</v>
      </c>
    </row>
    <row r="1710" hidden="1">
      <c r="A1710" s="1" t="s">
        <v>642</v>
      </c>
    </row>
    <row r="1711" hidden="1">
      <c r="A1711" s="1" t="s">
        <v>643</v>
      </c>
    </row>
    <row r="1712">
      <c r="A1712" s="1" t="s">
        <v>1608</v>
      </c>
      <c r="B1712" s="2">
        <f>IFERROR(__xludf.DUMMYFUNCTION("SPLIT(A1712,""_"")"),2.0151027E7)</f>
        <v>20151027</v>
      </c>
      <c r="C1712" s="2" t="str">
        <f>IFERROR(__xludf.DUMMYFUNCTION("""COMPUTED_VALUE"""),"CLD")</f>
        <v>CLD</v>
      </c>
      <c r="D1712" s="2" t="str">
        <f>LEFT(B1712,4)</f>
        <v>2015</v>
      </c>
      <c r="E1712" s="2" t="str">
        <f>MID(B1712,5,2)</f>
        <v>10</v>
      </c>
      <c r="F1712" s="2" t="str">
        <f>RIGHT(B1712,2)</f>
        <v>27</v>
      </c>
      <c r="G1712" s="29">
        <f>DATE(D1712,E1712,F1712)</f>
        <v>42304</v>
      </c>
    </row>
    <row r="1713" hidden="1">
      <c r="A1713" s="1" t="s">
        <v>642</v>
      </c>
    </row>
    <row r="1714" hidden="1">
      <c r="A1714" s="1" t="s">
        <v>643</v>
      </c>
    </row>
    <row r="1715">
      <c r="A1715" s="1" t="s">
        <v>1609</v>
      </c>
      <c r="B1715" s="2">
        <f>IFERROR(__xludf.DUMMYFUNCTION("SPLIT(A1715,""_"")"),2.0151027E7)</f>
        <v>20151027</v>
      </c>
      <c r="C1715" s="2" t="str">
        <f>IFERROR(__xludf.DUMMYFUNCTION("""COMPUTED_VALUE"""),"CMCSA")</f>
        <v>CMCSA</v>
      </c>
      <c r="D1715" s="2" t="str">
        <f>LEFT(B1715,4)</f>
        <v>2015</v>
      </c>
      <c r="E1715" s="2" t="str">
        <f>MID(B1715,5,2)</f>
        <v>10</v>
      </c>
      <c r="F1715" s="2" t="str">
        <f>RIGHT(B1715,2)</f>
        <v>27</v>
      </c>
      <c r="G1715" s="29">
        <f>DATE(D1715,E1715,F1715)</f>
        <v>42304</v>
      </c>
    </row>
    <row r="1716" hidden="1">
      <c r="A1716" s="1" t="s">
        <v>642</v>
      </c>
    </row>
    <row r="1717" hidden="1">
      <c r="A1717" s="1" t="s">
        <v>643</v>
      </c>
    </row>
    <row r="1718">
      <c r="A1718" s="1" t="s">
        <v>1610</v>
      </c>
      <c r="B1718" s="2">
        <f>IFERROR(__xludf.DUMMYFUNCTION("SPLIT(A1718,""_"")"),2.0151027E7)</f>
        <v>20151027</v>
      </c>
      <c r="C1718" s="2" t="str">
        <f>IFERROR(__xludf.DUMMYFUNCTION("""COMPUTED_VALUE"""),"CRY")</f>
        <v>CRY</v>
      </c>
      <c r="D1718" s="2" t="str">
        <f>LEFT(B1718,4)</f>
        <v>2015</v>
      </c>
      <c r="E1718" s="2" t="str">
        <f>MID(B1718,5,2)</f>
        <v>10</v>
      </c>
      <c r="F1718" s="2" t="str">
        <f>RIGHT(B1718,2)</f>
        <v>27</v>
      </c>
      <c r="G1718" s="29">
        <f>DATE(D1718,E1718,F1718)</f>
        <v>42304</v>
      </c>
    </row>
    <row r="1719" hidden="1">
      <c r="A1719" s="1" t="s">
        <v>642</v>
      </c>
    </row>
    <row r="1720" hidden="1">
      <c r="A1720" s="1" t="s">
        <v>643</v>
      </c>
    </row>
    <row r="1721">
      <c r="A1721" s="1" t="s">
        <v>1611</v>
      </c>
      <c r="B1721" s="2">
        <f>IFERROR(__xludf.DUMMYFUNCTION("SPLIT(A1721,""_"")"),2.0151027E7)</f>
        <v>20151027</v>
      </c>
      <c r="C1721" s="2" t="str">
        <f>IFERROR(__xludf.DUMMYFUNCTION("""COMPUTED_VALUE"""),"FELE")</f>
        <v>FELE</v>
      </c>
      <c r="D1721" s="2" t="str">
        <f>LEFT(B1721,4)</f>
        <v>2015</v>
      </c>
      <c r="E1721" s="2" t="str">
        <f>MID(B1721,5,2)</f>
        <v>10</v>
      </c>
      <c r="F1721" s="2" t="str">
        <f>RIGHT(B1721,2)</f>
        <v>27</v>
      </c>
      <c r="G1721" s="29">
        <f>DATE(D1721,E1721,F1721)</f>
        <v>42304</v>
      </c>
    </row>
    <row r="1722" hidden="1">
      <c r="A1722" s="1" t="s">
        <v>642</v>
      </c>
    </row>
    <row r="1723" hidden="1">
      <c r="A1723" s="1" t="s">
        <v>643</v>
      </c>
    </row>
    <row r="1724">
      <c r="A1724" s="1" t="s">
        <v>1612</v>
      </c>
      <c r="B1724" s="2">
        <f>IFERROR(__xludf.DUMMYFUNCTION("SPLIT(A1724,""_"")"),2.0151027E7)</f>
        <v>20151027</v>
      </c>
      <c r="C1724" s="2" t="str">
        <f>IFERROR(__xludf.DUMMYFUNCTION("""COMPUTED_VALUE"""),"FISV")</f>
        <v>FISV</v>
      </c>
      <c r="D1724" s="2" t="str">
        <f>LEFT(B1724,4)</f>
        <v>2015</v>
      </c>
      <c r="E1724" s="2" t="str">
        <f>MID(B1724,5,2)</f>
        <v>10</v>
      </c>
      <c r="F1724" s="2" t="str">
        <f>RIGHT(B1724,2)</f>
        <v>27</v>
      </c>
      <c r="G1724" s="29">
        <f>DATE(D1724,E1724,F1724)</f>
        <v>42304</v>
      </c>
    </row>
    <row r="1725" hidden="1">
      <c r="A1725" s="1" t="s">
        <v>642</v>
      </c>
    </row>
    <row r="1726" hidden="1">
      <c r="A1726" s="1" t="s">
        <v>643</v>
      </c>
    </row>
    <row r="1727">
      <c r="A1727" s="1" t="s">
        <v>1613</v>
      </c>
      <c r="B1727" s="2">
        <f>IFERROR(__xludf.DUMMYFUNCTION("SPLIT(A1727,""_"")"),2.0151027E7)</f>
        <v>20151027</v>
      </c>
      <c r="C1727" s="2" t="str">
        <f>IFERROR(__xludf.DUMMYFUNCTION("""COMPUTED_VALUE"""),"GILD")</f>
        <v>GILD</v>
      </c>
      <c r="D1727" s="2" t="str">
        <f>LEFT(B1727,4)</f>
        <v>2015</v>
      </c>
      <c r="E1727" s="2" t="str">
        <f>MID(B1727,5,2)</f>
        <v>10</v>
      </c>
      <c r="F1727" s="2" t="str">
        <f>RIGHT(B1727,2)</f>
        <v>27</v>
      </c>
      <c r="G1727" s="29">
        <f>DATE(D1727,E1727,F1727)</f>
        <v>42304</v>
      </c>
    </row>
    <row r="1728" hidden="1">
      <c r="A1728" s="1" t="s">
        <v>642</v>
      </c>
    </row>
    <row r="1729" hidden="1">
      <c r="A1729" s="1" t="s">
        <v>643</v>
      </c>
    </row>
    <row r="1730">
      <c r="A1730" s="1" t="s">
        <v>1614</v>
      </c>
      <c r="B1730" s="2">
        <f>IFERROR(__xludf.DUMMYFUNCTION("SPLIT(A1730,""_"")"),2.0151027E7)</f>
        <v>20151027</v>
      </c>
      <c r="C1730" s="2" t="str">
        <f>IFERROR(__xludf.DUMMYFUNCTION("""COMPUTED_VALUE"""),"HCA")</f>
        <v>HCA</v>
      </c>
      <c r="D1730" s="2" t="str">
        <f>LEFT(B1730,4)</f>
        <v>2015</v>
      </c>
      <c r="E1730" s="2" t="str">
        <f>MID(B1730,5,2)</f>
        <v>10</v>
      </c>
      <c r="F1730" s="2" t="str">
        <f>RIGHT(B1730,2)</f>
        <v>27</v>
      </c>
      <c r="G1730" s="29">
        <f>DATE(D1730,E1730,F1730)</f>
        <v>42304</v>
      </c>
    </row>
    <row r="1731" hidden="1">
      <c r="A1731" s="1" t="s">
        <v>642</v>
      </c>
    </row>
    <row r="1732" hidden="1">
      <c r="A1732" s="1" t="s">
        <v>643</v>
      </c>
    </row>
    <row r="1733">
      <c r="A1733" s="1" t="s">
        <v>1615</v>
      </c>
      <c r="B1733" s="2">
        <f>IFERROR(__xludf.DUMMYFUNCTION("SPLIT(A1733,""_"")"),2.0151027E7)</f>
        <v>20151027</v>
      </c>
      <c r="C1733" s="2" t="str">
        <f>IFERROR(__xludf.DUMMYFUNCTION("""COMPUTED_VALUE"""),"HLIT")</f>
        <v>HLIT</v>
      </c>
      <c r="D1733" s="2" t="str">
        <f>LEFT(B1733,4)</f>
        <v>2015</v>
      </c>
      <c r="E1733" s="2" t="str">
        <f>MID(B1733,5,2)</f>
        <v>10</v>
      </c>
      <c r="F1733" s="2" t="str">
        <f>RIGHT(B1733,2)</f>
        <v>27</v>
      </c>
      <c r="G1733" s="29">
        <f>DATE(D1733,E1733,F1733)</f>
        <v>42304</v>
      </c>
    </row>
    <row r="1734" hidden="1">
      <c r="A1734" s="1" t="s">
        <v>642</v>
      </c>
    </row>
    <row r="1735" hidden="1">
      <c r="A1735" s="1" t="s">
        <v>643</v>
      </c>
    </row>
    <row r="1736">
      <c r="A1736" s="1" t="s">
        <v>1616</v>
      </c>
      <c r="B1736" s="2">
        <f>IFERROR(__xludf.DUMMYFUNCTION("SPLIT(A1736,""_"")"),2.0151027E7)</f>
        <v>20151027</v>
      </c>
      <c r="C1736" s="2" t="str">
        <f>IFERROR(__xludf.DUMMYFUNCTION("""COMPUTED_VALUE"""),"HSII")</f>
        <v>HSII</v>
      </c>
      <c r="D1736" s="2" t="str">
        <f>LEFT(B1736,4)</f>
        <v>2015</v>
      </c>
      <c r="E1736" s="2" t="str">
        <f>MID(B1736,5,2)</f>
        <v>10</v>
      </c>
      <c r="F1736" s="2" t="str">
        <f>RIGHT(B1736,2)</f>
        <v>27</v>
      </c>
      <c r="G1736" s="29">
        <f>DATE(D1736,E1736,F1736)</f>
        <v>42304</v>
      </c>
    </row>
    <row r="1737" hidden="1">
      <c r="A1737" s="1" t="s">
        <v>642</v>
      </c>
    </row>
    <row r="1738" hidden="1">
      <c r="A1738" s="1" t="s">
        <v>643</v>
      </c>
    </row>
    <row r="1739">
      <c r="A1739" s="1" t="s">
        <v>1617</v>
      </c>
      <c r="B1739" s="2">
        <f>IFERROR(__xludf.DUMMYFUNCTION("SPLIT(A1739,""_"")"),2.0151027E7)</f>
        <v>20151027</v>
      </c>
      <c r="C1739" s="2" t="str">
        <f>IFERROR(__xludf.DUMMYFUNCTION("""COMPUTED_VALUE"""),"IIVI")</f>
        <v>IIVI</v>
      </c>
      <c r="D1739" s="2" t="str">
        <f>LEFT(B1739,4)</f>
        <v>2015</v>
      </c>
      <c r="E1739" s="2" t="str">
        <f>MID(B1739,5,2)</f>
        <v>10</v>
      </c>
      <c r="F1739" s="2" t="str">
        <f>RIGHT(B1739,2)</f>
        <v>27</v>
      </c>
      <c r="G1739" s="29">
        <f>DATE(D1739,E1739,F1739)</f>
        <v>42304</v>
      </c>
    </row>
    <row r="1740" hidden="1">
      <c r="A1740" s="1" t="s">
        <v>642</v>
      </c>
    </row>
    <row r="1741" hidden="1">
      <c r="A1741" s="1" t="s">
        <v>643</v>
      </c>
    </row>
    <row r="1742">
      <c r="A1742" s="1" t="s">
        <v>1618</v>
      </c>
      <c r="B1742" s="2">
        <f>IFERROR(__xludf.DUMMYFUNCTION("SPLIT(A1742,""_"")"),2.0151027E7)</f>
        <v>20151027</v>
      </c>
      <c r="C1742" s="2" t="str">
        <f>IFERROR(__xludf.DUMMYFUNCTION("""COMPUTED_VALUE"""),"MAS")</f>
        <v>MAS</v>
      </c>
      <c r="D1742" s="2" t="str">
        <f>LEFT(B1742,4)</f>
        <v>2015</v>
      </c>
      <c r="E1742" s="2" t="str">
        <f>MID(B1742,5,2)</f>
        <v>10</v>
      </c>
      <c r="F1742" s="2" t="str">
        <f>RIGHT(B1742,2)</f>
        <v>27</v>
      </c>
      <c r="G1742" s="29">
        <f>DATE(D1742,E1742,F1742)</f>
        <v>42304</v>
      </c>
    </row>
    <row r="1743" hidden="1">
      <c r="A1743" s="1" t="s">
        <v>642</v>
      </c>
    </row>
    <row r="1744" hidden="1">
      <c r="A1744" s="1" t="s">
        <v>643</v>
      </c>
    </row>
    <row r="1745">
      <c r="A1745" s="1" t="s">
        <v>1619</v>
      </c>
      <c r="B1745" s="2">
        <f>IFERROR(__xludf.DUMMYFUNCTION("SPLIT(A1745,""_"")"),2.0151027E7)</f>
        <v>20151027</v>
      </c>
      <c r="C1745" s="2" t="str">
        <f>IFERROR(__xludf.DUMMYFUNCTION("""COMPUTED_VALUE"""),"MDC")</f>
        <v>MDC</v>
      </c>
      <c r="D1745" s="2" t="str">
        <f>LEFT(B1745,4)</f>
        <v>2015</v>
      </c>
      <c r="E1745" s="2" t="str">
        <f>MID(B1745,5,2)</f>
        <v>10</v>
      </c>
      <c r="F1745" s="2" t="str">
        <f>RIGHT(B1745,2)</f>
        <v>27</v>
      </c>
      <c r="G1745" s="29">
        <f>DATE(D1745,E1745,F1745)</f>
        <v>42304</v>
      </c>
    </row>
    <row r="1746" hidden="1">
      <c r="A1746" s="1" t="s">
        <v>642</v>
      </c>
    </row>
    <row r="1747" hidden="1">
      <c r="A1747" s="1" t="s">
        <v>643</v>
      </c>
    </row>
    <row r="1748">
      <c r="A1748" s="1" t="s">
        <v>1620</v>
      </c>
      <c r="B1748" s="2">
        <f>IFERROR(__xludf.DUMMYFUNCTION("SPLIT(A1748,""_"")"),2.0151027E7)</f>
        <v>20151027</v>
      </c>
      <c r="C1748" s="2" t="str">
        <f>IFERROR(__xludf.DUMMYFUNCTION("""COMPUTED_VALUE"""),"MDSO")</f>
        <v>MDSO</v>
      </c>
      <c r="D1748" s="2" t="str">
        <f>LEFT(B1748,4)</f>
        <v>2015</v>
      </c>
      <c r="E1748" s="2" t="str">
        <f>MID(B1748,5,2)</f>
        <v>10</v>
      </c>
      <c r="F1748" s="2" t="str">
        <f>RIGHT(B1748,2)</f>
        <v>27</v>
      </c>
      <c r="G1748" s="29">
        <f>DATE(D1748,E1748,F1748)</f>
        <v>42304</v>
      </c>
    </row>
    <row r="1749" hidden="1">
      <c r="A1749" s="1" t="s">
        <v>642</v>
      </c>
    </row>
    <row r="1750" hidden="1">
      <c r="A1750" s="1" t="s">
        <v>643</v>
      </c>
    </row>
    <row r="1751">
      <c r="A1751" s="1" t="s">
        <v>1621</v>
      </c>
      <c r="B1751" s="2">
        <f>IFERROR(__xludf.DUMMYFUNCTION("SPLIT(A1751,""_"")"),2.0151027E7)</f>
        <v>20151027</v>
      </c>
      <c r="C1751" s="2" t="str">
        <f>IFERROR(__xludf.DUMMYFUNCTION("""COMPUTED_VALUE"""),"NUVA")</f>
        <v>NUVA</v>
      </c>
      <c r="D1751" s="2" t="str">
        <f>LEFT(B1751,4)</f>
        <v>2015</v>
      </c>
      <c r="E1751" s="2" t="str">
        <f>MID(B1751,5,2)</f>
        <v>10</v>
      </c>
      <c r="F1751" s="2" t="str">
        <f>RIGHT(B1751,2)</f>
        <v>27</v>
      </c>
      <c r="G1751" s="29">
        <f>DATE(D1751,E1751,F1751)</f>
        <v>42304</v>
      </c>
    </row>
    <row r="1752" hidden="1">
      <c r="A1752" s="1" t="s">
        <v>642</v>
      </c>
    </row>
    <row r="1753" hidden="1">
      <c r="A1753" s="1" t="s">
        <v>643</v>
      </c>
    </row>
    <row r="1754">
      <c r="A1754" s="1" t="s">
        <v>1622</v>
      </c>
      <c r="B1754" s="2">
        <f>IFERROR(__xludf.DUMMYFUNCTION("SPLIT(A1754,""_"")"),2.0151027E7)</f>
        <v>20151027</v>
      </c>
      <c r="C1754" s="2" t="str">
        <f>IFERROR(__xludf.DUMMYFUNCTION("""COMPUTED_VALUE"""),"PCH")</f>
        <v>PCH</v>
      </c>
      <c r="D1754" s="2" t="str">
        <f>LEFT(B1754,4)</f>
        <v>2015</v>
      </c>
      <c r="E1754" s="2" t="str">
        <f>MID(B1754,5,2)</f>
        <v>10</v>
      </c>
      <c r="F1754" s="2" t="str">
        <f>RIGHT(B1754,2)</f>
        <v>27</v>
      </c>
      <c r="G1754" s="29">
        <f>DATE(D1754,E1754,F1754)</f>
        <v>42304</v>
      </c>
    </row>
    <row r="1755" hidden="1">
      <c r="A1755" s="1" t="s">
        <v>642</v>
      </c>
    </row>
    <row r="1756" hidden="1">
      <c r="A1756" s="1" t="s">
        <v>643</v>
      </c>
    </row>
    <row r="1757">
      <c r="A1757" s="1" t="s">
        <v>1623</v>
      </c>
      <c r="B1757" s="2">
        <f>IFERROR(__xludf.DUMMYFUNCTION("SPLIT(A1757,""_"")"),2.0151027E7)</f>
        <v>20151027</v>
      </c>
      <c r="C1757" s="2" t="str">
        <f>IFERROR(__xludf.DUMMYFUNCTION("""COMPUTED_VALUE"""),"SKYW")</f>
        <v>SKYW</v>
      </c>
      <c r="D1757" s="2" t="str">
        <f>LEFT(B1757,4)</f>
        <v>2015</v>
      </c>
      <c r="E1757" s="2" t="str">
        <f>MID(B1757,5,2)</f>
        <v>10</v>
      </c>
      <c r="F1757" s="2" t="str">
        <f>RIGHT(B1757,2)</f>
        <v>27</v>
      </c>
      <c r="G1757" s="29">
        <f>DATE(D1757,E1757,F1757)</f>
        <v>42304</v>
      </c>
    </row>
    <row r="1758" hidden="1">
      <c r="A1758" s="1" t="s">
        <v>642</v>
      </c>
    </row>
    <row r="1759" hidden="1">
      <c r="A1759" s="1" t="s">
        <v>643</v>
      </c>
    </row>
    <row r="1760">
      <c r="A1760" s="1" t="s">
        <v>1624</v>
      </c>
      <c r="B1760" s="2">
        <f>IFERROR(__xludf.DUMMYFUNCTION("SPLIT(A1760,""_"")"),2.0151027E7)</f>
        <v>20151027</v>
      </c>
      <c r="C1760" s="2" t="str">
        <f>IFERROR(__xludf.DUMMYFUNCTION("""COMPUTED_VALUE"""),"SPG")</f>
        <v>SPG</v>
      </c>
      <c r="D1760" s="2" t="str">
        <f>LEFT(B1760,4)</f>
        <v>2015</v>
      </c>
      <c r="E1760" s="2" t="str">
        <f>MID(B1760,5,2)</f>
        <v>10</v>
      </c>
      <c r="F1760" s="2" t="str">
        <f>RIGHT(B1760,2)</f>
        <v>27</v>
      </c>
      <c r="G1760" s="29">
        <f>DATE(D1760,E1760,F1760)</f>
        <v>42304</v>
      </c>
    </row>
    <row r="1761" hidden="1">
      <c r="A1761" s="1" t="s">
        <v>642</v>
      </c>
    </row>
    <row r="1762" hidden="1">
      <c r="A1762" s="1" t="s">
        <v>643</v>
      </c>
    </row>
    <row r="1763">
      <c r="A1763" s="1" t="s">
        <v>1625</v>
      </c>
      <c r="B1763" s="2">
        <f>IFERROR(__xludf.DUMMYFUNCTION("SPLIT(A1763,""_"")"),2.0151027E7)</f>
        <v>20151027</v>
      </c>
      <c r="C1763" s="2" t="str">
        <f>IFERROR(__xludf.DUMMYFUNCTION("""COMPUTED_VALUE"""),"TPR")</f>
        <v>TPR</v>
      </c>
      <c r="D1763" s="2" t="str">
        <f>LEFT(B1763,4)</f>
        <v>2015</v>
      </c>
      <c r="E1763" s="2" t="str">
        <f>MID(B1763,5,2)</f>
        <v>10</v>
      </c>
      <c r="F1763" s="2" t="str">
        <f>RIGHT(B1763,2)</f>
        <v>27</v>
      </c>
      <c r="G1763" s="29">
        <f>DATE(D1763,E1763,F1763)</f>
        <v>42304</v>
      </c>
    </row>
    <row r="1764" hidden="1">
      <c r="A1764" s="1" t="s">
        <v>642</v>
      </c>
    </row>
    <row r="1765" hidden="1">
      <c r="A1765" s="1" t="s">
        <v>643</v>
      </c>
    </row>
    <row r="1766">
      <c r="A1766" s="1" t="s">
        <v>1626</v>
      </c>
      <c r="B1766" s="2">
        <f>IFERROR(__xludf.DUMMYFUNCTION("SPLIT(A1766,""_"")"),2.0151027E7)</f>
        <v>20151027</v>
      </c>
      <c r="C1766" s="2" t="str">
        <f>IFERROR(__xludf.DUMMYFUNCTION("""COMPUTED_VALUE"""),"TREX")</f>
        <v>TREX</v>
      </c>
      <c r="D1766" s="2" t="str">
        <f>LEFT(B1766,4)</f>
        <v>2015</v>
      </c>
      <c r="E1766" s="2" t="str">
        <f>MID(B1766,5,2)</f>
        <v>10</v>
      </c>
      <c r="F1766" s="2" t="str">
        <f>RIGHT(B1766,2)</f>
        <v>27</v>
      </c>
      <c r="G1766" s="29">
        <f>DATE(D1766,E1766,F1766)</f>
        <v>42304</v>
      </c>
    </row>
    <row r="1767" hidden="1">
      <c r="A1767" s="1" t="s">
        <v>642</v>
      </c>
    </row>
    <row r="1768" hidden="1">
      <c r="A1768" s="1" t="s">
        <v>643</v>
      </c>
    </row>
    <row r="1769">
      <c r="A1769" s="1" t="s">
        <v>1627</v>
      </c>
      <c r="B1769" s="2">
        <f>IFERROR(__xludf.DUMMYFUNCTION("SPLIT(A1769,""_"")"),2.0151027E7)</f>
        <v>20151027</v>
      </c>
      <c r="C1769" s="2" t="str">
        <f>IFERROR(__xludf.DUMMYFUNCTION("""COMPUTED_VALUE"""),"ULTI")</f>
        <v>ULTI</v>
      </c>
      <c r="D1769" s="2" t="str">
        <f>LEFT(B1769,4)</f>
        <v>2015</v>
      </c>
      <c r="E1769" s="2" t="str">
        <f>MID(B1769,5,2)</f>
        <v>10</v>
      </c>
      <c r="F1769" s="2" t="str">
        <f>RIGHT(B1769,2)</f>
        <v>27</v>
      </c>
      <c r="G1769" s="29">
        <f>DATE(D1769,E1769,F1769)</f>
        <v>42304</v>
      </c>
    </row>
    <row r="1770" hidden="1">
      <c r="A1770" s="1" t="s">
        <v>642</v>
      </c>
    </row>
    <row r="1771" hidden="1">
      <c r="A1771" s="1" t="s">
        <v>643</v>
      </c>
    </row>
    <row r="1772">
      <c r="A1772" s="1" t="s">
        <v>1628</v>
      </c>
      <c r="B1772" s="2">
        <f>IFERROR(__xludf.DUMMYFUNCTION("SPLIT(A1772,""_"")"),2.0151027E7)</f>
        <v>20151027</v>
      </c>
      <c r="C1772" s="2" t="str">
        <f>IFERROR(__xludf.DUMMYFUNCTION("""COMPUTED_VALUE"""),"VICR")</f>
        <v>VICR</v>
      </c>
      <c r="D1772" s="2" t="str">
        <f>LEFT(B1772,4)</f>
        <v>2015</v>
      </c>
      <c r="E1772" s="2" t="str">
        <f>MID(B1772,5,2)</f>
        <v>10</v>
      </c>
      <c r="F1772" s="2" t="str">
        <f>RIGHT(B1772,2)</f>
        <v>27</v>
      </c>
      <c r="G1772" s="29">
        <f>DATE(D1772,E1772,F1772)</f>
        <v>42304</v>
      </c>
    </row>
    <row r="1773" hidden="1">
      <c r="A1773" s="1" t="s">
        <v>642</v>
      </c>
    </row>
    <row r="1774" hidden="1">
      <c r="A1774" s="1" t="s">
        <v>643</v>
      </c>
    </row>
    <row r="1775">
      <c r="A1775" s="1" t="s">
        <v>1629</v>
      </c>
      <c r="B1775" s="2">
        <f>IFERROR(__xludf.DUMMYFUNCTION("SPLIT(A1775,""_"")"),2.0151028E7)</f>
        <v>20151028</v>
      </c>
      <c r="C1775" s="2" t="str">
        <f>IFERROR(__xludf.DUMMYFUNCTION("""COMPUTED_VALUE"""),"ADP")</f>
        <v>ADP</v>
      </c>
      <c r="D1775" s="2" t="str">
        <f>LEFT(B1775,4)</f>
        <v>2015</v>
      </c>
      <c r="E1775" s="2" t="str">
        <f>MID(B1775,5,2)</f>
        <v>10</v>
      </c>
      <c r="F1775" s="2" t="str">
        <f>RIGHT(B1775,2)</f>
        <v>28</v>
      </c>
      <c r="G1775" s="29">
        <f>DATE(D1775,E1775,F1775)</f>
        <v>42305</v>
      </c>
    </row>
    <row r="1776" hidden="1">
      <c r="A1776" s="1" t="s">
        <v>642</v>
      </c>
    </row>
    <row r="1777" hidden="1">
      <c r="A1777" s="1" t="s">
        <v>643</v>
      </c>
    </row>
    <row r="1778">
      <c r="A1778" s="1" t="s">
        <v>1630</v>
      </c>
      <c r="B1778" s="2">
        <f>IFERROR(__xludf.DUMMYFUNCTION("SPLIT(A1778,""_"")"),2.0151028E7)</f>
        <v>20151028</v>
      </c>
      <c r="C1778" s="2" t="str">
        <f>IFERROR(__xludf.DUMMYFUNCTION("""COMPUTED_VALUE"""),"AIT")</f>
        <v>AIT</v>
      </c>
      <c r="D1778" s="2" t="str">
        <f>LEFT(B1778,4)</f>
        <v>2015</v>
      </c>
      <c r="E1778" s="2" t="str">
        <f>MID(B1778,5,2)</f>
        <v>10</v>
      </c>
      <c r="F1778" s="2" t="str">
        <f>RIGHT(B1778,2)</f>
        <v>28</v>
      </c>
      <c r="G1778" s="29">
        <f>DATE(D1778,E1778,F1778)</f>
        <v>42305</v>
      </c>
    </row>
    <row r="1779" hidden="1">
      <c r="A1779" s="1" t="s">
        <v>642</v>
      </c>
    </row>
    <row r="1780" hidden="1">
      <c r="A1780" s="1" t="s">
        <v>643</v>
      </c>
    </row>
    <row r="1781">
      <c r="A1781" s="1" t="s">
        <v>1631</v>
      </c>
      <c r="B1781" s="2">
        <f>IFERROR(__xludf.DUMMYFUNCTION("SPLIT(A1781,""_"")"),2.0151028E7)</f>
        <v>20151028</v>
      </c>
      <c r="C1781" s="2" t="str">
        <f>IFERROR(__xludf.DUMMYFUNCTION("""COMPUTED_VALUE"""),"APC")</f>
        <v>APC</v>
      </c>
      <c r="D1781" s="2" t="str">
        <f>LEFT(B1781,4)</f>
        <v>2015</v>
      </c>
      <c r="E1781" s="2" t="str">
        <f>MID(B1781,5,2)</f>
        <v>10</v>
      </c>
      <c r="F1781" s="2" t="str">
        <f>RIGHT(B1781,2)</f>
        <v>28</v>
      </c>
      <c r="G1781" s="29">
        <f>DATE(D1781,E1781,F1781)</f>
        <v>42305</v>
      </c>
    </row>
    <row r="1782" hidden="1">
      <c r="A1782" s="1" t="s">
        <v>642</v>
      </c>
    </row>
    <row r="1783" hidden="1">
      <c r="A1783" s="1" t="s">
        <v>643</v>
      </c>
    </row>
    <row r="1784">
      <c r="A1784" s="1" t="s">
        <v>1632</v>
      </c>
      <c r="B1784" s="2">
        <f>IFERROR(__xludf.DUMMYFUNCTION("SPLIT(A1784,""_"")"),2.0151028E7)</f>
        <v>20151028</v>
      </c>
      <c r="C1784" s="2" t="str">
        <f>IFERROR(__xludf.DUMMYFUNCTION("""COMPUTED_VALUE"""),"ASGN")</f>
        <v>ASGN</v>
      </c>
      <c r="D1784" s="2" t="str">
        <f>LEFT(B1784,4)</f>
        <v>2015</v>
      </c>
      <c r="E1784" s="2" t="str">
        <f>MID(B1784,5,2)</f>
        <v>10</v>
      </c>
      <c r="F1784" s="2" t="str">
        <f>RIGHT(B1784,2)</f>
        <v>28</v>
      </c>
      <c r="G1784" s="29">
        <f>DATE(D1784,E1784,F1784)</f>
        <v>42305</v>
      </c>
    </row>
    <row r="1785" hidden="1">
      <c r="A1785" s="1" t="s">
        <v>642</v>
      </c>
    </row>
    <row r="1786" hidden="1">
      <c r="A1786" s="1" t="s">
        <v>643</v>
      </c>
    </row>
    <row r="1787">
      <c r="A1787" s="1" t="s">
        <v>1633</v>
      </c>
      <c r="B1787" s="2">
        <f>IFERROR(__xludf.DUMMYFUNCTION("SPLIT(A1787,""_"")"),2.0151028E7)</f>
        <v>20151028</v>
      </c>
      <c r="C1787" s="2" t="str">
        <f>IFERROR(__xludf.DUMMYFUNCTION("""COMPUTED_VALUE"""),"CMC")</f>
        <v>CMC</v>
      </c>
      <c r="D1787" s="2" t="str">
        <f>LEFT(B1787,4)</f>
        <v>2015</v>
      </c>
      <c r="E1787" s="2" t="str">
        <f>MID(B1787,5,2)</f>
        <v>10</v>
      </c>
      <c r="F1787" s="2" t="str">
        <f>RIGHT(B1787,2)</f>
        <v>28</v>
      </c>
      <c r="G1787" s="29">
        <f>DATE(D1787,E1787,F1787)</f>
        <v>42305</v>
      </c>
    </row>
    <row r="1788" hidden="1">
      <c r="A1788" s="1" t="s">
        <v>642</v>
      </c>
    </row>
    <row r="1789" hidden="1">
      <c r="A1789" s="1" t="s">
        <v>643</v>
      </c>
    </row>
    <row r="1790">
      <c r="A1790" s="1" t="s">
        <v>1634</v>
      </c>
      <c r="B1790" s="2">
        <f>IFERROR(__xludf.DUMMYFUNCTION("SPLIT(A1790,""_"")"),2.0151028E7)</f>
        <v>20151028</v>
      </c>
      <c r="C1790" s="2" t="str">
        <f>IFERROR(__xludf.DUMMYFUNCTION("""COMPUTED_VALUE"""),"CRUS")</f>
        <v>CRUS</v>
      </c>
      <c r="D1790" s="2" t="str">
        <f>LEFT(B1790,4)</f>
        <v>2015</v>
      </c>
      <c r="E1790" s="2" t="str">
        <f>MID(B1790,5,2)</f>
        <v>10</v>
      </c>
      <c r="F1790" s="2" t="str">
        <f>RIGHT(B1790,2)</f>
        <v>28</v>
      </c>
      <c r="G1790" s="29">
        <f>DATE(D1790,E1790,F1790)</f>
        <v>42305</v>
      </c>
    </row>
    <row r="1791" hidden="1">
      <c r="A1791" s="1" t="s">
        <v>642</v>
      </c>
    </row>
    <row r="1792" hidden="1">
      <c r="A1792" s="1" t="s">
        <v>643</v>
      </c>
    </row>
    <row r="1793">
      <c r="A1793" s="1" t="s">
        <v>1635</v>
      </c>
      <c r="B1793" s="2">
        <f>IFERROR(__xludf.DUMMYFUNCTION("SPLIT(A1793,""_"")"),2.0151028E7)</f>
        <v>20151028</v>
      </c>
      <c r="C1793" s="2" t="str">
        <f>IFERROR(__xludf.DUMMYFUNCTION("""COMPUTED_VALUE"""),"DHX")</f>
        <v>DHX</v>
      </c>
      <c r="D1793" s="2" t="str">
        <f>LEFT(B1793,4)</f>
        <v>2015</v>
      </c>
      <c r="E1793" s="2" t="str">
        <f>MID(B1793,5,2)</f>
        <v>10</v>
      </c>
      <c r="F1793" s="2" t="str">
        <f>RIGHT(B1793,2)</f>
        <v>28</v>
      </c>
      <c r="G1793" s="29">
        <f>DATE(D1793,E1793,F1793)</f>
        <v>42305</v>
      </c>
    </row>
    <row r="1794" hidden="1">
      <c r="A1794" s="1" t="s">
        <v>642</v>
      </c>
    </row>
    <row r="1795" hidden="1">
      <c r="A1795" s="1" t="s">
        <v>643</v>
      </c>
    </row>
    <row r="1796">
      <c r="A1796" s="1" t="s">
        <v>1636</v>
      </c>
      <c r="B1796" s="2">
        <f>IFERROR(__xludf.DUMMYFUNCTION("SPLIT(A1796,""_"")"),2.0151028E7)</f>
        <v>20151028</v>
      </c>
      <c r="C1796" s="2" t="str">
        <f>IFERROR(__xludf.DUMMYFUNCTION("""COMPUTED_VALUE"""),"DSPG")</f>
        <v>DSPG</v>
      </c>
      <c r="D1796" s="2" t="str">
        <f>LEFT(B1796,4)</f>
        <v>2015</v>
      </c>
      <c r="E1796" s="2" t="str">
        <f>MID(B1796,5,2)</f>
        <v>10</v>
      </c>
      <c r="F1796" s="2" t="str">
        <f>RIGHT(B1796,2)</f>
        <v>28</v>
      </c>
      <c r="G1796" s="29">
        <f>DATE(D1796,E1796,F1796)</f>
        <v>42305</v>
      </c>
    </row>
    <row r="1797" hidden="1">
      <c r="A1797" s="1" t="s">
        <v>642</v>
      </c>
    </row>
    <row r="1798" hidden="1">
      <c r="A1798" s="1" t="s">
        <v>643</v>
      </c>
    </row>
    <row r="1799">
      <c r="A1799" s="1" t="s">
        <v>1637</v>
      </c>
      <c r="B1799" s="2">
        <f>IFERROR(__xludf.DUMMYFUNCTION("SPLIT(A1799,""_"")"),2.0151028E7)</f>
        <v>20151028</v>
      </c>
      <c r="C1799" s="2" t="str">
        <f>IFERROR(__xludf.DUMMYFUNCTION("""COMPUTED_VALUE"""),"ECHO")</f>
        <v>ECHO</v>
      </c>
      <c r="D1799" s="2" t="str">
        <f>LEFT(B1799,4)</f>
        <v>2015</v>
      </c>
      <c r="E1799" s="2" t="str">
        <f>MID(B1799,5,2)</f>
        <v>10</v>
      </c>
      <c r="F1799" s="2" t="str">
        <f>RIGHT(B1799,2)</f>
        <v>28</v>
      </c>
      <c r="G1799" s="29">
        <f>DATE(D1799,E1799,F1799)</f>
        <v>42305</v>
      </c>
    </row>
    <row r="1800" hidden="1">
      <c r="A1800" s="1" t="s">
        <v>642</v>
      </c>
    </row>
    <row r="1801" hidden="1">
      <c r="A1801" s="1" t="s">
        <v>643</v>
      </c>
    </row>
    <row r="1802">
      <c r="A1802" s="1" t="s">
        <v>1638</v>
      </c>
      <c r="B1802" s="2">
        <f>IFERROR(__xludf.DUMMYFUNCTION("SPLIT(A1802,""_"")"),2.0151028E7)</f>
        <v>20151028</v>
      </c>
      <c r="C1802" s="2" t="str">
        <f>IFERROR(__xludf.DUMMYFUNCTION("""COMPUTED_VALUE"""),"GRMN")</f>
        <v>GRMN</v>
      </c>
      <c r="D1802" s="2" t="str">
        <f>LEFT(B1802,4)</f>
        <v>2015</v>
      </c>
      <c r="E1802" s="2" t="str">
        <f>MID(B1802,5,2)</f>
        <v>10</v>
      </c>
      <c r="F1802" s="2" t="str">
        <f>RIGHT(B1802,2)</f>
        <v>28</v>
      </c>
      <c r="G1802" s="29">
        <f>DATE(D1802,E1802,F1802)</f>
        <v>42305</v>
      </c>
    </row>
    <row r="1803" hidden="1">
      <c r="A1803" s="1" t="s">
        <v>642</v>
      </c>
    </row>
    <row r="1804" hidden="1">
      <c r="A1804" s="1" t="s">
        <v>643</v>
      </c>
    </row>
    <row r="1805">
      <c r="A1805" s="1" t="s">
        <v>1639</v>
      </c>
      <c r="B1805" s="2">
        <f>IFERROR(__xludf.DUMMYFUNCTION("SPLIT(A1805,""_"")"),2.0151028E7)</f>
        <v>20151028</v>
      </c>
      <c r="C1805" s="2" t="str">
        <f>IFERROR(__xludf.DUMMYFUNCTION("""COMPUTED_VALUE"""),"HSY")</f>
        <v>HSY</v>
      </c>
      <c r="D1805" s="2" t="str">
        <f>LEFT(B1805,4)</f>
        <v>2015</v>
      </c>
      <c r="E1805" s="2" t="str">
        <f>MID(B1805,5,2)</f>
        <v>10</v>
      </c>
      <c r="F1805" s="2" t="str">
        <f>RIGHT(B1805,2)</f>
        <v>28</v>
      </c>
      <c r="G1805" s="29">
        <f>DATE(D1805,E1805,F1805)</f>
        <v>42305</v>
      </c>
    </row>
    <row r="1806" hidden="1">
      <c r="A1806" s="1" t="s">
        <v>642</v>
      </c>
    </row>
    <row r="1807" hidden="1">
      <c r="A1807" s="1" t="s">
        <v>643</v>
      </c>
    </row>
    <row r="1808">
      <c r="A1808" s="1" t="s">
        <v>1640</v>
      </c>
      <c r="B1808" s="2">
        <f>IFERROR(__xludf.DUMMYFUNCTION("SPLIT(A1808,""_"")"),2.0151028E7)</f>
        <v>20151028</v>
      </c>
      <c r="C1808" s="2" t="str">
        <f>IFERROR(__xludf.DUMMYFUNCTION("""COMPUTED_VALUE"""),"NSIT")</f>
        <v>NSIT</v>
      </c>
      <c r="D1808" s="2" t="str">
        <f>LEFT(B1808,4)</f>
        <v>2015</v>
      </c>
      <c r="E1808" s="2" t="str">
        <f>MID(B1808,5,2)</f>
        <v>10</v>
      </c>
      <c r="F1808" s="2" t="str">
        <f>RIGHT(B1808,2)</f>
        <v>28</v>
      </c>
      <c r="G1808" s="29">
        <f>DATE(D1808,E1808,F1808)</f>
        <v>42305</v>
      </c>
    </row>
    <row r="1809" hidden="1">
      <c r="A1809" s="1" t="s">
        <v>642</v>
      </c>
    </row>
    <row r="1810" hidden="1">
      <c r="A1810" s="1" t="s">
        <v>643</v>
      </c>
    </row>
    <row r="1811">
      <c r="A1811" s="1" t="s">
        <v>1641</v>
      </c>
      <c r="B1811" s="2">
        <f>IFERROR(__xludf.DUMMYFUNCTION("SPLIT(A1811,""_"")"),2.0151028E7)</f>
        <v>20151028</v>
      </c>
      <c r="C1811" s="2" t="str">
        <f>IFERROR(__xludf.DUMMYFUNCTION("""COMPUTED_VALUE"""),"NTRI")</f>
        <v>NTRI</v>
      </c>
      <c r="D1811" s="2" t="str">
        <f>LEFT(B1811,4)</f>
        <v>2015</v>
      </c>
      <c r="E1811" s="2" t="str">
        <f>MID(B1811,5,2)</f>
        <v>10</v>
      </c>
      <c r="F1811" s="2" t="str">
        <f>RIGHT(B1811,2)</f>
        <v>28</v>
      </c>
      <c r="G1811" s="29">
        <f>DATE(D1811,E1811,F1811)</f>
        <v>42305</v>
      </c>
    </row>
    <row r="1812" hidden="1">
      <c r="A1812" s="1" t="s">
        <v>642</v>
      </c>
    </row>
    <row r="1813" hidden="1">
      <c r="A1813" s="1" t="s">
        <v>643</v>
      </c>
    </row>
    <row r="1814">
      <c r="A1814" s="1" t="s">
        <v>1642</v>
      </c>
      <c r="B1814" s="2">
        <f>IFERROR(__xludf.DUMMYFUNCTION("SPLIT(A1814,""_"")"),2.0151028E7)</f>
        <v>20151028</v>
      </c>
      <c r="C1814" s="2" t="str">
        <f>IFERROR(__xludf.DUMMYFUNCTION("""COMPUTED_VALUE"""),"SAH")</f>
        <v>SAH</v>
      </c>
      <c r="D1814" s="2" t="str">
        <f>LEFT(B1814,4)</f>
        <v>2015</v>
      </c>
      <c r="E1814" s="2" t="str">
        <f>MID(B1814,5,2)</f>
        <v>10</v>
      </c>
      <c r="F1814" s="2" t="str">
        <f>RIGHT(B1814,2)</f>
        <v>28</v>
      </c>
      <c r="G1814" s="29">
        <f>DATE(D1814,E1814,F1814)</f>
        <v>42305</v>
      </c>
    </row>
    <row r="1815" hidden="1">
      <c r="A1815" s="1" t="s">
        <v>642</v>
      </c>
    </row>
    <row r="1816" hidden="1">
      <c r="A1816" s="1" t="s">
        <v>643</v>
      </c>
    </row>
    <row r="1817">
      <c r="A1817" s="1" t="s">
        <v>1643</v>
      </c>
      <c r="B1817" s="2">
        <f>IFERROR(__xludf.DUMMYFUNCTION("SPLIT(A1817,""_"")"),2.0151028E7)</f>
        <v>20151028</v>
      </c>
      <c r="C1817" s="2" t="str">
        <f>IFERROR(__xludf.DUMMYFUNCTION("""COMPUTED_VALUE"""),"SLAB")</f>
        <v>SLAB</v>
      </c>
      <c r="D1817" s="2" t="str">
        <f>LEFT(B1817,4)</f>
        <v>2015</v>
      </c>
      <c r="E1817" s="2" t="str">
        <f>MID(B1817,5,2)</f>
        <v>10</v>
      </c>
      <c r="F1817" s="2" t="str">
        <f>RIGHT(B1817,2)</f>
        <v>28</v>
      </c>
      <c r="G1817" s="29">
        <f>DATE(D1817,E1817,F1817)</f>
        <v>42305</v>
      </c>
    </row>
    <row r="1818" hidden="1">
      <c r="A1818" s="1" t="s">
        <v>642</v>
      </c>
    </row>
    <row r="1819" hidden="1">
      <c r="A1819" s="1" t="s">
        <v>643</v>
      </c>
    </row>
    <row r="1820">
      <c r="A1820" s="1" t="s">
        <v>1644</v>
      </c>
      <c r="B1820" s="2">
        <f>IFERROR(__xludf.DUMMYFUNCTION("SPLIT(A1820,""_"")"),2.0151028E7)</f>
        <v>20151028</v>
      </c>
      <c r="C1820" s="2" t="str">
        <f>IFERROR(__xludf.DUMMYFUNCTION("""COMPUTED_VALUE"""),"VAR")</f>
        <v>VAR</v>
      </c>
      <c r="D1820" s="2" t="str">
        <f>LEFT(B1820,4)</f>
        <v>2015</v>
      </c>
      <c r="E1820" s="2" t="str">
        <f>MID(B1820,5,2)</f>
        <v>10</v>
      </c>
      <c r="F1820" s="2" t="str">
        <f>RIGHT(B1820,2)</f>
        <v>28</v>
      </c>
      <c r="G1820" s="29">
        <f>DATE(D1820,E1820,F1820)</f>
        <v>42305</v>
      </c>
    </row>
    <row r="1821" hidden="1">
      <c r="A1821" s="1" t="s">
        <v>642</v>
      </c>
    </row>
    <row r="1822" hidden="1">
      <c r="A1822" s="1" t="s">
        <v>643</v>
      </c>
    </row>
    <row r="1823">
      <c r="A1823" s="1" t="s">
        <v>1645</v>
      </c>
      <c r="B1823" s="2">
        <f>IFERROR(__xludf.DUMMYFUNCTION("SPLIT(A1823,""_"")"),2.0151028E7)</f>
        <v>20151028</v>
      </c>
      <c r="C1823" s="2" t="str">
        <f>IFERROR(__xludf.DUMMYFUNCTION("""COMPUTED_VALUE"""),"VLO")</f>
        <v>VLO</v>
      </c>
      <c r="D1823" s="2" t="str">
        <f>LEFT(B1823,4)</f>
        <v>2015</v>
      </c>
      <c r="E1823" s="2" t="str">
        <f>MID(B1823,5,2)</f>
        <v>10</v>
      </c>
      <c r="F1823" s="2" t="str">
        <f>RIGHT(B1823,2)</f>
        <v>28</v>
      </c>
      <c r="G1823" s="29">
        <f>DATE(D1823,E1823,F1823)</f>
        <v>42305</v>
      </c>
    </row>
    <row r="1824" hidden="1">
      <c r="A1824" s="1" t="s">
        <v>642</v>
      </c>
    </row>
    <row r="1825" hidden="1">
      <c r="A1825" s="1" t="s">
        <v>643</v>
      </c>
    </row>
    <row r="1826">
      <c r="A1826" s="1" t="s">
        <v>1646</v>
      </c>
      <c r="B1826" s="2">
        <f>IFERROR(__xludf.DUMMYFUNCTION("SPLIT(A1826,""_"")"),2.0151028E7)</f>
        <v>20151028</v>
      </c>
      <c r="C1826" s="2" t="str">
        <f>IFERROR(__xludf.DUMMYFUNCTION("""COMPUTED_VALUE"""),"VRTX")</f>
        <v>VRTX</v>
      </c>
      <c r="D1826" s="2" t="str">
        <f>LEFT(B1826,4)</f>
        <v>2015</v>
      </c>
      <c r="E1826" s="2" t="str">
        <f>MID(B1826,5,2)</f>
        <v>10</v>
      </c>
      <c r="F1826" s="2" t="str">
        <f>RIGHT(B1826,2)</f>
        <v>28</v>
      </c>
      <c r="G1826" s="29">
        <f>DATE(D1826,E1826,F1826)</f>
        <v>42305</v>
      </c>
    </row>
    <row r="1827" hidden="1">
      <c r="A1827" s="1" t="s">
        <v>642</v>
      </c>
    </row>
    <row r="1828" hidden="1">
      <c r="A1828" s="1" t="s">
        <v>643</v>
      </c>
    </row>
    <row r="1829">
      <c r="A1829" s="1" t="s">
        <v>1647</v>
      </c>
      <c r="B1829" s="2">
        <f>IFERROR(__xludf.DUMMYFUNCTION("SPLIT(A1829,""_"")"),2.0151028E7)</f>
        <v>20151028</v>
      </c>
      <c r="C1829" s="2" t="str">
        <f>IFERROR(__xludf.DUMMYFUNCTION("""COMPUTED_VALUE"""),"WDC")</f>
        <v>WDC</v>
      </c>
      <c r="D1829" s="2" t="str">
        <f>LEFT(B1829,4)</f>
        <v>2015</v>
      </c>
      <c r="E1829" s="2" t="str">
        <f>MID(B1829,5,2)</f>
        <v>10</v>
      </c>
      <c r="F1829" s="2" t="str">
        <f>RIGHT(B1829,2)</f>
        <v>28</v>
      </c>
      <c r="G1829" s="29">
        <f>DATE(D1829,E1829,F1829)</f>
        <v>42305</v>
      </c>
    </row>
    <row r="1830" hidden="1">
      <c r="A1830" s="1" t="s">
        <v>642</v>
      </c>
    </row>
    <row r="1831" hidden="1">
      <c r="A1831" s="1" t="s">
        <v>643</v>
      </c>
    </row>
    <row r="1832">
      <c r="A1832" s="1" t="s">
        <v>1648</v>
      </c>
      <c r="B1832" s="2">
        <f>IFERROR(__xludf.DUMMYFUNCTION("SPLIT(A1832,""_"")"),2.0151028E7)</f>
        <v>20151028</v>
      </c>
      <c r="C1832" s="2" t="str">
        <f>IFERROR(__xludf.DUMMYFUNCTION("""COMPUTED_VALUE"""),"XRAY")</f>
        <v>XRAY</v>
      </c>
      <c r="D1832" s="2" t="str">
        <f>LEFT(B1832,4)</f>
        <v>2015</v>
      </c>
      <c r="E1832" s="2" t="str">
        <f>MID(B1832,5,2)</f>
        <v>10</v>
      </c>
      <c r="F1832" s="2" t="str">
        <f>RIGHT(B1832,2)</f>
        <v>28</v>
      </c>
      <c r="G1832" s="29">
        <f>DATE(D1832,E1832,F1832)</f>
        <v>42305</v>
      </c>
    </row>
    <row r="1833" hidden="1">
      <c r="A1833" s="1" t="s">
        <v>642</v>
      </c>
    </row>
    <row r="1834" hidden="1">
      <c r="A1834" s="1" t="s">
        <v>643</v>
      </c>
    </row>
    <row r="1835">
      <c r="A1835" s="1" t="s">
        <v>1649</v>
      </c>
      <c r="B1835" s="2">
        <f>IFERROR(__xludf.DUMMYFUNCTION("SPLIT(A1835,""_"")"),2.0151029E7)</f>
        <v>20151029</v>
      </c>
      <c r="C1835" s="2" t="str">
        <f>IFERROR(__xludf.DUMMYFUNCTION("""COMPUTED_VALUE"""),"ALXN")</f>
        <v>ALXN</v>
      </c>
      <c r="D1835" s="2" t="str">
        <f>LEFT(B1835,4)</f>
        <v>2015</v>
      </c>
      <c r="E1835" s="2" t="str">
        <f>MID(B1835,5,2)</f>
        <v>10</v>
      </c>
      <c r="F1835" s="2" t="str">
        <f>RIGHT(B1835,2)</f>
        <v>29</v>
      </c>
      <c r="G1835" s="29">
        <f>DATE(D1835,E1835,F1835)</f>
        <v>42306</v>
      </c>
    </row>
    <row r="1836" hidden="1">
      <c r="A1836" s="1" t="s">
        <v>642</v>
      </c>
    </row>
    <row r="1837" hidden="1">
      <c r="A1837" s="1" t="s">
        <v>643</v>
      </c>
    </row>
    <row r="1838">
      <c r="A1838" s="1" t="s">
        <v>1650</v>
      </c>
      <c r="B1838" s="2">
        <f>IFERROR(__xludf.DUMMYFUNCTION("SPLIT(A1838,""_"")"),2.0151029E7)</f>
        <v>20151029</v>
      </c>
      <c r="C1838" s="2" t="str">
        <f>IFERROR(__xludf.DUMMYFUNCTION("""COMPUTED_VALUE"""),"AVY")</f>
        <v>AVY</v>
      </c>
      <c r="D1838" s="2" t="str">
        <f>LEFT(B1838,4)</f>
        <v>2015</v>
      </c>
      <c r="E1838" s="2" t="str">
        <f>MID(B1838,5,2)</f>
        <v>10</v>
      </c>
      <c r="F1838" s="2" t="str">
        <f>RIGHT(B1838,2)</f>
        <v>29</v>
      </c>
      <c r="G1838" s="29">
        <f>DATE(D1838,E1838,F1838)</f>
        <v>42306</v>
      </c>
    </row>
    <row r="1839" hidden="1">
      <c r="A1839" s="1" t="s">
        <v>642</v>
      </c>
    </row>
    <row r="1840" hidden="1">
      <c r="A1840" s="1" t="s">
        <v>643</v>
      </c>
    </row>
    <row r="1841">
      <c r="A1841" s="1" t="s">
        <v>1651</v>
      </c>
      <c r="B1841" s="2">
        <f>IFERROR(__xludf.DUMMYFUNCTION("SPLIT(A1841,""_"")"),2.0151029E7)</f>
        <v>20151029</v>
      </c>
      <c r="C1841" s="2" t="str">
        <f>IFERROR(__xludf.DUMMYFUNCTION("""COMPUTED_VALUE"""),"BC")</f>
        <v>BC</v>
      </c>
      <c r="D1841" s="2" t="str">
        <f>LEFT(B1841,4)</f>
        <v>2015</v>
      </c>
      <c r="E1841" s="2" t="str">
        <f>MID(B1841,5,2)</f>
        <v>10</v>
      </c>
      <c r="F1841" s="2" t="str">
        <f>RIGHT(B1841,2)</f>
        <v>29</v>
      </c>
      <c r="G1841" s="29">
        <f>DATE(D1841,E1841,F1841)</f>
        <v>42306</v>
      </c>
    </row>
    <row r="1842" hidden="1">
      <c r="A1842" s="1" t="s">
        <v>642</v>
      </c>
    </row>
    <row r="1843" hidden="1">
      <c r="A1843" s="1" t="s">
        <v>643</v>
      </c>
    </row>
    <row r="1844">
      <c r="A1844" s="1" t="s">
        <v>1652</v>
      </c>
      <c r="B1844" s="2">
        <f>IFERROR(__xludf.DUMMYFUNCTION("SPLIT(A1844,""_"")"),2.0151029E7)</f>
        <v>20151029</v>
      </c>
      <c r="C1844" s="2" t="str">
        <f>IFERROR(__xludf.DUMMYFUNCTION("""COMPUTED_VALUE"""),"BCOR")</f>
        <v>BCOR</v>
      </c>
      <c r="D1844" s="2" t="str">
        <f>LEFT(B1844,4)</f>
        <v>2015</v>
      </c>
      <c r="E1844" s="2" t="str">
        <f>MID(B1844,5,2)</f>
        <v>10</v>
      </c>
      <c r="F1844" s="2" t="str">
        <f>RIGHT(B1844,2)</f>
        <v>29</v>
      </c>
      <c r="G1844" s="29">
        <f>DATE(D1844,E1844,F1844)</f>
        <v>42306</v>
      </c>
    </row>
    <row r="1845" hidden="1">
      <c r="A1845" s="1" t="s">
        <v>642</v>
      </c>
    </row>
    <row r="1846" hidden="1">
      <c r="A1846" s="1" t="s">
        <v>643</v>
      </c>
    </row>
    <row r="1847">
      <c r="A1847" s="1" t="s">
        <v>1653</v>
      </c>
      <c r="B1847" s="2">
        <f>IFERROR(__xludf.DUMMYFUNCTION("SPLIT(A1847,""_"")"),2.0151029E7)</f>
        <v>20151029</v>
      </c>
      <c r="C1847" s="2" t="str">
        <f>IFERROR(__xludf.DUMMYFUNCTION("""COMPUTED_VALUE"""),"CENX")</f>
        <v>CENX</v>
      </c>
      <c r="D1847" s="2" t="str">
        <f>LEFT(B1847,4)</f>
        <v>2015</v>
      </c>
      <c r="E1847" s="2" t="str">
        <f>MID(B1847,5,2)</f>
        <v>10</v>
      </c>
      <c r="F1847" s="2" t="str">
        <f>RIGHT(B1847,2)</f>
        <v>29</v>
      </c>
      <c r="G1847" s="29">
        <f>DATE(D1847,E1847,F1847)</f>
        <v>42306</v>
      </c>
    </row>
    <row r="1848" hidden="1">
      <c r="A1848" s="1" t="s">
        <v>642</v>
      </c>
    </row>
    <row r="1849" hidden="1">
      <c r="A1849" s="1" t="s">
        <v>643</v>
      </c>
    </row>
    <row r="1850">
      <c r="A1850" s="1" t="s">
        <v>1654</v>
      </c>
      <c r="B1850" s="2">
        <f>IFERROR(__xludf.DUMMYFUNCTION("SPLIT(A1850,""_"")"),2.0151029E7)</f>
        <v>20151029</v>
      </c>
      <c r="C1850" s="2" t="str">
        <f>IFERROR(__xludf.DUMMYFUNCTION("""COMPUTED_VALUE"""),"CMS")</f>
        <v>CMS</v>
      </c>
      <c r="D1850" s="2" t="str">
        <f>LEFT(B1850,4)</f>
        <v>2015</v>
      </c>
      <c r="E1850" s="2" t="str">
        <f>MID(B1850,5,2)</f>
        <v>10</v>
      </c>
      <c r="F1850" s="2" t="str">
        <f>RIGHT(B1850,2)</f>
        <v>29</v>
      </c>
      <c r="G1850" s="29">
        <f>DATE(D1850,E1850,F1850)</f>
        <v>42306</v>
      </c>
    </row>
    <row r="1851" hidden="1">
      <c r="A1851" s="1" t="s">
        <v>642</v>
      </c>
    </row>
    <row r="1852" hidden="1">
      <c r="A1852" s="1" t="s">
        <v>643</v>
      </c>
    </row>
    <row r="1853">
      <c r="A1853" s="1" t="s">
        <v>1655</v>
      </c>
      <c r="B1853" s="2">
        <f>IFERROR(__xludf.DUMMYFUNCTION("SPLIT(A1853,""_"")"),2.0151029E7)</f>
        <v>20151029</v>
      </c>
      <c r="C1853" s="2" t="str">
        <f>IFERROR(__xludf.DUMMYFUNCTION("""COMPUTED_VALUE"""),"COLB")</f>
        <v>COLB</v>
      </c>
      <c r="D1853" s="2" t="str">
        <f>LEFT(B1853,4)</f>
        <v>2015</v>
      </c>
      <c r="E1853" s="2" t="str">
        <f>MID(B1853,5,2)</f>
        <v>10</v>
      </c>
      <c r="F1853" s="2" t="str">
        <f>RIGHT(B1853,2)</f>
        <v>29</v>
      </c>
      <c r="G1853" s="29">
        <f>DATE(D1853,E1853,F1853)</f>
        <v>42306</v>
      </c>
    </row>
    <row r="1854" hidden="1">
      <c r="A1854" s="1" t="s">
        <v>642</v>
      </c>
    </row>
    <row r="1855" hidden="1">
      <c r="A1855" s="1" t="s">
        <v>643</v>
      </c>
    </row>
    <row r="1856">
      <c r="A1856" s="1" t="s">
        <v>1656</v>
      </c>
      <c r="B1856" s="2">
        <f>IFERROR(__xludf.DUMMYFUNCTION("SPLIT(A1856,""_"")"),2.0151029E7)</f>
        <v>20151029</v>
      </c>
      <c r="C1856" s="2" t="str">
        <f>IFERROR(__xludf.DUMMYFUNCTION("""COMPUTED_VALUE"""),"CRI")</f>
        <v>CRI</v>
      </c>
      <c r="D1856" s="2" t="str">
        <f>LEFT(B1856,4)</f>
        <v>2015</v>
      </c>
      <c r="E1856" s="2" t="str">
        <f>MID(B1856,5,2)</f>
        <v>10</v>
      </c>
      <c r="F1856" s="2" t="str">
        <f>RIGHT(B1856,2)</f>
        <v>29</v>
      </c>
      <c r="G1856" s="29">
        <f>DATE(D1856,E1856,F1856)</f>
        <v>42306</v>
      </c>
    </row>
    <row r="1857" hidden="1">
      <c r="A1857" s="1" t="s">
        <v>642</v>
      </c>
    </row>
    <row r="1858" hidden="1">
      <c r="A1858" s="1" t="s">
        <v>643</v>
      </c>
    </row>
    <row r="1859">
      <c r="A1859" s="1" t="s">
        <v>1657</v>
      </c>
      <c r="B1859" s="2">
        <f>IFERROR(__xludf.DUMMYFUNCTION("SPLIT(A1859,""_"")"),2.0151029E7)</f>
        <v>20151029</v>
      </c>
      <c r="C1859" s="2" t="str">
        <f>IFERROR(__xludf.DUMMYFUNCTION("""COMPUTED_VALUE"""),"DIN")</f>
        <v>DIN</v>
      </c>
      <c r="D1859" s="2" t="str">
        <f>LEFT(B1859,4)</f>
        <v>2015</v>
      </c>
      <c r="E1859" s="2" t="str">
        <f>MID(B1859,5,2)</f>
        <v>10</v>
      </c>
      <c r="F1859" s="2" t="str">
        <f>RIGHT(B1859,2)</f>
        <v>29</v>
      </c>
      <c r="G1859" s="29">
        <f>DATE(D1859,E1859,F1859)</f>
        <v>42306</v>
      </c>
    </row>
    <row r="1860" hidden="1">
      <c r="A1860" s="1" t="s">
        <v>642</v>
      </c>
    </row>
    <row r="1861" hidden="1">
      <c r="A1861" s="1" t="s">
        <v>643</v>
      </c>
    </row>
    <row r="1862">
      <c r="A1862" s="1" t="s">
        <v>1658</v>
      </c>
      <c r="B1862" s="2">
        <f>IFERROR(__xludf.DUMMYFUNCTION("SPLIT(A1862,""_"")"),2.0151029E7)</f>
        <v>20151029</v>
      </c>
      <c r="C1862" s="2" t="str">
        <f>IFERROR(__xludf.DUMMYFUNCTION("""COMPUTED_VALUE"""),"DLR")</f>
        <v>DLR</v>
      </c>
      <c r="D1862" s="2" t="str">
        <f>LEFT(B1862,4)</f>
        <v>2015</v>
      </c>
      <c r="E1862" s="2" t="str">
        <f>MID(B1862,5,2)</f>
        <v>10</v>
      </c>
      <c r="F1862" s="2" t="str">
        <f>RIGHT(B1862,2)</f>
        <v>29</v>
      </c>
      <c r="G1862" s="29">
        <f>DATE(D1862,E1862,F1862)</f>
        <v>42306</v>
      </c>
    </row>
    <row r="1863" hidden="1">
      <c r="A1863" s="1" t="s">
        <v>642</v>
      </c>
    </row>
    <row r="1864" hidden="1">
      <c r="A1864" s="1" t="s">
        <v>643</v>
      </c>
    </row>
    <row r="1865">
      <c r="A1865" s="1" t="s">
        <v>1659</v>
      </c>
      <c r="B1865" s="2">
        <f>IFERROR(__xludf.DUMMYFUNCTION("SPLIT(A1865,""_"")"),2.0151029E7)</f>
        <v>20151029</v>
      </c>
      <c r="C1865" s="2" t="str">
        <f>IFERROR(__xludf.DUMMYFUNCTION("""COMPUTED_VALUE"""),"EHTH")</f>
        <v>EHTH</v>
      </c>
      <c r="D1865" s="2" t="str">
        <f>LEFT(B1865,4)</f>
        <v>2015</v>
      </c>
      <c r="E1865" s="2" t="str">
        <f>MID(B1865,5,2)</f>
        <v>10</v>
      </c>
      <c r="F1865" s="2" t="str">
        <f>RIGHT(B1865,2)</f>
        <v>29</v>
      </c>
      <c r="G1865" s="29">
        <f>DATE(D1865,E1865,F1865)</f>
        <v>42306</v>
      </c>
    </row>
    <row r="1866" hidden="1">
      <c r="A1866" s="1" t="s">
        <v>642</v>
      </c>
    </row>
    <row r="1867" hidden="1">
      <c r="A1867" s="1" t="s">
        <v>643</v>
      </c>
    </row>
    <row r="1868">
      <c r="A1868" s="1" t="s">
        <v>1660</v>
      </c>
      <c r="B1868" s="2">
        <f>IFERROR(__xludf.DUMMYFUNCTION("SPLIT(A1868,""_"")"),2.0151029E7)</f>
        <v>20151029</v>
      </c>
      <c r="C1868" s="2" t="str">
        <f>IFERROR(__xludf.DUMMYFUNCTION("""COMPUTED_VALUE"""),"FLR")</f>
        <v>FLR</v>
      </c>
      <c r="D1868" s="2" t="str">
        <f>LEFT(B1868,4)</f>
        <v>2015</v>
      </c>
      <c r="E1868" s="2" t="str">
        <f>MID(B1868,5,2)</f>
        <v>10</v>
      </c>
      <c r="F1868" s="2" t="str">
        <f>RIGHT(B1868,2)</f>
        <v>29</v>
      </c>
      <c r="G1868" s="29">
        <f>DATE(D1868,E1868,F1868)</f>
        <v>42306</v>
      </c>
    </row>
    <row r="1869" hidden="1">
      <c r="A1869" s="1" t="s">
        <v>642</v>
      </c>
    </row>
    <row r="1870" hidden="1">
      <c r="A1870" s="1" t="s">
        <v>643</v>
      </c>
    </row>
    <row r="1871">
      <c r="A1871" s="1" t="s">
        <v>1661</v>
      </c>
      <c r="B1871" s="2">
        <f>IFERROR(__xludf.DUMMYFUNCTION("SPLIT(A1871,""_"")"),2.0151029E7)</f>
        <v>20151029</v>
      </c>
      <c r="C1871" s="2" t="str">
        <f>IFERROR(__xludf.DUMMYFUNCTION("""COMPUTED_VALUE"""),"GT")</f>
        <v>GT</v>
      </c>
      <c r="D1871" s="2" t="str">
        <f>LEFT(B1871,4)</f>
        <v>2015</v>
      </c>
      <c r="E1871" s="2" t="str">
        <f>MID(B1871,5,2)</f>
        <v>10</v>
      </c>
      <c r="F1871" s="2" t="str">
        <f>RIGHT(B1871,2)</f>
        <v>29</v>
      </c>
      <c r="G1871" s="29">
        <f>DATE(D1871,E1871,F1871)</f>
        <v>42306</v>
      </c>
    </row>
    <row r="1872" hidden="1">
      <c r="A1872" s="1" t="s">
        <v>642</v>
      </c>
    </row>
    <row r="1873" hidden="1">
      <c r="A1873" s="1" t="s">
        <v>643</v>
      </c>
    </row>
    <row r="1874">
      <c r="A1874" s="1" t="s">
        <v>1662</v>
      </c>
      <c r="B1874" s="2">
        <f>IFERROR(__xludf.DUMMYFUNCTION("SPLIT(A1874,""_"")"),2.0151029E7)</f>
        <v>20151029</v>
      </c>
      <c r="C1874" s="2" t="str">
        <f>IFERROR(__xludf.DUMMYFUNCTION("""COMPUTED_VALUE"""),"GTLS")</f>
        <v>GTLS</v>
      </c>
      <c r="D1874" s="2" t="str">
        <f>LEFT(B1874,4)</f>
        <v>2015</v>
      </c>
      <c r="E1874" s="2" t="str">
        <f>MID(B1874,5,2)</f>
        <v>10</v>
      </c>
      <c r="F1874" s="2" t="str">
        <f>RIGHT(B1874,2)</f>
        <v>29</v>
      </c>
      <c r="G1874" s="29">
        <f>DATE(D1874,E1874,F1874)</f>
        <v>42306</v>
      </c>
    </row>
    <row r="1875" hidden="1">
      <c r="A1875" s="1" t="s">
        <v>642</v>
      </c>
    </row>
    <row r="1876" hidden="1">
      <c r="A1876" s="1" t="s">
        <v>643</v>
      </c>
    </row>
    <row r="1877">
      <c r="A1877" s="1" t="s">
        <v>1663</v>
      </c>
      <c r="B1877" s="2">
        <f>IFERROR(__xludf.DUMMYFUNCTION("SPLIT(A1877,""_"")"),2.0151029E7)</f>
        <v>20151029</v>
      </c>
      <c r="C1877" s="2" t="str">
        <f>IFERROR(__xludf.DUMMYFUNCTION("""COMPUTED_VALUE"""),"HST")</f>
        <v>HST</v>
      </c>
      <c r="D1877" s="2" t="str">
        <f>LEFT(B1877,4)</f>
        <v>2015</v>
      </c>
      <c r="E1877" s="2" t="str">
        <f>MID(B1877,5,2)</f>
        <v>10</v>
      </c>
      <c r="F1877" s="2" t="str">
        <f>RIGHT(B1877,2)</f>
        <v>29</v>
      </c>
      <c r="G1877" s="29">
        <f>DATE(D1877,E1877,F1877)</f>
        <v>42306</v>
      </c>
    </row>
    <row r="1878" hidden="1">
      <c r="A1878" s="1" t="s">
        <v>642</v>
      </c>
    </row>
    <row r="1879" hidden="1">
      <c r="A1879" s="1" t="s">
        <v>643</v>
      </c>
    </row>
    <row r="1880">
      <c r="A1880" s="1" t="s">
        <v>1664</v>
      </c>
      <c r="B1880" s="2">
        <f>IFERROR(__xludf.DUMMYFUNCTION("SPLIT(A1880,""_"")"),2.0151029E7)</f>
        <v>20151029</v>
      </c>
      <c r="C1880" s="2" t="str">
        <f>IFERROR(__xludf.DUMMYFUNCTION("""COMPUTED_VALUE"""),"LANC")</f>
        <v>LANC</v>
      </c>
      <c r="D1880" s="2" t="str">
        <f>LEFT(B1880,4)</f>
        <v>2015</v>
      </c>
      <c r="E1880" s="2" t="str">
        <f>MID(B1880,5,2)</f>
        <v>10</v>
      </c>
      <c r="F1880" s="2" t="str">
        <f>RIGHT(B1880,2)</f>
        <v>29</v>
      </c>
      <c r="G1880" s="29">
        <f>DATE(D1880,E1880,F1880)</f>
        <v>42306</v>
      </c>
    </row>
    <row r="1881" hidden="1">
      <c r="A1881" s="1" t="s">
        <v>642</v>
      </c>
    </row>
    <row r="1882" hidden="1">
      <c r="A1882" s="1" t="s">
        <v>643</v>
      </c>
    </row>
    <row r="1883">
      <c r="A1883" s="1" t="s">
        <v>1665</v>
      </c>
      <c r="B1883" s="2">
        <f>IFERROR(__xludf.DUMMYFUNCTION("SPLIT(A1883,""_"")"),2.0151029E7)</f>
        <v>20151029</v>
      </c>
      <c r="C1883" s="2" t="str">
        <f>IFERROR(__xludf.DUMMYFUNCTION("""COMPUTED_VALUE"""),"LKQ")</f>
        <v>LKQ</v>
      </c>
      <c r="D1883" s="2" t="str">
        <f>LEFT(B1883,4)</f>
        <v>2015</v>
      </c>
      <c r="E1883" s="2" t="str">
        <f>MID(B1883,5,2)</f>
        <v>10</v>
      </c>
      <c r="F1883" s="2" t="str">
        <f>RIGHT(B1883,2)</f>
        <v>29</v>
      </c>
      <c r="G1883" s="29">
        <f>DATE(D1883,E1883,F1883)</f>
        <v>42306</v>
      </c>
    </row>
    <row r="1884" hidden="1">
      <c r="A1884" s="1" t="s">
        <v>642</v>
      </c>
    </row>
    <row r="1885" hidden="1">
      <c r="A1885" s="1" t="s">
        <v>643</v>
      </c>
    </row>
    <row r="1886">
      <c r="A1886" s="1" t="s">
        <v>1666</v>
      </c>
      <c r="B1886" s="2">
        <f>IFERROR(__xludf.DUMMYFUNCTION("SPLIT(A1886,""_"")"),2.0151029E7)</f>
        <v>20151029</v>
      </c>
      <c r="C1886" s="2" t="str">
        <f>IFERROR(__xludf.DUMMYFUNCTION("""COMPUTED_VALUE"""),"LLL")</f>
        <v>LLL</v>
      </c>
      <c r="D1886" s="2" t="str">
        <f>LEFT(B1886,4)</f>
        <v>2015</v>
      </c>
      <c r="E1886" s="2" t="str">
        <f>MID(B1886,5,2)</f>
        <v>10</v>
      </c>
      <c r="F1886" s="2" t="str">
        <f>RIGHT(B1886,2)</f>
        <v>29</v>
      </c>
      <c r="G1886" s="29">
        <f>DATE(D1886,E1886,F1886)</f>
        <v>42306</v>
      </c>
    </row>
    <row r="1887" hidden="1">
      <c r="A1887" s="1" t="s">
        <v>642</v>
      </c>
    </row>
    <row r="1888" hidden="1">
      <c r="A1888" s="1" t="s">
        <v>643</v>
      </c>
    </row>
    <row r="1889">
      <c r="A1889" s="1" t="s">
        <v>1667</v>
      </c>
      <c r="B1889" s="2">
        <f>IFERROR(__xludf.DUMMYFUNCTION("SPLIT(A1889,""_"")"),2.0151029E7)</f>
        <v>20151029</v>
      </c>
      <c r="C1889" s="2" t="str">
        <f>IFERROR(__xludf.DUMMYFUNCTION("""COMPUTED_VALUE"""),"LYV")</f>
        <v>LYV</v>
      </c>
      <c r="D1889" s="2" t="str">
        <f>LEFT(B1889,4)</f>
        <v>2015</v>
      </c>
      <c r="E1889" s="2" t="str">
        <f>MID(B1889,5,2)</f>
        <v>10</v>
      </c>
      <c r="F1889" s="2" t="str">
        <f>RIGHT(B1889,2)</f>
        <v>29</v>
      </c>
      <c r="G1889" s="29">
        <f>DATE(D1889,E1889,F1889)</f>
        <v>42306</v>
      </c>
    </row>
    <row r="1890" hidden="1">
      <c r="A1890" s="1" t="s">
        <v>642</v>
      </c>
    </row>
    <row r="1891" hidden="1">
      <c r="A1891" s="1" t="s">
        <v>643</v>
      </c>
    </row>
    <row r="1892">
      <c r="A1892" s="1" t="s">
        <v>1668</v>
      </c>
      <c r="B1892" s="2">
        <f>IFERROR(__xludf.DUMMYFUNCTION("SPLIT(A1892,""_"")"),2.0151029E7)</f>
        <v>20151029</v>
      </c>
      <c r="C1892" s="2" t="str">
        <f>IFERROR(__xludf.DUMMYFUNCTION("""COMPUTED_VALUE"""),"MGM")</f>
        <v>MGM</v>
      </c>
      <c r="D1892" s="2" t="str">
        <f>LEFT(B1892,4)</f>
        <v>2015</v>
      </c>
      <c r="E1892" s="2" t="str">
        <f>MID(B1892,5,2)</f>
        <v>10</v>
      </c>
      <c r="F1892" s="2" t="str">
        <f>RIGHT(B1892,2)</f>
        <v>29</v>
      </c>
      <c r="G1892" s="29">
        <f>DATE(D1892,E1892,F1892)</f>
        <v>42306</v>
      </c>
    </row>
    <row r="1893" hidden="1">
      <c r="A1893" s="1" t="s">
        <v>642</v>
      </c>
    </row>
    <row r="1894" hidden="1">
      <c r="A1894" s="1" t="s">
        <v>643</v>
      </c>
    </row>
    <row r="1895">
      <c r="A1895" s="1" t="s">
        <v>1669</v>
      </c>
      <c r="B1895" s="2">
        <f>IFERROR(__xludf.DUMMYFUNCTION("SPLIT(A1895,""_"")"),2.0151029E7)</f>
        <v>20151029</v>
      </c>
      <c r="C1895" s="2" t="str">
        <f>IFERROR(__xludf.DUMMYFUNCTION("""COMPUTED_VALUE"""),"MOH")</f>
        <v>MOH</v>
      </c>
      <c r="D1895" s="2" t="str">
        <f>LEFT(B1895,4)</f>
        <v>2015</v>
      </c>
      <c r="E1895" s="2" t="str">
        <f>MID(B1895,5,2)</f>
        <v>10</v>
      </c>
      <c r="F1895" s="2" t="str">
        <f>RIGHT(B1895,2)</f>
        <v>29</v>
      </c>
      <c r="G1895" s="29">
        <f>DATE(D1895,E1895,F1895)</f>
        <v>42306</v>
      </c>
    </row>
    <row r="1896" hidden="1">
      <c r="A1896" s="1" t="s">
        <v>642</v>
      </c>
    </row>
    <row r="1897" hidden="1">
      <c r="A1897" s="1" t="s">
        <v>643</v>
      </c>
    </row>
    <row r="1898">
      <c r="A1898" s="1" t="s">
        <v>1670</v>
      </c>
      <c r="B1898" s="2">
        <f>IFERROR(__xludf.DUMMYFUNCTION("SPLIT(A1898,""_"")"),2.0151029E7)</f>
        <v>20151029</v>
      </c>
      <c r="C1898" s="2" t="str">
        <f>IFERROR(__xludf.DUMMYFUNCTION("""COMPUTED_VALUE"""),"OMCL")</f>
        <v>OMCL</v>
      </c>
      <c r="D1898" s="2" t="str">
        <f>LEFT(B1898,4)</f>
        <v>2015</v>
      </c>
      <c r="E1898" s="2" t="str">
        <f>MID(B1898,5,2)</f>
        <v>10</v>
      </c>
      <c r="F1898" s="2" t="str">
        <f>RIGHT(B1898,2)</f>
        <v>29</v>
      </c>
      <c r="G1898" s="29">
        <f>DATE(D1898,E1898,F1898)</f>
        <v>42306</v>
      </c>
    </row>
    <row r="1899" hidden="1">
      <c r="A1899" s="1" t="s">
        <v>642</v>
      </c>
    </row>
    <row r="1900" hidden="1">
      <c r="A1900" s="1" t="s">
        <v>643</v>
      </c>
    </row>
    <row r="1901">
      <c r="A1901" s="1" t="s">
        <v>1671</v>
      </c>
      <c r="B1901" s="2">
        <f>IFERROR(__xludf.DUMMYFUNCTION("SPLIT(A1901,""_"")"),2.0151029E7)</f>
        <v>20151029</v>
      </c>
      <c r="C1901" s="2" t="str">
        <f>IFERROR(__xludf.DUMMYFUNCTION("""COMPUTED_VALUE"""),"PBI")</f>
        <v>PBI</v>
      </c>
      <c r="D1901" s="2" t="str">
        <f>LEFT(B1901,4)</f>
        <v>2015</v>
      </c>
      <c r="E1901" s="2" t="str">
        <f>MID(B1901,5,2)</f>
        <v>10</v>
      </c>
      <c r="F1901" s="2" t="str">
        <f>RIGHT(B1901,2)</f>
        <v>29</v>
      </c>
      <c r="G1901" s="29">
        <f>DATE(D1901,E1901,F1901)</f>
        <v>42306</v>
      </c>
    </row>
    <row r="1902" hidden="1">
      <c r="A1902" s="1" t="s">
        <v>642</v>
      </c>
    </row>
    <row r="1903" hidden="1">
      <c r="A1903" s="1" t="s">
        <v>643</v>
      </c>
    </row>
    <row r="1904">
      <c r="A1904" s="1" t="s">
        <v>1672</v>
      </c>
      <c r="B1904" s="2">
        <f>IFERROR(__xludf.DUMMYFUNCTION("SPLIT(A1904,""_"")"),2.0151029E7)</f>
        <v>20151029</v>
      </c>
      <c r="C1904" s="2" t="str">
        <f>IFERROR(__xludf.DUMMYFUNCTION("""COMPUTED_VALUE"""),"PDFS")</f>
        <v>PDFS</v>
      </c>
      <c r="D1904" s="2" t="str">
        <f>LEFT(B1904,4)</f>
        <v>2015</v>
      </c>
      <c r="E1904" s="2" t="str">
        <f>MID(B1904,5,2)</f>
        <v>10</v>
      </c>
      <c r="F1904" s="2" t="str">
        <f>RIGHT(B1904,2)</f>
        <v>29</v>
      </c>
      <c r="G1904" s="29">
        <f>DATE(D1904,E1904,F1904)</f>
        <v>42306</v>
      </c>
    </row>
    <row r="1905" hidden="1">
      <c r="A1905" s="1" t="s">
        <v>642</v>
      </c>
    </row>
    <row r="1906" hidden="1">
      <c r="A1906" s="1" t="s">
        <v>643</v>
      </c>
    </row>
    <row r="1907">
      <c r="A1907" s="1" t="s">
        <v>1673</v>
      </c>
      <c r="B1907" s="2">
        <f>IFERROR(__xludf.DUMMYFUNCTION("SPLIT(A1907,""_"")"),2.0151029E7)</f>
        <v>20151029</v>
      </c>
      <c r="C1907" s="2" t="str">
        <f>IFERROR(__xludf.DUMMYFUNCTION("""COMPUTED_VALUE"""),"PES")</f>
        <v>PES</v>
      </c>
      <c r="D1907" s="2" t="str">
        <f>LEFT(B1907,4)</f>
        <v>2015</v>
      </c>
      <c r="E1907" s="2" t="str">
        <f>MID(B1907,5,2)</f>
        <v>10</v>
      </c>
      <c r="F1907" s="2" t="str">
        <f>RIGHT(B1907,2)</f>
        <v>29</v>
      </c>
      <c r="G1907" s="29">
        <f>DATE(D1907,E1907,F1907)</f>
        <v>42306</v>
      </c>
    </row>
    <row r="1908" hidden="1">
      <c r="A1908" s="1" t="s">
        <v>642</v>
      </c>
    </row>
    <row r="1909" hidden="1">
      <c r="A1909" s="1" t="s">
        <v>643</v>
      </c>
    </row>
    <row r="1910">
      <c r="A1910" s="1" t="s">
        <v>1674</v>
      </c>
      <c r="B1910" s="2">
        <f>IFERROR(__xludf.DUMMYFUNCTION("SPLIT(A1910,""_"")"),2.0151029E7)</f>
        <v>20151029</v>
      </c>
      <c r="C1910" s="2" t="str">
        <f>IFERROR(__xludf.DUMMYFUNCTION("""COMPUTED_VALUE"""),"PX")</f>
        <v>PX</v>
      </c>
      <c r="D1910" s="2" t="str">
        <f>LEFT(B1910,4)</f>
        <v>2015</v>
      </c>
      <c r="E1910" s="2" t="str">
        <f>MID(B1910,5,2)</f>
        <v>10</v>
      </c>
      <c r="F1910" s="2" t="str">
        <f>RIGHT(B1910,2)</f>
        <v>29</v>
      </c>
      <c r="G1910" s="29">
        <f>DATE(D1910,E1910,F1910)</f>
        <v>42306</v>
      </c>
    </row>
    <row r="1911" hidden="1">
      <c r="A1911" s="1" t="s">
        <v>642</v>
      </c>
    </row>
    <row r="1912" hidden="1">
      <c r="A1912" s="1" t="s">
        <v>643</v>
      </c>
    </row>
    <row r="1913">
      <c r="A1913" s="1" t="s">
        <v>1675</v>
      </c>
      <c r="B1913" s="2">
        <f>IFERROR(__xludf.DUMMYFUNCTION("SPLIT(A1913,""_"")"),2.0151029E7)</f>
        <v>20151029</v>
      </c>
      <c r="C1913" s="2" t="str">
        <f>IFERROR(__xludf.DUMMYFUNCTION("""COMPUTED_VALUE"""),"SCSC")</f>
        <v>SCSC</v>
      </c>
      <c r="D1913" s="2" t="str">
        <f>LEFT(B1913,4)</f>
        <v>2015</v>
      </c>
      <c r="E1913" s="2" t="str">
        <f>MID(B1913,5,2)</f>
        <v>10</v>
      </c>
      <c r="F1913" s="2" t="str">
        <f>RIGHT(B1913,2)</f>
        <v>29</v>
      </c>
      <c r="G1913" s="29">
        <f>DATE(D1913,E1913,F1913)</f>
        <v>42306</v>
      </c>
    </row>
    <row r="1914" hidden="1">
      <c r="A1914" s="1" t="s">
        <v>642</v>
      </c>
    </row>
    <row r="1915" hidden="1">
      <c r="A1915" s="1" t="s">
        <v>643</v>
      </c>
    </row>
    <row r="1916">
      <c r="A1916" s="1" t="s">
        <v>1676</v>
      </c>
      <c r="B1916" s="2">
        <f>IFERROR(__xludf.DUMMYFUNCTION("SPLIT(A1916,""_"")"),2.0151029E7)</f>
        <v>20151029</v>
      </c>
      <c r="C1916" s="2" t="str">
        <f>IFERROR(__xludf.DUMMYFUNCTION("""COMPUTED_VALUE"""),"SHW")</f>
        <v>SHW</v>
      </c>
      <c r="D1916" s="2" t="str">
        <f>LEFT(B1916,4)</f>
        <v>2015</v>
      </c>
      <c r="E1916" s="2" t="str">
        <f>MID(B1916,5,2)</f>
        <v>10</v>
      </c>
      <c r="F1916" s="2" t="str">
        <f>RIGHT(B1916,2)</f>
        <v>29</v>
      </c>
      <c r="G1916" s="29">
        <f>DATE(D1916,E1916,F1916)</f>
        <v>42306</v>
      </c>
    </row>
    <row r="1917" hidden="1">
      <c r="A1917" s="1" t="s">
        <v>642</v>
      </c>
    </row>
    <row r="1918" hidden="1">
      <c r="A1918" s="1" t="s">
        <v>643</v>
      </c>
    </row>
    <row r="1919">
      <c r="A1919" s="1" t="s">
        <v>1677</v>
      </c>
      <c r="B1919" s="2">
        <f>IFERROR(__xludf.DUMMYFUNCTION("SPLIT(A1919,""_"")"),2.0151029E7)</f>
        <v>20151029</v>
      </c>
      <c r="C1919" s="2" t="str">
        <f>IFERROR(__xludf.DUMMYFUNCTION("""COMPUTED_VALUE"""),"TFX")</f>
        <v>TFX</v>
      </c>
      <c r="D1919" s="2" t="str">
        <f>LEFT(B1919,4)</f>
        <v>2015</v>
      </c>
      <c r="E1919" s="2" t="str">
        <f>MID(B1919,5,2)</f>
        <v>10</v>
      </c>
      <c r="F1919" s="2" t="str">
        <f>RIGHT(B1919,2)</f>
        <v>29</v>
      </c>
      <c r="G1919" s="29">
        <f>DATE(D1919,E1919,F1919)</f>
        <v>42306</v>
      </c>
    </row>
    <row r="1920" hidden="1">
      <c r="A1920" s="1" t="s">
        <v>642</v>
      </c>
    </row>
    <row r="1921" hidden="1">
      <c r="A1921" s="1" t="s">
        <v>643</v>
      </c>
    </row>
    <row r="1922">
      <c r="A1922" s="1" t="s">
        <v>1678</v>
      </c>
      <c r="B1922" s="2">
        <f>IFERROR(__xludf.DUMMYFUNCTION("SPLIT(A1922,""_"")"),2.0151029E7)</f>
        <v>20151029</v>
      </c>
      <c r="C1922" s="2" t="str">
        <f>IFERROR(__xludf.DUMMYFUNCTION("""COMPUTED_VALUE"""),"TPX")</f>
        <v>TPX</v>
      </c>
      <c r="D1922" s="2" t="str">
        <f>LEFT(B1922,4)</f>
        <v>2015</v>
      </c>
      <c r="E1922" s="2" t="str">
        <f>MID(B1922,5,2)</f>
        <v>10</v>
      </c>
      <c r="F1922" s="2" t="str">
        <f>RIGHT(B1922,2)</f>
        <v>29</v>
      </c>
      <c r="G1922" s="29">
        <f>DATE(D1922,E1922,F1922)</f>
        <v>42306</v>
      </c>
    </row>
    <row r="1923" hidden="1">
      <c r="A1923" s="1" t="s">
        <v>642</v>
      </c>
    </row>
    <row r="1924" hidden="1">
      <c r="A1924" s="1" t="s">
        <v>643</v>
      </c>
    </row>
    <row r="1925">
      <c r="A1925" s="1" t="s">
        <v>1679</v>
      </c>
      <c r="B1925" s="2">
        <f>IFERROR(__xludf.DUMMYFUNCTION("SPLIT(A1925,""_"")"),2.0151029E7)</f>
        <v>20151029</v>
      </c>
      <c r="C1925" s="2" t="str">
        <f>IFERROR(__xludf.DUMMYFUNCTION("""COMPUTED_VALUE"""),"UVE")</f>
        <v>UVE</v>
      </c>
      <c r="D1925" s="2" t="str">
        <f>LEFT(B1925,4)</f>
        <v>2015</v>
      </c>
      <c r="E1925" s="2" t="str">
        <f>MID(B1925,5,2)</f>
        <v>10</v>
      </c>
      <c r="F1925" s="2" t="str">
        <f>RIGHT(B1925,2)</f>
        <v>29</v>
      </c>
      <c r="G1925" s="29">
        <f>DATE(D1925,E1925,F1925)</f>
        <v>42306</v>
      </c>
    </row>
    <row r="1926" hidden="1">
      <c r="A1926" s="1" t="s">
        <v>642</v>
      </c>
    </row>
    <row r="1927" hidden="1">
      <c r="A1927" s="1" t="s">
        <v>643</v>
      </c>
    </row>
    <row r="1928">
      <c r="A1928" s="1" t="s">
        <v>1680</v>
      </c>
      <c r="B1928" s="2">
        <f>IFERROR(__xludf.DUMMYFUNCTION("SPLIT(A1928,""_"")"),2.0151029E7)</f>
        <v>20151029</v>
      </c>
      <c r="C1928" s="2" t="str">
        <f>IFERROR(__xludf.DUMMYFUNCTION("""COMPUTED_VALUE"""),"WMB")</f>
        <v>WMB</v>
      </c>
      <c r="D1928" s="2" t="str">
        <f>LEFT(B1928,4)</f>
        <v>2015</v>
      </c>
      <c r="E1928" s="2" t="str">
        <f>MID(B1928,5,2)</f>
        <v>10</v>
      </c>
      <c r="F1928" s="2" t="str">
        <f>RIGHT(B1928,2)</f>
        <v>29</v>
      </c>
      <c r="G1928" s="29">
        <f>DATE(D1928,E1928,F1928)</f>
        <v>42306</v>
      </c>
    </row>
    <row r="1929" hidden="1">
      <c r="A1929" s="1" t="s">
        <v>642</v>
      </c>
    </row>
    <row r="1930" hidden="1">
      <c r="A1930" s="1" t="s">
        <v>643</v>
      </c>
    </row>
    <row r="1931">
      <c r="A1931" s="1" t="s">
        <v>1681</v>
      </c>
      <c r="B1931" s="2">
        <f>IFERROR(__xludf.DUMMYFUNCTION("SPLIT(A1931,""_"")"),2.015103E7)</f>
        <v>20151030</v>
      </c>
      <c r="C1931" s="2" t="str">
        <f>IFERROR(__xludf.DUMMYFUNCTION("""COMPUTED_VALUE"""),"AON")</f>
        <v>AON</v>
      </c>
      <c r="D1931" s="2" t="str">
        <f>LEFT(B1931,4)</f>
        <v>2015</v>
      </c>
      <c r="E1931" s="2" t="str">
        <f>MID(B1931,5,2)</f>
        <v>10</v>
      </c>
      <c r="F1931" s="2" t="str">
        <f>RIGHT(B1931,2)</f>
        <v>30</v>
      </c>
      <c r="G1931" s="29">
        <f>DATE(D1931,E1931,F1931)</f>
        <v>42307</v>
      </c>
    </row>
    <row r="1932" hidden="1">
      <c r="A1932" s="1" t="s">
        <v>642</v>
      </c>
    </row>
    <row r="1933" hidden="1">
      <c r="A1933" s="1" t="s">
        <v>643</v>
      </c>
    </row>
    <row r="1934">
      <c r="A1934" s="1" t="s">
        <v>1682</v>
      </c>
      <c r="B1934" s="2">
        <f>IFERROR(__xludf.DUMMYFUNCTION("SPLIT(A1934,""_"")"),2.015103E7)</f>
        <v>20151030</v>
      </c>
      <c r="C1934" s="2" t="str">
        <f>IFERROR(__xludf.DUMMYFUNCTION("""COMPUTED_VALUE"""),"BCO")</f>
        <v>BCO</v>
      </c>
      <c r="D1934" s="2" t="str">
        <f>LEFT(B1934,4)</f>
        <v>2015</v>
      </c>
      <c r="E1934" s="2" t="str">
        <f>MID(B1934,5,2)</f>
        <v>10</v>
      </c>
      <c r="F1934" s="2" t="str">
        <f>RIGHT(B1934,2)</f>
        <v>30</v>
      </c>
      <c r="G1934" s="29">
        <f>DATE(D1934,E1934,F1934)</f>
        <v>42307</v>
      </c>
    </row>
    <row r="1935" hidden="1">
      <c r="A1935" s="1" t="s">
        <v>642</v>
      </c>
    </row>
    <row r="1936" hidden="1">
      <c r="A1936" s="1" t="s">
        <v>643</v>
      </c>
    </row>
    <row r="1937">
      <c r="A1937" s="1" t="s">
        <v>1683</v>
      </c>
      <c r="B1937" s="2">
        <f>IFERROR(__xludf.DUMMYFUNCTION("SPLIT(A1937,""_"")"),2.015103E7)</f>
        <v>20151030</v>
      </c>
      <c r="C1937" s="2" t="str">
        <f>IFERROR(__xludf.DUMMYFUNCTION("""COMPUTED_VALUE"""),"BGG")</f>
        <v>BGG</v>
      </c>
      <c r="D1937" s="2" t="str">
        <f>LEFT(B1937,4)</f>
        <v>2015</v>
      </c>
      <c r="E1937" s="2" t="str">
        <f>MID(B1937,5,2)</f>
        <v>10</v>
      </c>
      <c r="F1937" s="2" t="str">
        <f>RIGHT(B1937,2)</f>
        <v>30</v>
      </c>
      <c r="G1937" s="29">
        <f>DATE(D1937,E1937,F1937)</f>
        <v>42307</v>
      </c>
    </row>
    <row r="1938" hidden="1">
      <c r="A1938" s="1" t="s">
        <v>642</v>
      </c>
    </row>
    <row r="1939" hidden="1">
      <c r="A1939" s="1" t="s">
        <v>643</v>
      </c>
    </row>
    <row r="1940">
      <c r="A1940" s="1" t="s">
        <v>1684</v>
      </c>
      <c r="B1940" s="2">
        <f>IFERROR(__xludf.DUMMYFUNCTION("SPLIT(A1940,""_"")"),2.015103E7)</f>
        <v>20151030</v>
      </c>
      <c r="C1940" s="2" t="str">
        <f>IFERROR(__xludf.DUMMYFUNCTION("""COMPUTED_VALUE"""),"CL")</f>
        <v>CL</v>
      </c>
      <c r="D1940" s="2" t="str">
        <f>LEFT(B1940,4)</f>
        <v>2015</v>
      </c>
      <c r="E1940" s="2" t="str">
        <f>MID(B1940,5,2)</f>
        <v>10</v>
      </c>
      <c r="F1940" s="2" t="str">
        <f>RIGHT(B1940,2)</f>
        <v>30</v>
      </c>
      <c r="G1940" s="29">
        <f>DATE(D1940,E1940,F1940)</f>
        <v>42307</v>
      </c>
    </row>
    <row r="1941" hidden="1">
      <c r="A1941" s="1" t="s">
        <v>642</v>
      </c>
    </row>
    <row r="1942" hidden="1">
      <c r="A1942" s="1" t="s">
        <v>643</v>
      </c>
    </row>
    <row r="1943">
      <c r="A1943" s="1" t="s">
        <v>1685</v>
      </c>
      <c r="B1943" s="2">
        <f>IFERROR(__xludf.DUMMYFUNCTION("SPLIT(A1943,""_"")"),2.015103E7)</f>
        <v>20151030</v>
      </c>
      <c r="C1943" s="2" t="str">
        <f>IFERROR(__xludf.DUMMYFUNCTION("""COMPUTED_VALUE"""),"COL")</f>
        <v>COL</v>
      </c>
      <c r="D1943" s="2" t="str">
        <f>LEFT(B1943,4)</f>
        <v>2015</v>
      </c>
      <c r="E1943" s="2" t="str">
        <f>MID(B1943,5,2)</f>
        <v>10</v>
      </c>
      <c r="F1943" s="2" t="str">
        <f>RIGHT(B1943,2)</f>
        <v>30</v>
      </c>
      <c r="G1943" s="29">
        <f>DATE(D1943,E1943,F1943)</f>
        <v>42307</v>
      </c>
    </row>
    <row r="1944" hidden="1">
      <c r="A1944" s="1" t="s">
        <v>642</v>
      </c>
    </row>
    <row r="1945" hidden="1">
      <c r="A1945" s="1" t="s">
        <v>643</v>
      </c>
    </row>
    <row r="1946">
      <c r="A1946" s="1" t="s">
        <v>1686</v>
      </c>
      <c r="B1946" s="2">
        <f>IFERROR(__xludf.DUMMYFUNCTION("SPLIT(A1946,""_"")"),2.015103E7)</f>
        <v>20151030</v>
      </c>
      <c r="C1946" s="2" t="str">
        <f>IFERROR(__xludf.DUMMYFUNCTION("""COMPUTED_VALUE"""),"EXC")</f>
        <v>EXC</v>
      </c>
      <c r="D1946" s="2" t="str">
        <f>LEFT(B1946,4)</f>
        <v>2015</v>
      </c>
      <c r="E1946" s="2" t="str">
        <f>MID(B1946,5,2)</f>
        <v>10</v>
      </c>
      <c r="F1946" s="2" t="str">
        <f>RIGHT(B1946,2)</f>
        <v>30</v>
      </c>
      <c r="G1946" s="29">
        <f>DATE(D1946,E1946,F1946)</f>
        <v>42307</v>
      </c>
    </row>
    <row r="1947" hidden="1">
      <c r="A1947" s="1" t="s">
        <v>642</v>
      </c>
    </row>
    <row r="1948" hidden="1">
      <c r="A1948" s="1" t="s">
        <v>643</v>
      </c>
    </row>
    <row r="1949">
      <c r="A1949" s="1" t="s">
        <v>1687</v>
      </c>
      <c r="B1949" s="2">
        <f>IFERROR(__xludf.DUMMYFUNCTION("SPLIT(A1949,""_"")"),2.015103E7)</f>
        <v>20151030</v>
      </c>
      <c r="C1949" s="2" t="str">
        <f>IFERROR(__xludf.DUMMYFUNCTION("""COMPUTED_VALUE"""),"GWR")</f>
        <v>GWR</v>
      </c>
      <c r="D1949" s="2" t="str">
        <f>LEFT(B1949,4)</f>
        <v>2015</v>
      </c>
      <c r="E1949" s="2" t="str">
        <f>MID(B1949,5,2)</f>
        <v>10</v>
      </c>
      <c r="F1949" s="2" t="str">
        <f>RIGHT(B1949,2)</f>
        <v>30</v>
      </c>
      <c r="G1949" s="29">
        <f>DATE(D1949,E1949,F1949)</f>
        <v>42307</v>
      </c>
    </row>
    <row r="1950" hidden="1">
      <c r="A1950" s="1" t="s">
        <v>642</v>
      </c>
    </row>
    <row r="1951" hidden="1">
      <c r="A1951" s="1" t="s">
        <v>643</v>
      </c>
    </row>
    <row r="1952">
      <c r="A1952" s="1" t="s">
        <v>1688</v>
      </c>
      <c r="B1952" s="2">
        <f>IFERROR(__xludf.DUMMYFUNCTION("SPLIT(A1952,""_"")"),2.015103E7)</f>
        <v>20151030</v>
      </c>
      <c r="C1952" s="2" t="str">
        <f>IFERROR(__xludf.DUMMYFUNCTION("""COMPUTED_VALUE"""),"IDCC")</f>
        <v>IDCC</v>
      </c>
      <c r="D1952" s="2" t="str">
        <f>LEFT(B1952,4)</f>
        <v>2015</v>
      </c>
      <c r="E1952" s="2" t="str">
        <f>MID(B1952,5,2)</f>
        <v>10</v>
      </c>
      <c r="F1952" s="2" t="str">
        <f>RIGHT(B1952,2)</f>
        <v>30</v>
      </c>
      <c r="G1952" s="29">
        <f>DATE(D1952,E1952,F1952)</f>
        <v>42307</v>
      </c>
    </row>
    <row r="1953" hidden="1">
      <c r="A1953" s="1" t="s">
        <v>642</v>
      </c>
    </row>
    <row r="1954" hidden="1">
      <c r="A1954" s="1" t="s">
        <v>643</v>
      </c>
    </row>
    <row r="1955">
      <c r="A1955" s="1" t="s">
        <v>1689</v>
      </c>
      <c r="B1955" s="2">
        <f>IFERROR(__xludf.DUMMYFUNCTION("SPLIT(A1955,""_"")"),2.015103E7)</f>
        <v>20151030</v>
      </c>
      <c r="C1955" s="2" t="str">
        <f>IFERROR(__xludf.DUMMYFUNCTION("""COMPUTED_VALUE"""),"IRM")</f>
        <v>IRM</v>
      </c>
      <c r="D1955" s="2" t="str">
        <f>LEFT(B1955,4)</f>
        <v>2015</v>
      </c>
      <c r="E1955" s="2" t="str">
        <f>MID(B1955,5,2)</f>
        <v>10</v>
      </c>
      <c r="F1955" s="2" t="str">
        <f>RIGHT(B1955,2)</f>
        <v>30</v>
      </c>
      <c r="G1955" s="29">
        <f>DATE(D1955,E1955,F1955)</f>
        <v>42307</v>
      </c>
    </row>
    <row r="1956" hidden="1">
      <c r="A1956" s="1" t="s">
        <v>642</v>
      </c>
    </row>
    <row r="1957" hidden="1">
      <c r="A1957" s="1" t="s">
        <v>643</v>
      </c>
    </row>
    <row r="1958">
      <c r="A1958" s="1" t="s">
        <v>1690</v>
      </c>
      <c r="B1958" s="2">
        <f>IFERROR(__xludf.DUMMYFUNCTION("SPLIT(A1958,""_"")"),2.015103E7)</f>
        <v>20151030</v>
      </c>
      <c r="C1958" s="2" t="str">
        <f>IFERROR(__xludf.DUMMYFUNCTION("""COMPUTED_VALUE"""),"LPNT")</f>
        <v>LPNT</v>
      </c>
      <c r="D1958" s="2" t="str">
        <f>LEFT(B1958,4)</f>
        <v>2015</v>
      </c>
      <c r="E1958" s="2" t="str">
        <f>MID(B1958,5,2)</f>
        <v>10</v>
      </c>
      <c r="F1958" s="2" t="str">
        <f>RIGHT(B1958,2)</f>
        <v>30</v>
      </c>
      <c r="G1958" s="29">
        <f>DATE(D1958,E1958,F1958)</f>
        <v>42307</v>
      </c>
    </row>
    <row r="1959" hidden="1">
      <c r="A1959" s="1" t="s">
        <v>642</v>
      </c>
    </row>
    <row r="1960" hidden="1">
      <c r="A1960" s="1" t="s">
        <v>643</v>
      </c>
    </row>
    <row r="1961">
      <c r="A1961" s="1" t="s">
        <v>1691</v>
      </c>
      <c r="B1961" s="2">
        <f>IFERROR(__xludf.DUMMYFUNCTION("SPLIT(A1961,""_"")"),2.015103E7)</f>
        <v>20151030</v>
      </c>
      <c r="C1961" s="2" t="str">
        <f>IFERROR(__xludf.DUMMYFUNCTION("""COMPUTED_VALUE"""),"NWL")</f>
        <v>NWL</v>
      </c>
      <c r="D1961" s="2" t="str">
        <f>LEFT(B1961,4)</f>
        <v>2015</v>
      </c>
      <c r="E1961" s="2" t="str">
        <f>MID(B1961,5,2)</f>
        <v>10</v>
      </c>
      <c r="F1961" s="2" t="str">
        <f>RIGHT(B1961,2)</f>
        <v>30</v>
      </c>
      <c r="G1961" s="29">
        <f>DATE(D1961,E1961,F1961)</f>
        <v>42307</v>
      </c>
    </row>
    <row r="1962" hidden="1">
      <c r="A1962" s="1" t="s">
        <v>642</v>
      </c>
    </row>
    <row r="1963" hidden="1">
      <c r="A1963" s="1" t="s">
        <v>643</v>
      </c>
    </row>
    <row r="1964">
      <c r="A1964" s="1" t="s">
        <v>1692</v>
      </c>
      <c r="B1964" s="2">
        <f>IFERROR(__xludf.DUMMYFUNCTION("SPLIT(A1964,""_"")"),2.015103E7)</f>
        <v>20151030</v>
      </c>
      <c r="C1964" s="2" t="str">
        <f>IFERROR(__xludf.DUMMYFUNCTION("""COMPUTED_VALUE"""),"PFS")</f>
        <v>PFS</v>
      </c>
      <c r="D1964" s="2" t="str">
        <f>LEFT(B1964,4)</f>
        <v>2015</v>
      </c>
      <c r="E1964" s="2" t="str">
        <f>MID(B1964,5,2)</f>
        <v>10</v>
      </c>
      <c r="F1964" s="2" t="str">
        <f>RIGHT(B1964,2)</f>
        <v>30</v>
      </c>
      <c r="G1964" s="29">
        <f>DATE(D1964,E1964,F1964)</f>
        <v>42307</v>
      </c>
    </row>
    <row r="1965" hidden="1">
      <c r="A1965" s="1" t="s">
        <v>642</v>
      </c>
    </row>
    <row r="1966" hidden="1">
      <c r="A1966" s="1" t="s">
        <v>643</v>
      </c>
    </row>
    <row r="1967">
      <c r="A1967" s="1" t="s">
        <v>1693</v>
      </c>
      <c r="B1967" s="2">
        <f>IFERROR(__xludf.DUMMYFUNCTION("SPLIT(A1967,""_"")"),2.015103E7)</f>
        <v>20151030</v>
      </c>
      <c r="C1967" s="2" t="str">
        <f>IFERROR(__xludf.DUMMYFUNCTION("""COMPUTED_VALUE"""),"SBSI")</f>
        <v>SBSI</v>
      </c>
      <c r="D1967" s="2" t="str">
        <f>LEFT(B1967,4)</f>
        <v>2015</v>
      </c>
      <c r="E1967" s="2" t="str">
        <f>MID(B1967,5,2)</f>
        <v>10</v>
      </c>
      <c r="F1967" s="2" t="str">
        <f>RIGHT(B1967,2)</f>
        <v>30</v>
      </c>
      <c r="G1967" s="29">
        <f>DATE(D1967,E1967,F1967)</f>
        <v>42307</v>
      </c>
    </row>
    <row r="1968" hidden="1">
      <c r="A1968" s="1" t="s">
        <v>642</v>
      </c>
    </row>
    <row r="1969" hidden="1">
      <c r="A1969" s="1" t="s">
        <v>643</v>
      </c>
    </row>
    <row r="1970">
      <c r="A1970" s="1" t="s">
        <v>1694</v>
      </c>
      <c r="B1970" s="2">
        <f>IFERROR(__xludf.DUMMYFUNCTION("SPLIT(A1970,""_"")"),2.015103E7)</f>
        <v>20151030</v>
      </c>
      <c r="C1970" s="2" t="str">
        <f>IFERROR(__xludf.DUMMYFUNCTION("""COMPUTED_VALUE"""),"STX")</f>
        <v>STX</v>
      </c>
      <c r="D1970" s="2" t="str">
        <f>LEFT(B1970,4)</f>
        <v>2015</v>
      </c>
      <c r="E1970" s="2" t="str">
        <f>MID(B1970,5,2)</f>
        <v>10</v>
      </c>
      <c r="F1970" s="2" t="str">
        <f>RIGHT(B1970,2)</f>
        <v>30</v>
      </c>
      <c r="G1970" s="29">
        <f>DATE(D1970,E1970,F1970)</f>
        <v>42307</v>
      </c>
    </row>
    <row r="1971" hidden="1">
      <c r="A1971" s="1" t="s">
        <v>642</v>
      </c>
    </row>
    <row r="1972" hidden="1">
      <c r="A1972" s="1" t="s">
        <v>643</v>
      </c>
    </row>
    <row r="1973">
      <c r="A1973" s="1" t="s">
        <v>1695</v>
      </c>
      <c r="B1973" s="2">
        <f>IFERROR(__xludf.DUMMYFUNCTION("SPLIT(A1973,""_"")"),2.015103E7)</f>
        <v>20151030</v>
      </c>
      <c r="C1973" s="2" t="str">
        <f>IFERROR(__xludf.DUMMYFUNCTION("""COMPUTED_VALUE"""),"TDS")</f>
        <v>TDS</v>
      </c>
      <c r="D1973" s="2" t="str">
        <f>LEFT(B1973,4)</f>
        <v>2015</v>
      </c>
      <c r="E1973" s="2" t="str">
        <f>MID(B1973,5,2)</f>
        <v>10</v>
      </c>
      <c r="F1973" s="2" t="str">
        <f>RIGHT(B1973,2)</f>
        <v>30</v>
      </c>
      <c r="G1973" s="29">
        <f>DATE(D1973,E1973,F1973)</f>
        <v>42307</v>
      </c>
    </row>
    <row r="1974" hidden="1">
      <c r="A1974" s="1" t="s">
        <v>642</v>
      </c>
    </row>
    <row r="1975" hidden="1">
      <c r="A1975" s="1" t="s">
        <v>643</v>
      </c>
    </row>
    <row r="1976">
      <c r="A1976" s="1" t="s">
        <v>1696</v>
      </c>
      <c r="B1976" s="2">
        <f>IFERROR(__xludf.DUMMYFUNCTION("SPLIT(A1976,""_"")"),2.015103E7)</f>
        <v>20151030</v>
      </c>
      <c r="C1976" s="2" t="str">
        <f>IFERROR(__xludf.DUMMYFUNCTION("""COMPUTED_VALUE"""),"UFS")</f>
        <v>UFS</v>
      </c>
      <c r="D1976" s="2" t="str">
        <f>LEFT(B1976,4)</f>
        <v>2015</v>
      </c>
      <c r="E1976" s="2" t="str">
        <f>MID(B1976,5,2)</f>
        <v>10</v>
      </c>
      <c r="F1976" s="2" t="str">
        <f>RIGHT(B1976,2)</f>
        <v>30</v>
      </c>
      <c r="G1976" s="29">
        <f>DATE(D1976,E1976,F1976)</f>
        <v>42307</v>
      </c>
    </row>
    <row r="1977" hidden="1">
      <c r="A1977" s="1" t="s">
        <v>642</v>
      </c>
    </row>
    <row r="1978" hidden="1">
      <c r="A1978" s="1" t="s">
        <v>643</v>
      </c>
    </row>
    <row r="1979">
      <c r="A1979" s="1" t="s">
        <v>1697</v>
      </c>
      <c r="B1979" s="2">
        <f>IFERROR(__xludf.DUMMYFUNCTION("SPLIT(A1979,""_"")"),2.015103E7)</f>
        <v>20151030</v>
      </c>
      <c r="C1979" s="2" t="str">
        <f>IFERROR(__xludf.DUMMYFUNCTION("""COMPUTED_VALUE"""),"WY")</f>
        <v>WY</v>
      </c>
      <c r="D1979" s="2" t="str">
        <f>LEFT(B1979,4)</f>
        <v>2015</v>
      </c>
      <c r="E1979" s="2" t="str">
        <f>MID(B1979,5,2)</f>
        <v>10</v>
      </c>
      <c r="F1979" s="2" t="str">
        <f>RIGHT(B1979,2)</f>
        <v>30</v>
      </c>
      <c r="G1979" s="29">
        <f>DATE(D1979,E1979,F1979)</f>
        <v>42307</v>
      </c>
    </row>
    <row r="1980" hidden="1">
      <c r="A1980" s="1" t="s">
        <v>642</v>
      </c>
    </row>
    <row r="1981" hidden="1">
      <c r="A1981" s="1" t="s">
        <v>643</v>
      </c>
    </row>
    <row r="1982">
      <c r="A1982" s="1" t="s">
        <v>1698</v>
      </c>
      <c r="B1982" s="2">
        <f>IFERROR(__xludf.DUMMYFUNCTION("SPLIT(A1982,""_"")"),2.0151102E7)</f>
        <v>20151102</v>
      </c>
      <c r="C1982" s="2" t="str">
        <f>IFERROR(__xludf.DUMMYFUNCTION("""COMPUTED_VALUE"""),"CEVA")</f>
        <v>CEVA</v>
      </c>
      <c r="D1982" s="2" t="str">
        <f>LEFT(B1982,4)</f>
        <v>2015</v>
      </c>
      <c r="E1982" s="2" t="str">
        <f>MID(B1982,5,2)</f>
        <v>11</v>
      </c>
      <c r="F1982" s="2" t="str">
        <f>RIGHT(B1982,2)</f>
        <v>02</v>
      </c>
      <c r="G1982" s="29">
        <f>DATE(D1982,E1982,F1982)</f>
        <v>42310</v>
      </c>
    </row>
    <row r="1983" hidden="1">
      <c r="A1983" s="1" t="s">
        <v>642</v>
      </c>
    </row>
    <row r="1984" hidden="1">
      <c r="A1984" s="1" t="s">
        <v>643</v>
      </c>
    </row>
    <row r="1985">
      <c r="A1985" s="1" t="s">
        <v>1699</v>
      </c>
      <c r="B1985" s="2">
        <f>IFERROR(__xludf.DUMMYFUNCTION("SPLIT(A1985,""_"")"),2.0151102E7)</f>
        <v>20151102</v>
      </c>
      <c r="C1985" s="2" t="str">
        <f>IFERROR(__xludf.DUMMYFUNCTION("""COMPUTED_VALUE"""),"EDR")</f>
        <v>EDR</v>
      </c>
      <c r="D1985" s="2" t="str">
        <f>LEFT(B1985,4)</f>
        <v>2015</v>
      </c>
      <c r="E1985" s="2" t="str">
        <f>MID(B1985,5,2)</f>
        <v>11</v>
      </c>
      <c r="F1985" s="2" t="str">
        <f>RIGHT(B1985,2)</f>
        <v>02</v>
      </c>
      <c r="G1985" s="29">
        <f>DATE(D1985,E1985,F1985)</f>
        <v>42310</v>
      </c>
    </row>
    <row r="1986" hidden="1">
      <c r="A1986" s="1" t="s">
        <v>642</v>
      </c>
    </row>
    <row r="1987" hidden="1">
      <c r="A1987" s="1" t="s">
        <v>643</v>
      </c>
    </row>
    <row r="1988">
      <c r="A1988" s="1" t="s">
        <v>1700</v>
      </c>
      <c r="B1988" s="2">
        <f>IFERROR(__xludf.DUMMYFUNCTION("SPLIT(A1988,""_"")"),2.0151102E7)</f>
        <v>20151102</v>
      </c>
      <c r="C1988" s="2" t="str">
        <f>IFERROR(__xludf.DUMMYFUNCTION("""COMPUTED_VALUE"""),"ETR")</f>
        <v>ETR</v>
      </c>
      <c r="D1988" s="2" t="str">
        <f>LEFT(B1988,4)</f>
        <v>2015</v>
      </c>
      <c r="E1988" s="2" t="str">
        <f>MID(B1988,5,2)</f>
        <v>11</v>
      </c>
      <c r="F1988" s="2" t="str">
        <f>RIGHT(B1988,2)</f>
        <v>02</v>
      </c>
      <c r="G1988" s="29">
        <f>DATE(D1988,E1988,F1988)</f>
        <v>42310</v>
      </c>
    </row>
    <row r="1989" hidden="1">
      <c r="A1989" s="1" t="s">
        <v>642</v>
      </c>
    </row>
    <row r="1990" hidden="1">
      <c r="A1990" s="1" t="s">
        <v>643</v>
      </c>
    </row>
    <row r="1991">
      <c r="A1991" s="1" t="s">
        <v>1701</v>
      </c>
      <c r="B1991" s="2">
        <f>IFERROR(__xludf.DUMMYFUNCTION("SPLIT(A1991,""_"")"),2.0151102E7)</f>
        <v>20151102</v>
      </c>
      <c r="C1991" s="2" t="str">
        <f>IFERROR(__xludf.DUMMYFUNCTION("""COMPUTED_VALUE"""),"EVR")</f>
        <v>EVR</v>
      </c>
      <c r="D1991" s="2" t="str">
        <f>LEFT(B1991,4)</f>
        <v>2015</v>
      </c>
      <c r="E1991" s="2" t="str">
        <f>MID(B1991,5,2)</f>
        <v>11</v>
      </c>
      <c r="F1991" s="2" t="str">
        <f>RIGHT(B1991,2)</f>
        <v>02</v>
      </c>
      <c r="G1991" s="29">
        <f>DATE(D1991,E1991,F1991)</f>
        <v>42310</v>
      </c>
    </row>
    <row r="1992" hidden="1">
      <c r="A1992" s="1" t="s">
        <v>642</v>
      </c>
    </row>
    <row r="1993" hidden="1">
      <c r="A1993" s="1" t="s">
        <v>643</v>
      </c>
    </row>
    <row r="1994">
      <c r="A1994" s="1" t="s">
        <v>1702</v>
      </c>
      <c r="B1994" s="2">
        <f>IFERROR(__xludf.DUMMYFUNCTION("SPLIT(A1994,""_"")"),2.0151103E7)</f>
        <v>20151103</v>
      </c>
      <c r="C1994" s="2" t="str">
        <f>IFERROR(__xludf.DUMMYFUNCTION("""COMPUTED_VALUE"""),"CHUY")</f>
        <v>CHUY</v>
      </c>
      <c r="D1994" s="2" t="str">
        <f>LEFT(B1994,4)</f>
        <v>2015</v>
      </c>
      <c r="E1994" s="2" t="str">
        <f>MID(B1994,5,2)</f>
        <v>11</v>
      </c>
      <c r="F1994" s="2" t="str">
        <f>RIGHT(B1994,2)</f>
        <v>03</v>
      </c>
      <c r="G1994" s="29">
        <f>DATE(D1994,E1994,F1994)</f>
        <v>42311</v>
      </c>
    </row>
    <row r="1995" hidden="1">
      <c r="A1995" s="1" t="s">
        <v>642</v>
      </c>
    </row>
    <row r="1996" hidden="1">
      <c r="A1996" s="1" t="s">
        <v>643</v>
      </c>
    </row>
    <row r="1997">
      <c r="A1997" s="1" t="s">
        <v>1703</v>
      </c>
      <c r="B1997" s="2">
        <f>IFERROR(__xludf.DUMMYFUNCTION("SPLIT(A1997,""_"")"),2.0151103E7)</f>
        <v>20151103</v>
      </c>
      <c r="C1997" s="2" t="str">
        <f>IFERROR(__xludf.DUMMYFUNCTION("""COMPUTED_VALUE"""),"CRVL")</f>
        <v>CRVL</v>
      </c>
      <c r="D1997" s="2" t="str">
        <f>LEFT(B1997,4)</f>
        <v>2015</v>
      </c>
      <c r="E1997" s="2" t="str">
        <f>MID(B1997,5,2)</f>
        <v>11</v>
      </c>
      <c r="F1997" s="2" t="str">
        <f>RIGHT(B1997,2)</f>
        <v>03</v>
      </c>
      <c r="G1997" s="29">
        <f>DATE(D1997,E1997,F1997)</f>
        <v>42311</v>
      </c>
    </row>
    <row r="1998" hidden="1">
      <c r="A1998" s="1" t="s">
        <v>642</v>
      </c>
    </row>
    <row r="1999" hidden="1">
      <c r="A1999" s="1" t="s">
        <v>643</v>
      </c>
    </row>
    <row r="2000">
      <c r="A2000" s="1" t="s">
        <v>1704</v>
      </c>
      <c r="B2000" s="2">
        <f>IFERROR(__xludf.DUMMYFUNCTION("SPLIT(A2000,""_"")"),2.0151103E7)</f>
        <v>20151103</v>
      </c>
      <c r="C2000" s="2" t="str">
        <f>IFERROR(__xludf.DUMMYFUNCTION("""COMPUTED_VALUE"""),"DISCA")</f>
        <v>DISCA</v>
      </c>
      <c r="D2000" s="2" t="str">
        <f>LEFT(B2000,4)</f>
        <v>2015</v>
      </c>
      <c r="E2000" s="2" t="str">
        <f>MID(B2000,5,2)</f>
        <v>11</v>
      </c>
      <c r="F2000" s="2" t="str">
        <f>RIGHT(B2000,2)</f>
        <v>03</v>
      </c>
      <c r="G2000" s="29">
        <f>DATE(D2000,E2000,F2000)</f>
        <v>42311</v>
      </c>
    </row>
    <row r="2001" hidden="1">
      <c r="A2001" s="1" t="s">
        <v>642</v>
      </c>
    </row>
    <row r="2002" hidden="1">
      <c r="A2002" s="1" t="s">
        <v>643</v>
      </c>
    </row>
    <row r="2003">
      <c r="A2003" s="1" t="s">
        <v>1705</v>
      </c>
      <c r="B2003" s="2">
        <f>IFERROR(__xludf.DUMMYFUNCTION("SPLIT(A2003,""_"")"),2.0151103E7)</f>
        <v>20151103</v>
      </c>
      <c r="C2003" s="2" t="str">
        <f>IFERROR(__xludf.DUMMYFUNCTION("""COMPUTED_VALUE"""),"FIS")</f>
        <v>FIS</v>
      </c>
      <c r="D2003" s="2" t="str">
        <f>LEFT(B2003,4)</f>
        <v>2015</v>
      </c>
      <c r="E2003" s="2" t="str">
        <f>MID(B2003,5,2)</f>
        <v>11</v>
      </c>
      <c r="F2003" s="2" t="str">
        <f>RIGHT(B2003,2)</f>
        <v>03</v>
      </c>
      <c r="G2003" s="29">
        <f>DATE(D2003,E2003,F2003)</f>
        <v>42311</v>
      </c>
    </row>
    <row r="2004" hidden="1">
      <c r="A2004" s="1" t="s">
        <v>642</v>
      </c>
    </row>
    <row r="2005" hidden="1">
      <c r="A2005" s="1" t="s">
        <v>643</v>
      </c>
    </row>
    <row r="2006">
      <c r="A2006" s="1" t="s">
        <v>1706</v>
      </c>
      <c r="B2006" s="2">
        <f>IFERROR(__xludf.DUMMYFUNCTION("SPLIT(A2006,""_"")"),2.0151103E7)</f>
        <v>20151103</v>
      </c>
      <c r="C2006" s="2" t="str">
        <f>IFERROR(__xludf.DUMMYFUNCTION("""COMPUTED_VALUE"""),"FSS")</f>
        <v>FSS</v>
      </c>
      <c r="D2006" s="2" t="str">
        <f>LEFT(B2006,4)</f>
        <v>2015</v>
      </c>
      <c r="E2006" s="2" t="str">
        <f>MID(B2006,5,2)</f>
        <v>11</v>
      </c>
      <c r="F2006" s="2" t="str">
        <f>RIGHT(B2006,2)</f>
        <v>03</v>
      </c>
      <c r="G2006" s="29">
        <f>DATE(D2006,E2006,F2006)</f>
        <v>42311</v>
      </c>
    </row>
    <row r="2007" hidden="1">
      <c r="A2007" s="1" t="s">
        <v>642</v>
      </c>
    </row>
    <row r="2008" hidden="1">
      <c r="A2008" s="1" t="s">
        <v>643</v>
      </c>
    </row>
    <row r="2009">
      <c r="A2009" s="1" t="s">
        <v>1707</v>
      </c>
      <c r="B2009" s="2">
        <f>IFERROR(__xludf.DUMMYFUNCTION("SPLIT(A2009,""_"")"),2.0151103E7)</f>
        <v>20151103</v>
      </c>
      <c r="C2009" s="2" t="str">
        <f>IFERROR(__xludf.DUMMYFUNCTION("""COMPUTED_VALUE"""),"IART")</f>
        <v>IART</v>
      </c>
      <c r="D2009" s="2" t="str">
        <f>LEFT(B2009,4)</f>
        <v>2015</v>
      </c>
      <c r="E2009" s="2" t="str">
        <f>MID(B2009,5,2)</f>
        <v>11</v>
      </c>
      <c r="F2009" s="2" t="str">
        <f>RIGHT(B2009,2)</f>
        <v>03</v>
      </c>
      <c r="G2009" s="29">
        <f>DATE(D2009,E2009,F2009)</f>
        <v>42311</v>
      </c>
    </row>
    <row r="2010" hidden="1">
      <c r="A2010" s="1" t="s">
        <v>642</v>
      </c>
    </row>
    <row r="2011" hidden="1">
      <c r="A2011" s="1" t="s">
        <v>643</v>
      </c>
    </row>
    <row r="2012">
      <c r="A2012" s="1" t="s">
        <v>1708</v>
      </c>
      <c r="B2012" s="2">
        <f>IFERROR(__xludf.DUMMYFUNCTION("SPLIT(A2012,""_"")"),2.0151103E7)</f>
        <v>20151103</v>
      </c>
      <c r="C2012" s="2" t="str">
        <f>IFERROR(__xludf.DUMMYFUNCTION("""COMPUTED_VALUE"""),"INCY")</f>
        <v>INCY</v>
      </c>
      <c r="D2012" s="2" t="str">
        <f>LEFT(B2012,4)</f>
        <v>2015</v>
      </c>
      <c r="E2012" s="2" t="str">
        <f>MID(B2012,5,2)</f>
        <v>11</v>
      </c>
      <c r="F2012" s="2" t="str">
        <f>RIGHT(B2012,2)</f>
        <v>03</v>
      </c>
      <c r="G2012" s="29">
        <f>DATE(D2012,E2012,F2012)</f>
        <v>42311</v>
      </c>
    </row>
    <row r="2013" hidden="1">
      <c r="A2013" s="1" t="s">
        <v>642</v>
      </c>
    </row>
    <row r="2014" hidden="1">
      <c r="A2014" s="1" t="s">
        <v>643</v>
      </c>
    </row>
    <row r="2015">
      <c r="A2015" s="1" t="s">
        <v>1709</v>
      </c>
      <c r="B2015" s="2">
        <f>IFERROR(__xludf.DUMMYFUNCTION("SPLIT(A2015,""_"")"),2.0151103E7)</f>
        <v>20151103</v>
      </c>
      <c r="C2015" s="2" t="str">
        <f>IFERROR(__xludf.DUMMYFUNCTION("""COMPUTED_VALUE"""),"MDCO")</f>
        <v>MDCO</v>
      </c>
      <c r="D2015" s="2" t="str">
        <f>LEFT(B2015,4)</f>
        <v>2015</v>
      </c>
      <c r="E2015" s="2" t="str">
        <f>MID(B2015,5,2)</f>
        <v>11</v>
      </c>
      <c r="F2015" s="2" t="str">
        <f>RIGHT(B2015,2)</f>
        <v>03</v>
      </c>
      <c r="G2015" s="29">
        <f>DATE(D2015,E2015,F2015)</f>
        <v>42311</v>
      </c>
    </row>
    <row r="2016" hidden="1">
      <c r="A2016" s="1" t="s">
        <v>642</v>
      </c>
    </row>
    <row r="2017" hidden="1">
      <c r="A2017" s="1" t="s">
        <v>643</v>
      </c>
    </row>
    <row r="2018">
      <c r="A2018" s="1" t="s">
        <v>1710</v>
      </c>
      <c r="B2018" s="2">
        <f>IFERROR(__xludf.DUMMYFUNCTION("SPLIT(A2018,""_"")"),2.0151103E7)</f>
        <v>20151103</v>
      </c>
      <c r="C2018" s="2" t="str">
        <f>IFERROR(__xludf.DUMMYFUNCTION("""COMPUTED_VALUE"""),"NI")</f>
        <v>NI</v>
      </c>
      <c r="D2018" s="2" t="str">
        <f>LEFT(B2018,4)</f>
        <v>2015</v>
      </c>
      <c r="E2018" s="2" t="str">
        <f>MID(B2018,5,2)</f>
        <v>11</v>
      </c>
      <c r="F2018" s="2" t="str">
        <f>RIGHT(B2018,2)</f>
        <v>03</v>
      </c>
      <c r="G2018" s="29">
        <f>DATE(D2018,E2018,F2018)</f>
        <v>42311</v>
      </c>
    </row>
    <row r="2019" hidden="1">
      <c r="A2019" s="1" t="s">
        <v>642</v>
      </c>
    </row>
    <row r="2020" hidden="1">
      <c r="A2020" s="1" t="s">
        <v>643</v>
      </c>
    </row>
    <row r="2021">
      <c r="A2021" s="1" t="s">
        <v>1711</v>
      </c>
      <c r="B2021" s="2">
        <f>IFERROR(__xludf.DUMMYFUNCTION("SPLIT(A2021,""_"")"),2.0151103E7)</f>
        <v>20151103</v>
      </c>
      <c r="C2021" s="2" t="str">
        <f>IFERROR(__xludf.DUMMYFUNCTION("""COMPUTED_VALUE"""),"NWN")</f>
        <v>NWN</v>
      </c>
      <c r="D2021" s="2" t="str">
        <f>LEFT(B2021,4)</f>
        <v>2015</v>
      </c>
      <c r="E2021" s="2" t="str">
        <f>MID(B2021,5,2)</f>
        <v>11</v>
      </c>
      <c r="F2021" s="2" t="str">
        <f>RIGHT(B2021,2)</f>
        <v>03</v>
      </c>
      <c r="G2021" s="29">
        <f>DATE(D2021,E2021,F2021)</f>
        <v>42311</v>
      </c>
    </row>
    <row r="2022" hidden="1">
      <c r="A2022" s="1" t="s">
        <v>642</v>
      </c>
    </row>
    <row r="2023" hidden="1">
      <c r="A2023" s="1" t="s">
        <v>643</v>
      </c>
    </row>
    <row r="2024">
      <c r="A2024" s="1" t="s">
        <v>1712</v>
      </c>
      <c r="B2024" s="2">
        <f>IFERROR(__xludf.DUMMYFUNCTION("SPLIT(A2024,""_"")"),2.0151103E7)</f>
        <v>20151103</v>
      </c>
      <c r="C2024" s="2" t="str">
        <f>IFERROR(__xludf.DUMMYFUNCTION("""COMPUTED_VALUE"""),"OCLR")</f>
        <v>OCLR</v>
      </c>
      <c r="D2024" s="2" t="str">
        <f>LEFT(B2024,4)</f>
        <v>2015</v>
      </c>
      <c r="E2024" s="2" t="str">
        <f>MID(B2024,5,2)</f>
        <v>11</v>
      </c>
      <c r="F2024" s="2" t="str">
        <f>RIGHT(B2024,2)</f>
        <v>03</v>
      </c>
      <c r="G2024" s="29">
        <f>DATE(D2024,E2024,F2024)</f>
        <v>42311</v>
      </c>
    </row>
    <row r="2025" hidden="1">
      <c r="A2025" s="1" t="s">
        <v>642</v>
      </c>
    </row>
    <row r="2026" hidden="1">
      <c r="A2026" s="1" t="s">
        <v>643</v>
      </c>
    </row>
    <row r="2027">
      <c r="A2027" s="1" t="s">
        <v>1713</v>
      </c>
      <c r="B2027" s="2">
        <f>IFERROR(__xludf.DUMMYFUNCTION("SPLIT(A2027,""_"")"),2.0151103E7)</f>
        <v>20151103</v>
      </c>
      <c r="C2027" s="2" t="str">
        <f>IFERROR(__xludf.DUMMYFUNCTION("""COMPUTED_VALUE"""),"SRE")</f>
        <v>SRE</v>
      </c>
      <c r="D2027" s="2" t="str">
        <f>LEFT(B2027,4)</f>
        <v>2015</v>
      </c>
      <c r="E2027" s="2" t="str">
        <f>MID(B2027,5,2)</f>
        <v>11</v>
      </c>
      <c r="F2027" s="2" t="str">
        <f>RIGHT(B2027,2)</f>
        <v>03</v>
      </c>
      <c r="G2027" s="29">
        <f>DATE(D2027,E2027,F2027)</f>
        <v>42311</v>
      </c>
    </row>
    <row r="2028" hidden="1">
      <c r="A2028" s="1" t="s">
        <v>642</v>
      </c>
    </row>
    <row r="2029" hidden="1">
      <c r="A2029" s="1" t="s">
        <v>643</v>
      </c>
    </row>
    <row r="2030">
      <c r="A2030" s="1" t="s">
        <v>1714</v>
      </c>
      <c r="B2030" s="2">
        <f>IFERROR(__xludf.DUMMYFUNCTION("SPLIT(A2030,""_"")"),2.0151103E7)</f>
        <v>20151103</v>
      </c>
      <c r="C2030" s="2" t="str">
        <f>IFERROR(__xludf.DUMMYFUNCTION("""COMPUTED_VALUE"""),"VMC")</f>
        <v>VMC</v>
      </c>
      <c r="D2030" s="2" t="str">
        <f>LEFT(B2030,4)</f>
        <v>2015</v>
      </c>
      <c r="E2030" s="2" t="str">
        <f>MID(B2030,5,2)</f>
        <v>11</v>
      </c>
      <c r="F2030" s="2" t="str">
        <f>RIGHT(B2030,2)</f>
        <v>03</v>
      </c>
      <c r="G2030" s="29">
        <f>DATE(D2030,E2030,F2030)</f>
        <v>42311</v>
      </c>
    </row>
    <row r="2031" hidden="1">
      <c r="A2031" s="1" t="s">
        <v>642</v>
      </c>
    </row>
    <row r="2032" hidden="1">
      <c r="A2032" s="1" t="s">
        <v>643</v>
      </c>
    </row>
    <row r="2033">
      <c r="A2033" s="1" t="s">
        <v>1715</v>
      </c>
      <c r="B2033" s="2">
        <f>IFERROR(__xludf.DUMMYFUNCTION("SPLIT(A2033,""_"")"),2.0151103E7)</f>
        <v>20151103</v>
      </c>
      <c r="C2033" s="2" t="str">
        <f>IFERROR(__xludf.DUMMYFUNCTION("""COMPUTED_VALUE"""),"VSH")</f>
        <v>VSH</v>
      </c>
      <c r="D2033" s="2" t="str">
        <f>LEFT(B2033,4)</f>
        <v>2015</v>
      </c>
      <c r="E2033" s="2" t="str">
        <f>MID(B2033,5,2)</f>
        <v>11</v>
      </c>
      <c r="F2033" s="2" t="str">
        <f>RIGHT(B2033,2)</f>
        <v>03</v>
      </c>
      <c r="G2033" s="29">
        <f>DATE(D2033,E2033,F2033)</f>
        <v>42311</v>
      </c>
    </row>
    <row r="2034" hidden="1">
      <c r="A2034" s="1" t="s">
        <v>642</v>
      </c>
    </row>
    <row r="2035" hidden="1">
      <c r="A2035" s="1" t="s">
        <v>643</v>
      </c>
    </row>
    <row r="2036">
      <c r="A2036" s="1" t="s">
        <v>1716</v>
      </c>
      <c r="B2036" s="2">
        <f>IFERROR(__xludf.DUMMYFUNCTION("SPLIT(A2036,""_"")"),2.0151104E7)</f>
        <v>20151104</v>
      </c>
      <c r="C2036" s="2" t="str">
        <f>IFERROR(__xludf.DUMMYFUNCTION("""COMPUTED_VALUE"""),"AGYS")</f>
        <v>AGYS</v>
      </c>
      <c r="D2036" s="2" t="str">
        <f>LEFT(B2036,4)</f>
        <v>2015</v>
      </c>
      <c r="E2036" s="2" t="str">
        <f>MID(B2036,5,2)</f>
        <v>11</v>
      </c>
      <c r="F2036" s="2" t="str">
        <f>RIGHT(B2036,2)</f>
        <v>04</v>
      </c>
      <c r="G2036" s="29">
        <f>DATE(D2036,E2036,F2036)</f>
        <v>42312</v>
      </c>
    </row>
    <row r="2037" hidden="1">
      <c r="A2037" s="1" t="s">
        <v>642</v>
      </c>
    </row>
    <row r="2038" hidden="1">
      <c r="A2038" s="1" t="s">
        <v>643</v>
      </c>
    </row>
    <row r="2039">
      <c r="A2039" s="1" t="s">
        <v>1717</v>
      </c>
      <c r="B2039" s="2">
        <f>IFERROR(__xludf.DUMMYFUNCTION("SPLIT(A2039,""_"")"),2.0151104E7)</f>
        <v>20151104</v>
      </c>
      <c r="C2039" s="2" t="str">
        <f>IFERROR(__xludf.DUMMYFUNCTION("""COMPUTED_VALUE"""),"AVA")</f>
        <v>AVA</v>
      </c>
      <c r="D2039" s="2" t="str">
        <f>LEFT(B2039,4)</f>
        <v>2015</v>
      </c>
      <c r="E2039" s="2" t="str">
        <f>MID(B2039,5,2)</f>
        <v>11</v>
      </c>
      <c r="F2039" s="2" t="str">
        <f>RIGHT(B2039,2)</f>
        <v>04</v>
      </c>
      <c r="G2039" s="29">
        <f>DATE(D2039,E2039,F2039)</f>
        <v>42312</v>
      </c>
    </row>
    <row r="2040" hidden="1">
      <c r="A2040" s="1" t="s">
        <v>642</v>
      </c>
    </row>
    <row r="2041" hidden="1">
      <c r="A2041" s="1" t="s">
        <v>643</v>
      </c>
    </row>
    <row r="2042">
      <c r="A2042" s="1" t="s">
        <v>1718</v>
      </c>
      <c r="B2042" s="2">
        <f>IFERROR(__xludf.DUMMYFUNCTION("SPLIT(A2042,""_"")"),2.0151104E7)</f>
        <v>20151104</v>
      </c>
      <c r="C2042" s="2" t="str">
        <f>IFERROR(__xludf.DUMMYFUNCTION("""COMPUTED_VALUE"""),"CTL")</f>
        <v>CTL</v>
      </c>
      <c r="D2042" s="2" t="str">
        <f>LEFT(B2042,4)</f>
        <v>2015</v>
      </c>
      <c r="E2042" s="2" t="str">
        <f>MID(B2042,5,2)</f>
        <v>11</v>
      </c>
      <c r="F2042" s="2" t="str">
        <f>RIGHT(B2042,2)</f>
        <v>04</v>
      </c>
      <c r="G2042" s="29">
        <f>DATE(D2042,E2042,F2042)</f>
        <v>42312</v>
      </c>
    </row>
    <row r="2043" hidden="1">
      <c r="A2043" s="1" t="s">
        <v>642</v>
      </c>
    </row>
    <row r="2044" hidden="1">
      <c r="A2044" s="1" t="s">
        <v>643</v>
      </c>
    </row>
    <row r="2045">
      <c r="A2045" s="1" t="s">
        <v>1719</v>
      </c>
      <c r="B2045" s="2">
        <f>IFERROR(__xludf.DUMMYFUNCTION("SPLIT(A2045,""_"")"),2.0151104E7)</f>
        <v>20151104</v>
      </c>
      <c r="C2045" s="2" t="str">
        <f>IFERROR(__xludf.DUMMYFUNCTION("""COMPUTED_VALUE"""),"DVN")</f>
        <v>DVN</v>
      </c>
      <c r="D2045" s="2" t="str">
        <f>LEFT(B2045,4)</f>
        <v>2015</v>
      </c>
      <c r="E2045" s="2" t="str">
        <f>MID(B2045,5,2)</f>
        <v>11</v>
      </c>
      <c r="F2045" s="2" t="str">
        <f>RIGHT(B2045,2)</f>
        <v>04</v>
      </c>
      <c r="G2045" s="29">
        <f>DATE(D2045,E2045,F2045)</f>
        <v>42312</v>
      </c>
    </row>
    <row r="2046" hidden="1">
      <c r="A2046" s="1" t="s">
        <v>642</v>
      </c>
    </row>
    <row r="2047" hidden="1">
      <c r="A2047" s="1" t="s">
        <v>643</v>
      </c>
    </row>
    <row r="2048">
      <c r="A2048" s="1" t="s">
        <v>1720</v>
      </c>
      <c r="B2048" s="2">
        <f>IFERROR(__xludf.DUMMYFUNCTION("SPLIT(A2048,""_"")"),2.0151104E7)</f>
        <v>20151104</v>
      </c>
      <c r="C2048" s="2" t="str">
        <f>IFERROR(__xludf.DUMMYFUNCTION("""COMPUTED_VALUE"""),"OSUR")</f>
        <v>OSUR</v>
      </c>
      <c r="D2048" s="2" t="str">
        <f>LEFT(B2048,4)</f>
        <v>2015</v>
      </c>
      <c r="E2048" s="2" t="str">
        <f>MID(B2048,5,2)</f>
        <v>11</v>
      </c>
      <c r="F2048" s="2" t="str">
        <f>RIGHT(B2048,2)</f>
        <v>04</v>
      </c>
      <c r="G2048" s="29">
        <f>DATE(D2048,E2048,F2048)</f>
        <v>42312</v>
      </c>
    </row>
    <row r="2049" hidden="1">
      <c r="A2049" s="1" t="s">
        <v>642</v>
      </c>
    </row>
    <row r="2050" hidden="1">
      <c r="A2050" s="1" t="s">
        <v>643</v>
      </c>
    </row>
    <row r="2051">
      <c r="A2051" s="1" t="s">
        <v>1721</v>
      </c>
      <c r="B2051" s="2">
        <f>IFERROR(__xludf.DUMMYFUNCTION("SPLIT(A2051,""_"")"),2.0151104E7)</f>
        <v>20151104</v>
      </c>
      <c r="C2051" s="2" t="str">
        <f>IFERROR(__xludf.DUMMYFUNCTION("""COMPUTED_VALUE"""),"PLUS")</f>
        <v>PLUS</v>
      </c>
      <c r="D2051" s="2" t="str">
        <f>LEFT(B2051,4)</f>
        <v>2015</v>
      </c>
      <c r="E2051" s="2" t="str">
        <f>MID(B2051,5,2)</f>
        <v>11</v>
      </c>
      <c r="F2051" s="2" t="str">
        <f>RIGHT(B2051,2)</f>
        <v>04</v>
      </c>
      <c r="G2051" s="29">
        <f>DATE(D2051,E2051,F2051)</f>
        <v>42312</v>
      </c>
    </row>
    <row r="2052" hidden="1">
      <c r="A2052" s="1" t="s">
        <v>642</v>
      </c>
    </row>
    <row r="2053" hidden="1">
      <c r="A2053" s="1" t="s">
        <v>643</v>
      </c>
    </row>
    <row r="2054">
      <c r="A2054" s="1" t="s">
        <v>1722</v>
      </c>
      <c r="B2054" s="2">
        <f>IFERROR(__xludf.DUMMYFUNCTION("SPLIT(A2054,""_"")"),2.0151104E7)</f>
        <v>20151104</v>
      </c>
      <c r="C2054" s="2" t="str">
        <f>IFERROR(__xludf.DUMMYFUNCTION("""COMPUTED_VALUE"""),"PZZA")</f>
        <v>PZZA</v>
      </c>
      <c r="D2054" s="2" t="str">
        <f>LEFT(B2054,4)</f>
        <v>2015</v>
      </c>
      <c r="E2054" s="2" t="str">
        <f>MID(B2054,5,2)</f>
        <v>11</v>
      </c>
      <c r="F2054" s="2" t="str">
        <f>RIGHT(B2054,2)</f>
        <v>04</v>
      </c>
      <c r="G2054" s="29">
        <f>DATE(D2054,E2054,F2054)</f>
        <v>42312</v>
      </c>
    </row>
    <row r="2055" hidden="1">
      <c r="A2055" s="1" t="s">
        <v>642</v>
      </c>
    </row>
    <row r="2056" hidden="1">
      <c r="A2056" s="1" t="s">
        <v>643</v>
      </c>
    </row>
    <row r="2057">
      <c r="A2057" s="1" t="s">
        <v>1723</v>
      </c>
      <c r="B2057" s="2">
        <f>IFERROR(__xludf.DUMMYFUNCTION("SPLIT(A2057,""_"")"),2.0151104E7)</f>
        <v>20151104</v>
      </c>
      <c r="C2057" s="2" t="str">
        <f>IFERROR(__xludf.DUMMYFUNCTION("""COMPUTED_VALUE"""),"SPPI")</f>
        <v>SPPI</v>
      </c>
      <c r="D2057" s="2" t="str">
        <f>LEFT(B2057,4)</f>
        <v>2015</v>
      </c>
      <c r="E2057" s="2" t="str">
        <f>MID(B2057,5,2)</f>
        <v>11</v>
      </c>
      <c r="F2057" s="2" t="str">
        <f>RIGHT(B2057,2)</f>
        <v>04</v>
      </c>
      <c r="G2057" s="29">
        <f>DATE(D2057,E2057,F2057)</f>
        <v>42312</v>
      </c>
    </row>
    <row r="2058" hidden="1">
      <c r="A2058" s="1" t="s">
        <v>642</v>
      </c>
    </row>
    <row r="2059" hidden="1">
      <c r="A2059" s="1" t="s">
        <v>643</v>
      </c>
    </row>
    <row r="2060">
      <c r="A2060" s="1" t="s">
        <v>1724</v>
      </c>
      <c r="B2060" s="2">
        <f>IFERROR(__xludf.DUMMYFUNCTION("SPLIT(A2060,""_"")"),2.0151105E7)</f>
        <v>20151105</v>
      </c>
      <c r="C2060" s="2" t="str">
        <f>IFERROR(__xludf.DUMMYFUNCTION("""COMPUTED_VALUE"""),"AAWW")</f>
        <v>AAWW</v>
      </c>
      <c r="D2060" s="2" t="str">
        <f>LEFT(B2060,4)</f>
        <v>2015</v>
      </c>
      <c r="E2060" s="2" t="str">
        <f>MID(B2060,5,2)</f>
        <v>11</v>
      </c>
      <c r="F2060" s="2" t="str">
        <f>RIGHT(B2060,2)</f>
        <v>05</v>
      </c>
      <c r="G2060" s="29">
        <f>DATE(D2060,E2060,F2060)</f>
        <v>42313</v>
      </c>
    </row>
    <row r="2061" hidden="1">
      <c r="A2061" s="1" t="s">
        <v>642</v>
      </c>
    </row>
    <row r="2062" hidden="1">
      <c r="A2062" s="1" t="s">
        <v>643</v>
      </c>
    </row>
    <row r="2063">
      <c r="A2063" s="1" t="s">
        <v>1725</v>
      </c>
      <c r="B2063" s="2">
        <f>IFERROR(__xludf.DUMMYFUNCTION("SPLIT(A2063,""_"")"),2.0151105E7)</f>
        <v>20151105</v>
      </c>
      <c r="C2063" s="2" t="str">
        <f>IFERROR(__xludf.DUMMYFUNCTION("""COMPUTED_VALUE"""),"ACIW")</f>
        <v>ACIW</v>
      </c>
      <c r="D2063" s="2" t="str">
        <f>LEFT(B2063,4)</f>
        <v>2015</v>
      </c>
      <c r="E2063" s="2" t="str">
        <f>MID(B2063,5,2)</f>
        <v>11</v>
      </c>
      <c r="F2063" s="2" t="str">
        <f>RIGHT(B2063,2)</f>
        <v>05</v>
      </c>
      <c r="G2063" s="29">
        <f>DATE(D2063,E2063,F2063)</f>
        <v>42313</v>
      </c>
    </row>
    <row r="2064" hidden="1">
      <c r="A2064" s="1" t="s">
        <v>642</v>
      </c>
    </row>
    <row r="2065" hidden="1">
      <c r="A2065" s="1" t="s">
        <v>643</v>
      </c>
    </row>
    <row r="2066">
      <c r="A2066" s="1" t="s">
        <v>1726</v>
      </c>
      <c r="B2066" s="2">
        <f>IFERROR(__xludf.DUMMYFUNCTION("SPLIT(A2066,""_"")"),2.0151105E7)</f>
        <v>20151105</v>
      </c>
      <c r="C2066" s="2" t="str">
        <f>IFERROR(__xludf.DUMMYFUNCTION("""COMPUTED_VALUE"""),"AES")</f>
        <v>AES</v>
      </c>
      <c r="D2066" s="2" t="str">
        <f>LEFT(B2066,4)</f>
        <v>2015</v>
      </c>
      <c r="E2066" s="2" t="str">
        <f>MID(B2066,5,2)</f>
        <v>11</v>
      </c>
      <c r="F2066" s="2" t="str">
        <f>RIGHT(B2066,2)</f>
        <v>05</v>
      </c>
      <c r="G2066" s="29">
        <f>DATE(D2066,E2066,F2066)</f>
        <v>42313</v>
      </c>
    </row>
    <row r="2067" hidden="1">
      <c r="A2067" s="1" t="s">
        <v>642</v>
      </c>
    </row>
    <row r="2068" hidden="1">
      <c r="A2068" s="1" t="s">
        <v>643</v>
      </c>
    </row>
    <row r="2069">
      <c r="A2069" s="1" t="s">
        <v>1727</v>
      </c>
      <c r="B2069" s="2">
        <f>IFERROR(__xludf.DUMMYFUNCTION("SPLIT(A2069,""_"")"),2.0151105E7)</f>
        <v>20151105</v>
      </c>
      <c r="C2069" s="2" t="str">
        <f>IFERROR(__xludf.DUMMYFUNCTION("""COMPUTED_VALUE"""),"ALEX")</f>
        <v>ALEX</v>
      </c>
      <c r="D2069" s="2" t="str">
        <f>LEFT(B2069,4)</f>
        <v>2015</v>
      </c>
      <c r="E2069" s="2" t="str">
        <f>MID(B2069,5,2)</f>
        <v>11</v>
      </c>
      <c r="F2069" s="2" t="str">
        <f>RIGHT(B2069,2)</f>
        <v>05</v>
      </c>
      <c r="G2069" s="29">
        <f>DATE(D2069,E2069,F2069)</f>
        <v>42313</v>
      </c>
    </row>
    <row r="2070" hidden="1">
      <c r="A2070" s="1" t="s">
        <v>642</v>
      </c>
    </row>
    <row r="2071" hidden="1">
      <c r="A2071" s="1" t="s">
        <v>643</v>
      </c>
    </row>
    <row r="2072">
      <c r="A2072" s="1" t="s">
        <v>1728</v>
      </c>
      <c r="B2072" s="2">
        <f>IFERROR(__xludf.DUMMYFUNCTION("SPLIT(A2072,""_"")"),2.0151105E7)</f>
        <v>20151105</v>
      </c>
      <c r="C2072" s="2" t="str">
        <f>IFERROR(__xludf.DUMMYFUNCTION("""COMPUTED_VALUE"""),"CLDT")</f>
        <v>CLDT</v>
      </c>
      <c r="D2072" s="2" t="str">
        <f>LEFT(B2072,4)</f>
        <v>2015</v>
      </c>
      <c r="E2072" s="2" t="str">
        <f>MID(B2072,5,2)</f>
        <v>11</v>
      </c>
      <c r="F2072" s="2" t="str">
        <f>RIGHT(B2072,2)</f>
        <v>05</v>
      </c>
      <c r="G2072" s="29">
        <f>DATE(D2072,E2072,F2072)</f>
        <v>42313</v>
      </c>
    </row>
    <row r="2073" hidden="1">
      <c r="A2073" s="1" t="s">
        <v>642</v>
      </c>
    </row>
    <row r="2074" hidden="1">
      <c r="A2074" s="1" t="s">
        <v>643</v>
      </c>
    </row>
    <row r="2075">
      <c r="A2075" s="1" t="s">
        <v>1729</v>
      </c>
      <c r="B2075" s="2">
        <f>IFERROR(__xludf.DUMMYFUNCTION("SPLIT(A2075,""_"")"),2.0151105E7)</f>
        <v>20151105</v>
      </c>
      <c r="C2075" s="2" t="str">
        <f>IFERROR(__xludf.DUMMYFUNCTION("""COMPUTED_VALUE"""),"CNK")</f>
        <v>CNK</v>
      </c>
      <c r="D2075" s="2" t="str">
        <f>LEFT(B2075,4)</f>
        <v>2015</v>
      </c>
      <c r="E2075" s="2" t="str">
        <f>MID(B2075,5,2)</f>
        <v>11</v>
      </c>
      <c r="F2075" s="2" t="str">
        <f>RIGHT(B2075,2)</f>
        <v>05</v>
      </c>
      <c r="G2075" s="29">
        <f>DATE(D2075,E2075,F2075)</f>
        <v>42313</v>
      </c>
    </row>
    <row r="2076" hidden="1">
      <c r="A2076" s="1" t="s">
        <v>642</v>
      </c>
    </row>
    <row r="2077" hidden="1">
      <c r="A2077" s="1" t="s">
        <v>643</v>
      </c>
    </row>
    <row r="2078">
      <c r="A2078" s="1" t="s">
        <v>1730</v>
      </c>
      <c r="B2078" s="2">
        <f>IFERROR(__xludf.DUMMYFUNCTION("SPLIT(A2078,""_"")"),2.0151105E7)</f>
        <v>20151105</v>
      </c>
      <c r="C2078" s="2" t="str">
        <f>IFERROR(__xludf.DUMMYFUNCTION("""COMPUTED_VALUE"""),"CNP")</f>
        <v>CNP</v>
      </c>
      <c r="D2078" s="2" t="str">
        <f>LEFT(B2078,4)</f>
        <v>2015</v>
      </c>
      <c r="E2078" s="2" t="str">
        <f>MID(B2078,5,2)</f>
        <v>11</v>
      </c>
      <c r="F2078" s="2" t="str">
        <f>RIGHT(B2078,2)</f>
        <v>05</v>
      </c>
      <c r="G2078" s="29">
        <f>DATE(D2078,E2078,F2078)</f>
        <v>42313</v>
      </c>
    </row>
    <row r="2079" hidden="1">
      <c r="A2079" s="1" t="s">
        <v>642</v>
      </c>
    </row>
    <row r="2080" hidden="1">
      <c r="A2080" s="1" t="s">
        <v>643</v>
      </c>
    </row>
    <row r="2081">
      <c r="A2081" s="1" t="s">
        <v>1731</v>
      </c>
      <c r="B2081" s="2">
        <f>IFERROR(__xludf.DUMMYFUNCTION("SPLIT(A2081,""_"")"),2.0151105E7)</f>
        <v>20151105</v>
      </c>
      <c r="C2081" s="2" t="str">
        <f>IFERROR(__xludf.DUMMYFUNCTION("""COMPUTED_VALUE"""),"CNSL")</f>
        <v>CNSL</v>
      </c>
      <c r="D2081" s="2" t="str">
        <f>LEFT(B2081,4)</f>
        <v>2015</v>
      </c>
      <c r="E2081" s="2" t="str">
        <f>MID(B2081,5,2)</f>
        <v>11</v>
      </c>
      <c r="F2081" s="2" t="str">
        <f>RIGHT(B2081,2)</f>
        <v>05</v>
      </c>
      <c r="G2081" s="29">
        <f>DATE(D2081,E2081,F2081)</f>
        <v>42313</v>
      </c>
    </row>
    <row r="2082" hidden="1">
      <c r="A2082" s="1" t="s">
        <v>642</v>
      </c>
    </row>
    <row r="2083" hidden="1">
      <c r="A2083" s="1" t="s">
        <v>643</v>
      </c>
    </row>
    <row r="2084">
      <c r="A2084" s="1" t="s">
        <v>1732</v>
      </c>
      <c r="B2084" s="2">
        <f>IFERROR(__xludf.DUMMYFUNCTION("SPLIT(A2084,""_"")"),2.0151105E7)</f>
        <v>20151105</v>
      </c>
      <c r="C2084" s="2" t="str">
        <f>IFERROR(__xludf.DUMMYFUNCTION("""COMPUTED_VALUE"""),"CORT")</f>
        <v>CORT</v>
      </c>
      <c r="D2084" s="2" t="str">
        <f>LEFT(B2084,4)</f>
        <v>2015</v>
      </c>
      <c r="E2084" s="2" t="str">
        <f>MID(B2084,5,2)</f>
        <v>11</v>
      </c>
      <c r="F2084" s="2" t="str">
        <f>RIGHT(B2084,2)</f>
        <v>05</v>
      </c>
      <c r="G2084" s="29">
        <f>DATE(D2084,E2084,F2084)</f>
        <v>42313</v>
      </c>
    </row>
    <row r="2085" hidden="1">
      <c r="A2085" s="1" t="s">
        <v>642</v>
      </c>
    </row>
    <row r="2086" hidden="1">
      <c r="A2086" s="1" t="s">
        <v>643</v>
      </c>
    </row>
    <row r="2087">
      <c r="A2087" s="1" t="s">
        <v>1733</v>
      </c>
      <c r="B2087" s="2">
        <f>IFERROR(__xludf.DUMMYFUNCTION("SPLIT(A2087,""_"")"),2.0151105E7)</f>
        <v>20151105</v>
      </c>
      <c r="C2087" s="2" t="str">
        <f>IFERROR(__xludf.DUMMYFUNCTION("""COMPUTED_VALUE"""),"DIS")</f>
        <v>DIS</v>
      </c>
      <c r="D2087" s="2" t="str">
        <f>LEFT(B2087,4)</f>
        <v>2015</v>
      </c>
      <c r="E2087" s="2" t="str">
        <f>MID(B2087,5,2)</f>
        <v>11</v>
      </c>
      <c r="F2087" s="2" t="str">
        <f>RIGHT(B2087,2)</f>
        <v>05</v>
      </c>
      <c r="G2087" s="29">
        <f>DATE(D2087,E2087,F2087)</f>
        <v>42313</v>
      </c>
    </row>
    <row r="2088" hidden="1">
      <c r="A2088" s="1" t="s">
        <v>642</v>
      </c>
    </row>
    <row r="2089" hidden="1">
      <c r="A2089" s="1" t="s">
        <v>643</v>
      </c>
    </row>
    <row r="2090">
      <c r="A2090" s="1" t="s">
        <v>1734</v>
      </c>
      <c r="B2090" s="2">
        <f>IFERROR(__xludf.DUMMYFUNCTION("SPLIT(A2090,""_"")"),2.0151105E7)</f>
        <v>20151105</v>
      </c>
      <c r="C2090" s="2" t="str">
        <f>IFERROR(__xludf.DUMMYFUNCTION("""COMPUTED_VALUE"""),"EBS")</f>
        <v>EBS</v>
      </c>
      <c r="D2090" s="2" t="str">
        <f>LEFT(B2090,4)</f>
        <v>2015</v>
      </c>
      <c r="E2090" s="2" t="str">
        <f>MID(B2090,5,2)</f>
        <v>11</v>
      </c>
      <c r="F2090" s="2" t="str">
        <f>RIGHT(B2090,2)</f>
        <v>05</v>
      </c>
      <c r="G2090" s="29">
        <f>DATE(D2090,E2090,F2090)</f>
        <v>42313</v>
      </c>
    </row>
    <row r="2091" hidden="1">
      <c r="A2091" s="1" t="s">
        <v>642</v>
      </c>
    </row>
    <row r="2092" hidden="1">
      <c r="A2092" s="1" t="s">
        <v>643</v>
      </c>
    </row>
    <row r="2093">
      <c r="A2093" s="1" t="s">
        <v>1735</v>
      </c>
      <c r="B2093" s="2">
        <f>IFERROR(__xludf.DUMMYFUNCTION("SPLIT(A2093,""_"")"),2.0151105E7)</f>
        <v>20151105</v>
      </c>
      <c r="C2093" s="2" t="str">
        <f>IFERROR(__xludf.DUMMYFUNCTION("""COMPUTED_VALUE"""),"ENDP")</f>
        <v>ENDP</v>
      </c>
      <c r="D2093" s="2" t="str">
        <f>LEFT(B2093,4)</f>
        <v>2015</v>
      </c>
      <c r="E2093" s="2" t="str">
        <f>MID(B2093,5,2)</f>
        <v>11</v>
      </c>
      <c r="F2093" s="2" t="str">
        <f>RIGHT(B2093,2)</f>
        <v>05</v>
      </c>
      <c r="G2093" s="29">
        <f>DATE(D2093,E2093,F2093)</f>
        <v>42313</v>
      </c>
    </row>
    <row r="2094" hidden="1">
      <c r="A2094" s="1" t="s">
        <v>642</v>
      </c>
    </row>
    <row r="2095" hidden="1">
      <c r="A2095" s="1" t="s">
        <v>643</v>
      </c>
    </row>
    <row r="2096">
      <c r="A2096" s="1" t="s">
        <v>1736</v>
      </c>
      <c r="B2096" s="2">
        <f>IFERROR(__xludf.DUMMYFUNCTION("SPLIT(A2096,""_"")"),2.0151105E7)</f>
        <v>20151105</v>
      </c>
      <c r="C2096" s="2" t="str">
        <f>IFERROR(__xludf.DUMMYFUNCTION("""COMPUTED_VALUE"""),"HE")</f>
        <v>HE</v>
      </c>
      <c r="D2096" s="2" t="str">
        <f>LEFT(B2096,4)</f>
        <v>2015</v>
      </c>
      <c r="E2096" s="2" t="str">
        <f>MID(B2096,5,2)</f>
        <v>11</v>
      </c>
      <c r="F2096" s="2" t="str">
        <f>RIGHT(B2096,2)</f>
        <v>05</v>
      </c>
      <c r="G2096" s="29">
        <f>DATE(D2096,E2096,F2096)</f>
        <v>42313</v>
      </c>
    </row>
    <row r="2097" hidden="1">
      <c r="A2097" s="1" t="s">
        <v>642</v>
      </c>
    </row>
    <row r="2098" hidden="1">
      <c r="A2098" s="1" t="s">
        <v>643</v>
      </c>
    </row>
    <row r="2099">
      <c r="A2099" s="1" t="s">
        <v>1737</v>
      </c>
      <c r="B2099" s="2">
        <f>IFERROR(__xludf.DUMMYFUNCTION("SPLIT(A2099,""_"")"),2.0151105E7)</f>
        <v>20151105</v>
      </c>
      <c r="C2099" s="2" t="str">
        <f>IFERROR(__xludf.DUMMYFUNCTION("""COMPUTED_VALUE"""),"HII")</f>
        <v>HII</v>
      </c>
      <c r="D2099" s="2" t="str">
        <f>LEFT(B2099,4)</f>
        <v>2015</v>
      </c>
      <c r="E2099" s="2" t="str">
        <f>MID(B2099,5,2)</f>
        <v>11</v>
      </c>
      <c r="F2099" s="2" t="str">
        <f>RIGHT(B2099,2)</f>
        <v>05</v>
      </c>
      <c r="G2099" s="29">
        <f>DATE(D2099,E2099,F2099)</f>
        <v>42313</v>
      </c>
    </row>
    <row r="2100" hidden="1">
      <c r="A2100" s="1" t="s">
        <v>642</v>
      </c>
    </row>
    <row r="2101" hidden="1">
      <c r="A2101" s="1" t="s">
        <v>643</v>
      </c>
    </row>
    <row r="2102">
      <c r="A2102" s="1" t="s">
        <v>1738</v>
      </c>
      <c r="B2102" s="2">
        <f>IFERROR(__xludf.DUMMYFUNCTION("SPLIT(A2102,""_"")"),2.0151105E7)</f>
        <v>20151105</v>
      </c>
      <c r="C2102" s="2" t="str">
        <f>IFERROR(__xludf.DUMMYFUNCTION("""COMPUTED_VALUE"""),"HRC")</f>
        <v>HRC</v>
      </c>
      <c r="D2102" s="2" t="str">
        <f>LEFT(B2102,4)</f>
        <v>2015</v>
      </c>
      <c r="E2102" s="2" t="str">
        <f>MID(B2102,5,2)</f>
        <v>11</v>
      </c>
      <c r="F2102" s="2" t="str">
        <f>RIGHT(B2102,2)</f>
        <v>05</v>
      </c>
      <c r="G2102" s="29">
        <f>DATE(D2102,E2102,F2102)</f>
        <v>42313</v>
      </c>
    </row>
    <row r="2103" hidden="1">
      <c r="A2103" s="1" t="s">
        <v>642</v>
      </c>
    </row>
    <row r="2104" hidden="1">
      <c r="A2104" s="1" t="s">
        <v>643</v>
      </c>
    </row>
    <row r="2105">
      <c r="A2105" s="1" t="s">
        <v>1739</v>
      </c>
      <c r="B2105" s="2">
        <f>IFERROR(__xludf.DUMMYFUNCTION("SPLIT(A2105,""_"")"),2.0151105E7)</f>
        <v>20151105</v>
      </c>
      <c r="C2105" s="2" t="str">
        <f>IFERROR(__xludf.DUMMYFUNCTION("""COMPUTED_VALUE"""),"ICUI")</f>
        <v>ICUI</v>
      </c>
      <c r="D2105" s="2" t="str">
        <f>LEFT(B2105,4)</f>
        <v>2015</v>
      </c>
      <c r="E2105" s="2" t="str">
        <f>MID(B2105,5,2)</f>
        <v>11</v>
      </c>
      <c r="F2105" s="2" t="str">
        <f>RIGHT(B2105,2)</f>
        <v>05</v>
      </c>
      <c r="G2105" s="29">
        <f>DATE(D2105,E2105,F2105)</f>
        <v>42313</v>
      </c>
    </row>
    <row r="2106" hidden="1">
      <c r="A2106" s="1" t="s">
        <v>642</v>
      </c>
    </row>
    <row r="2107" hidden="1">
      <c r="A2107" s="1" t="s">
        <v>643</v>
      </c>
    </row>
    <row r="2108">
      <c r="A2108" s="1" t="s">
        <v>1740</v>
      </c>
      <c r="B2108" s="2">
        <f>IFERROR(__xludf.DUMMYFUNCTION("SPLIT(A2108,""_"")"),2.0151105E7)</f>
        <v>20151105</v>
      </c>
      <c r="C2108" s="2" t="str">
        <f>IFERROR(__xludf.DUMMYFUNCTION("""COMPUTED_VALUE"""),"IPCC")</f>
        <v>IPCC</v>
      </c>
      <c r="D2108" s="2" t="str">
        <f>LEFT(B2108,4)</f>
        <v>2015</v>
      </c>
      <c r="E2108" s="2" t="str">
        <f>MID(B2108,5,2)</f>
        <v>11</v>
      </c>
      <c r="F2108" s="2" t="str">
        <f>RIGHT(B2108,2)</f>
        <v>05</v>
      </c>
      <c r="G2108" s="29">
        <f>DATE(D2108,E2108,F2108)</f>
        <v>42313</v>
      </c>
    </row>
    <row r="2109" hidden="1">
      <c r="A2109" s="1" t="s">
        <v>642</v>
      </c>
    </row>
    <row r="2110" hidden="1">
      <c r="A2110" s="1" t="s">
        <v>643</v>
      </c>
    </row>
    <row r="2111">
      <c r="A2111" s="1" t="s">
        <v>1741</v>
      </c>
      <c r="B2111" s="2">
        <f>IFERROR(__xludf.DUMMYFUNCTION("SPLIT(A2111,""_"")"),2.0151105E7)</f>
        <v>20151105</v>
      </c>
      <c r="C2111" s="2" t="str">
        <f>IFERROR(__xludf.DUMMYFUNCTION("""COMPUTED_VALUE"""),"LAMR")</f>
        <v>LAMR</v>
      </c>
      <c r="D2111" s="2" t="str">
        <f>LEFT(B2111,4)</f>
        <v>2015</v>
      </c>
      <c r="E2111" s="2" t="str">
        <f>MID(B2111,5,2)</f>
        <v>11</v>
      </c>
      <c r="F2111" s="2" t="str">
        <f>RIGHT(B2111,2)</f>
        <v>05</v>
      </c>
      <c r="G2111" s="29">
        <f>DATE(D2111,E2111,F2111)</f>
        <v>42313</v>
      </c>
    </row>
    <row r="2112" hidden="1">
      <c r="A2112" s="1" t="s">
        <v>642</v>
      </c>
    </row>
    <row r="2113" hidden="1">
      <c r="A2113" s="1" t="s">
        <v>643</v>
      </c>
    </row>
    <row r="2114">
      <c r="A2114" s="1" t="s">
        <v>1742</v>
      </c>
      <c r="B2114" s="2">
        <f>IFERROR(__xludf.DUMMYFUNCTION("SPLIT(A2114,""_"")"),2.0151105E7)</f>
        <v>20151105</v>
      </c>
      <c r="C2114" s="2" t="str">
        <f>IFERROR(__xludf.DUMMYFUNCTION("""COMPUTED_VALUE"""),"MASI")</f>
        <v>MASI</v>
      </c>
      <c r="D2114" s="2" t="str">
        <f>LEFT(B2114,4)</f>
        <v>2015</v>
      </c>
      <c r="E2114" s="2" t="str">
        <f>MID(B2114,5,2)</f>
        <v>11</v>
      </c>
      <c r="F2114" s="2" t="str">
        <f>RIGHT(B2114,2)</f>
        <v>05</v>
      </c>
      <c r="G2114" s="29">
        <f>DATE(D2114,E2114,F2114)</f>
        <v>42313</v>
      </c>
    </row>
    <row r="2115" hidden="1">
      <c r="A2115" s="1" t="s">
        <v>642</v>
      </c>
    </row>
    <row r="2116" hidden="1">
      <c r="A2116" s="1" t="s">
        <v>643</v>
      </c>
    </row>
    <row r="2117">
      <c r="A2117" s="1" t="s">
        <v>1743</v>
      </c>
      <c r="B2117" s="2">
        <f>IFERROR(__xludf.DUMMYFUNCTION("SPLIT(A2117,""_"")"),2.0151105E7)</f>
        <v>20151105</v>
      </c>
      <c r="C2117" s="2" t="str">
        <f>IFERROR(__xludf.DUMMYFUNCTION("""COMPUTED_VALUE"""),"MTD")</f>
        <v>MTD</v>
      </c>
      <c r="D2117" s="2" t="str">
        <f>LEFT(B2117,4)</f>
        <v>2015</v>
      </c>
      <c r="E2117" s="2" t="str">
        <f>MID(B2117,5,2)</f>
        <v>11</v>
      </c>
      <c r="F2117" s="2" t="str">
        <f>RIGHT(B2117,2)</f>
        <v>05</v>
      </c>
      <c r="G2117" s="29">
        <f>DATE(D2117,E2117,F2117)</f>
        <v>42313</v>
      </c>
    </row>
    <row r="2118" hidden="1">
      <c r="A2118" s="1" t="s">
        <v>642</v>
      </c>
    </row>
    <row r="2119" hidden="1">
      <c r="A2119" s="1" t="s">
        <v>643</v>
      </c>
    </row>
    <row r="2120">
      <c r="A2120" s="1" t="s">
        <v>1744</v>
      </c>
      <c r="B2120" s="2">
        <f>IFERROR(__xludf.DUMMYFUNCTION("SPLIT(A2120,""_"")"),2.0151105E7)</f>
        <v>20151105</v>
      </c>
      <c r="C2120" s="2" t="str">
        <f>IFERROR(__xludf.DUMMYFUNCTION("""COMPUTED_VALUE"""),"OGE")</f>
        <v>OGE</v>
      </c>
      <c r="D2120" s="2" t="str">
        <f>LEFT(B2120,4)</f>
        <v>2015</v>
      </c>
      <c r="E2120" s="2" t="str">
        <f>MID(B2120,5,2)</f>
        <v>11</v>
      </c>
      <c r="F2120" s="2" t="str">
        <f>RIGHT(B2120,2)</f>
        <v>05</v>
      </c>
      <c r="G2120" s="29">
        <f>DATE(D2120,E2120,F2120)</f>
        <v>42313</v>
      </c>
    </row>
    <row r="2121" hidden="1">
      <c r="A2121" s="1" t="s">
        <v>642</v>
      </c>
    </row>
    <row r="2122" hidden="1">
      <c r="A2122" s="1" t="s">
        <v>643</v>
      </c>
    </row>
    <row r="2123">
      <c r="A2123" s="1" t="s">
        <v>1745</v>
      </c>
      <c r="B2123" s="2">
        <f>IFERROR(__xludf.DUMMYFUNCTION("SPLIT(A2123,""_"")"),2.0151105E7)</f>
        <v>20151105</v>
      </c>
      <c r="C2123" s="2" t="str">
        <f>IFERROR(__xludf.DUMMYFUNCTION("""COMPUTED_VALUE"""),"PLT")</f>
        <v>PLT</v>
      </c>
      <c r="D2123" s="2" t="str">
        <f>LEFT(B2123,4)</f>
        <v>2015</v>
      </c>
      <c r="E2123" s="2" t="str">
        <f>MID(B2123,5,2)</f>
        <v>11</v>
      </c>
      <c r="F2123" s="2" t="str">
        <f>RIGHT(B2123,2)</f>
        <v>05</v>
      </c>
      <c r="G2123" s="29">
        <f>DATE(D2123,E2123,F2123)</f>
        <v>42313</v>
      </c>
    </row>
    <row r="2124" hidden="1">
      <c r="A2124" s="1" t="s">
        <v>642</v>
      </c>
    </row>
    <row r="2125" hidden="1">
      <c r="A2125" s="1" t="s">
        <v>643</v>
      </c>
    </row>
    <row r="2126">
      <c r="A2126" s="1" t="s">
        <v>1746</v>
      </c>
      <c r="B2126" s="2">
        <f>IFERROR(__xludf.DUMMYFUNCTION("SPLIT(A2126,""_"")"),2.0151105E7)</f>
        <v>20151105</v>
      </c>
      <c r="C2126" s="2" t="str">
        <f>IFERROR(__xludf.DUMMYFUNCTION("""COMPUTED_VALUE"""),"SJI")</f>
        <v>SJI</v>
      </c>
      <c r="D2126" s="2" t="str">
        <f>LEFT(B2126,4)</f>
        <v>2015</v>
      </c>
      <c r="E2126" s="2" t="str">
        <f>MID(B2126,5,2)</f>
        <v>11</v>
      </c>
      <c r="F2126" s="2" t="str">
        <f>RIGHT(B2126,2)</f>
        <v>05</v>
      </c>
      <c r="G2126" s="29">
        <f>DATE(D2126,E2126,F2126)</f>
        <v>42313</v>
      </c>
    </row>
    <row r="2127" hidden="1">
      <c r="A2127" s="1" t="s">
        <v>642</v>
      </c>
    </row>
    <row r="2128" hidden="1">
      <c r="A2128" s="1" t="s">
        <v>643</v>
      </c>
    </row>
    <row r="2129">
      <c r="A2129" s="1" t="s">
        <v>1747</v>
      </c>
      <c r="B2129" s="2">
        <f>IFERROR(__xludf.DUMMYFUNCTION("SPLIT(A2129,""_"")"),2.0151105E7)</f>
        <v>20151105</v>
      </c>
      <c r="C2129" s="2" t="str">
        <f>IFERROR(__xludf.DUMMYFUNCTION("""COMPUTED_VALUE"""),"SSTK")</f>
        <v>SSTK</v>
      </c>
      <c r="D2129" s="2" t="str">
        <f>LEFT(B2129,4)</f>
        <v>2015</v>
      </c>
      <c r="E2129" s="2" t="str">
        <f>MID(B2129,5,2)</f>
        <v>11</v>
      </c>
      <c r="F2129" s="2" t="str">
        <f>RIGHT(B2129,2)</f>
        <v>05</v>
      </c>
      <c r="G2129" s="29">
        <f>DATE(D2129,E2129,F2129)</f>
        <v>42313</v>
      </c>
    </row>
    <row r="2130" hidden="1">
      <c r="A2130" s="1" t="s">
        <v>642</v>
      </c>
    </row>
    <row r="2131" hidden="1">
      <c r="A2131" s="1" t="s">
        <v>643</v>
      </c>
    </row>
    <row r="2132">
      <c r="A2132" s="1" t="s">
        <v>1748</v>
      </c>
      <c r="B2132" s="2">
        <f>IFERROR(__xludf.DUMMYFUNCTION("SPLIT(A2132,""_"")"),2.0151105E7)</f>
        <v>20151105</v>
      </c>
      <c r="C2132" s="2" t="str">
        <f>IFERROR(__xludf.DUMMYFUNCTION("""COMPUTED_VALUE"""),"TRIP")</f>
        <v>TRIP</v>
      </c>
      <c r="D2132" s="2" t="str">
        <f>LEFT(B2132,4)</f>
        <v>2015</v>
      </c>
      <c r="E2132" s="2" t="str">
        <f>MID(B2132,5,2)</f>
        <v>11</v>
      </c>
      <c r="F2132" s="2" t="str">
        <f>RIGHT(B2132,2)</f>
        <v>05</v>
      </c>
      <c r="G2132" s="29">
        <f>DATE(D2132,E2132,F2132)</f>
        <v>42313</v>
      </c>
    </row>
    <row r="2133" hidden="1">
      <c r="A2133" s="1" t="s">
        <v>642</v>
      </c>
    </row>
    <row r="2134" hidden="1">
      <c r="A2134" s="1" t="s">
        <v>643</v>
      </c>
    </row>
    <row r="2135">
      <c r="A2135" s="1" t="s">
        <v>1749</v>
      </c>
      <c r="B2135" s="2">
        <f>IFERROR(__xludf.DUMMYFUNCTION("SPLIT(A2135,""_"")"),2.0151105E7)</f>
        <v>20151105</v>
      </c>
      <c r="C2135" s="2" t="str">
        <f>IFERROR(__xludf.DUMMYFUNCTION("""COMPUTED_VALUE"""),"TTWO")</f>
        <v>TTWO</v>
      </c>
      <c r="D2135" s="2" t="str">
        <f>LEFT(B2135,4)</f>
        <v>2015</v>
      </c>
      <c r="E2135" s="2" t="str">
        <f>MID(B2135,5,2)</f>
        <v>11</v>
      </c>
      <c r="F2135" s="2" t="str">
        <f>RIGHT(B2135,2)</f>
        <v>05</v>
      </c>
      <c r="G2135" s="29">
        <f>DATE(D2135,E2135,F2135)</f>
        <v>42313</v>
      </c>
    </row>
    <row r="2136" hidden="1">
      <c r="A2136" s="1" t="s">
        <v>642</v>
      </c>
    </row>
    <row r="2137" hidden="1">
      <c r="A2137" s="1" t="s">
        <v>643</v>
      </c>
    </row>
    <row r="2138">
      <c r="A2138" s="1" t="s">
        <v>1750</v>
      </c>
      <c r="B2138" s="2">
        <f>IFERROR(__xludf.DUMMYFUNCTION("SPLIT(A2138,""_"")"),2.0151105E7)</f>
        <v>20151105</v>
      </c>
      <c r="C2138" s="2" t="str">
        <f>IFERROR(__xludf.DUMMYFUNCTION("""COMPUTED_VALUE"""),"UEIC")</f>
        <v>UEIC</v>
      </c>
      <c r="D2138" s="2" t="str">
        <f>LEFT(B2138,4)</f>
        <v>2015</v>
      </c>
      <c r="E2138" s="2" t="str">
        <f>MID(B2138,5,2)</f>
        <v>11</v>
      </c>
      <c r="F2138" s="2" t="str">
        <f>RIGHT(B2138,2)</f>
        <v>05</v>
      </c>
      <c r="G2138" s="29">
        <f>DATE(D2138,E2138,F2138)</f>
        <v>42313</v>
      </c>
    </row>
    <row r="2139" hidden="1">
      <c r="A2139" s="1" t="s">
        <v>642</v>
      </c>
    </row>
    <row r="2140" hidden="1">
      <c r="A2140" s="1" t="s">
        <v>643</v>
      </c>
    </row>
    <row r="2141">
      <c r="A2141" s="1" t="s">
        <v>1751</v>
      </c>
      <c r="B2141" s="2">
        <f>IFERROR(__xludf.DUMMYFUNCTION("SPLIT(A2141,""_"")"),2.0151105E7)</f>
        <v>20151105</v>
      </c>
      <c r="C2141" s="2" t="str">
        <f>IFERROR(__xludf.DUMMYFUNCTION("""COMPUTED_VALUE"""),"ZEUS")</f>
        <v>ZEUS</v>
      </c>
      <c r="D2141" s="2" t="str">
        <f>LEFT(B2141,4)</f>
        <v>2015</v>
      </c>
      <c r="E2141" s="2" t="str">
        <f>MID(B2141,5,2)</f>
        <v>11</v>
      </c>
      <c r="F2141" s="2" t="str">
        <f>RIGHT(B2141,2)</f>
        <v>05</v>
      </c>
      <c r="G2141" s="29">
        <f>DATE(D2141,E2141,F2141)</f>
        <v>42313</v>
      </c>
    </row>
    <row r="2142" hidden="1">
      <c r="A2142" s="1" t="s">
        <v>642</v>
      </c>
    </row>
    <row r="2143" hidden="1">
      <c r="A2143" s="1" t="s">
        <v>643</v>
      </c>
    </row>
    <row r="2144">
      <c r="A2144" s="1" t="s">
        <v>1752</v>
      </c>
      <c r="B2144" s="2">
        <f>IFERROR(__xludf.DUMMYFUNCTION("SPLIT(A2144,""_"")"),2.0151106E7)</f>
        <v>20151106</v>
      </c>
      <c r="C2144" s="2" t="str">
        <f>IFERROR(__xludf.DUMMYFUNCTION("""COMPUTED_VALUE"""),"LXU")</f>
        <v>LXU</v>
      </c>
      <c r="D2144" s="2" t="str">
        <f>LEFT(B2144,4)</f>
        <v>2015</v>
      </c>
      <c r="E2144" s="2" t="str">
        <f>MID(B2144,5,2)</f>
        <v>11</v>
      </c>
      <c r="F2144" s="2" t="str">
        <f>RIGHT(B2144,2)</f>
        <v>06</v>
      </c>
      <c r="G2144" s="29">
        <f>DATE(D2144,E2144,F2144)</f>
        <v>42314</v>
      </c>
    </row>
    <row r="2145" hidden="1">
      <c r="A2145" s="1" t="s">
        <v>642</v>
      </c>
    </row>
    <row r="2146" hidden="1">
      <c r="A2146" s="1" t="s">
        <v>643</v>
      </c>
    </row>
    <row r="2147">
      <c r="A2147" s="1" t="s">
        <v>1753</v>
      </c>
      <c r="B2147" s="2">
        <f>IFERROR(__xludf.DUMMYFUNCTION("SPLIT(A2147,""_"")"),2.0151106E7)</f>
        <v>20151106</v>
      </c>
      <c r="C2147" s="2" t="str">
        <f>IFERROR(__xludf.DUMMYFUNCTION("""COMPUTED_VALUE"""),"MHK")</f>
        <v>MHK</v>
      </c>
      <c r="D2147" s="2" t="str">
        <f>LEFT(B2147,4)</f>
        <v>2015</v>
      </c>
      <c r="E2147" s="2" t="str">
        <f>MID(B2147,5,2)</f>
        <v>11</v>
      </c>
      <c r="F2147" s="2" t="str">
        <f>RIGHT(B2147,2)</f>
        <v>06</v>
      </c>
      <c r="G2147" s="29">
        <f>DATE(D2147,E2147,F2147)</f>
        <v>42314</v>
      </c>
    </row>
    <row r="2148" hidden="1">
      <c r="A2148" s="1" t="s">
        <v>642</v>
      </c>
    </row>
    <row r="2149" hidden="1">
      <c r="A2149" s="1" t="s">
        <v>643</v>
      </c>
    </row>
    <row r="2150">
      <c r="A2150" s="1" t="s">
        <v>1754</v>
      </c>
      <c r="B2150" s="2">
        <f>IFERROR(__xludf.DUMMYFUNCTION("SPLIT(A2150,""_"")"),2.0151106E7)</f>
        <v>20151106</v>
      </c>
      <c r="C2150" s="2" t="str">
        <f>IFERROR(__xludf.DUMMYFUNCTION("""COMPUTED_VALUE"""),"TTI")</f>
        <v>TTI</v>
      </c>
      <c r="D2150" s="2" t="str">
        <f>LEFT(B2150,4)</f>
        <v>2015</v>
      </c>
      <c r="E2150" s="2" t="str">
        <f>MID(B2150,5,2)</f>
        <v>11</v>
      </c>
      <c r="F2150" s="2" t="str">
        <f>RIGHT(B2150,2)</f>
        <v>06</v>
      </c>
      <c r="G2150" s="29">
        <f>DATE(D2150,E2150,F2150)</f>
        <v>42314</v>
      </c>
    </row>
    <row r="2151" hidden="1">
      <c r="A2151" s="1" t="s">
        <v>642</v>
      </c>
    </row>
    <row r="2152" hidden="1">
      <c r="A2152" s="1" t="s">
        <v>643</v>
      </c>
    </row>
    <row r="2153">
      <c r="A2153" s="1" t="s">
        <v>1755</v>
      </c>
      <c r="B2153" s="2">
        <f>IFERROR(__xludf.DUMMYFUNCTION("SPLIT(A2153,""_"")"),2.0151109E7)</f>
        <v>20151109</v>
      </c>
      <c r="C2153" s="2" t="str">
        <f>IFERROR(__xludf.DUMMYFUNCTION("""COMPUTED_VALUE"""),"AMG")</f>
        <v>AMG</v>
      </c>
      <c r="D2153" s="2" t="str">
        <f>LEFT(B2153,4)</f>
        <v>2015</v>
      </c>
      <c r="E2153" s="2" t="str">
        <f>MID(B2153,5,2)</f>
        <v>11</v>
      </c>
      <c r="F2153" s="2" t="str">
        <f>RIGHT(B2153,2)</f>
        <v>09</v>
      </c>
      <c r="G2153" s="29">
        <f>DATE(D2153,E2153,F2153)</f>
        <v>42317</v>
      </c>
    </row>
    <row r="2154" hidden="1">
      <c r="A2154" s="1" t="s">
        <v>642</v>
      </c>
    </row>
    <row r="2155" hidden="1">
      <c r="A2155" s="1" t="s">
        <v>643</v>
      </c>
    </row>
    <row r="2156">
      <c r="A2156" s="1" t="s">
        <v>1756</v>
      </c>
      <c r="B2156" s="2">
        <f>IFERROR(__xludf.DUMMYFUNCTION("SPLIT(A2156,""_"")"),2.0151109E7)</f>
        <v>20151109</v>
      </c>
      <c r="C2156" s="2" t="str">
        <f>IFERROR(__xludf.DUMMYFUNCTION("""COMPUTED_VALUE"""),"APEI")</f>
        <v>APEI</v>
      </c>
      <c r="D2156" s="2" t="str">
        <f>LEFT(B2156,4)</f>
        <v>2015</v>
      </c>
      <c r="E2156" s="2" t="str">
        <f>MID(B2156,5,2)</f>
        <v>11</v>
      </c>
      <c r="F2156" s="2" t="str">
        <f>RIGHT(B2156,2)</f>
        <v>09</v>
      </c>
      <c r="G2156" s="29">
        <f>DATE(D2156,E2156,F2156)</f>
        <v>42317</v>
      </c>
    </row>
    <row r="2157" hidden="1">
      <c r="A2157" s="1" t="s">
        <v>642</v>
      </c>
    </row>
    <row r="2158" hidden="1">
      <c r="A2158" s="1" t="s">
        <v>643</v>
      </c>
    </row>
    <row r="2159">
      <c r="A2159" s="1" t="s">
        <v>1757</v>
      </c>
      <c r="B2159" s="2">
        <f>IFERROR(__xludf.DUMMYFUNCTION("SPLIT(A2159,""_"")"),2.0151109E7)</f>
        <v>20151109</v>
      </c>
      <c r="C2159" s="2" t="str">
        <f>IFERROR(__xludf.DUMMYFUNCTION("""COMPUTED_VALUE"""),"CIR")</f>
        <v>CIR</v>
      </c>
      <c r="D2159" s="2" t="str">
        <f>LEFT(B2159,4)</f>
        <v>2015</v>
      </c>
      <c r="E2159" s="2" t="str">
        <f>MID(B2159,5,2)</f>
        <v>11</v>
      </c>
      <c r="F2159" s="2" t="str">
        <f>RIGHT(B2159,2)</f>
        <v>09</v>
      </c>
      <c r="G2159" s="29">
        <f>DATE(D2159,E2159,F2159)</f>
        <v>42317</v>
      </c>
    </row>
    <row r="2160" hidden="1">
      <c r="A2160" s="1" t="s">
        <v>642</v>
      </c>
    </row>
    <row r="2161" hidden="1">
      <c r="A2161" s="1" t="s">
        <v>643</v>
      </c>
    </row>
    <row r="2162">
      <c r="A2162" s="1" t="s">
        <v>1758</v>
      </c>
      <c r="B2162" s="2">
        <f>IFERROR(__xludf.DUMMYFUNCTION("SPLIT(A2162,""_"")"),2.0151109E7)</f>
        <v>20151109</v>
      </c>
      <c r="C2162" s="2" t="str">
        <f>IFERROR(__xludf.DUMMYFUNCTION("""COMPUTED_VALUE"""),"DISH")</f>
        <v>DISH</v>
      </c>
      <c r="D2162" s="2" t="str">
        <f>LEFT(B2162,4)</f>
        <v>2015</v>
      </c>
      <c r="E2162" s="2" t="str">
        <f>MID(B2162,5,2)</f>
        <v>11</v>
      </c>
      <c r="F2162" s="2" t="str">
        <f>RIGHT(B2162,2)</f>
        <v>09</v>
      </c>
      <c r="G2162" s="29">
        <f>DATE(D2162,E2162,F2162)</f>
        <v>42317</v>
      </c>
    </row>
    <row r="2163" hidden="1">
      <c r="A2163" s="1" t="s">
        <v>642</v>
      </c>
    </row>
    <row r="2164" hidden="1">
      <c r="A2164" s="1" t="s">
        <v>643</v>
      </c>
    </row>
    <row r="2165">
      <c r="A2165" s="1" t="s">
        <v>1759</v>
      </c>
      <c r="B2165" s="2">
        <f>IFERROR(__xludf.DUMMYFUNCTION("SPLIT(A2165,""_"")"),2.0151109E7)</f>
        <v>20151109</v>
      </c>
      <c r="C2165" s="2" t="str">
        <f>IFERROR(__xludf.DUMMYFUNCTION("""COMPUTED_VALUE"""),"ILG")</f>
        <v>ILG</v>
      </c>
      <c r="D2165" s="2" t="str">
        <f>LEFT(B2165,4)</f>
        <v>2015</v>
      </c>
      <c r="E2165" s="2" t="str">
        <f>MID(B2165,5,2)</f>
        <v>11</v>
      </c>
      <c r="F2165" s="2" t="str">
        <f>RIGHT(B2165,2)</f>
        <v>09</v>
      </c>
      <c r="G2165" s="29">
        <f>DATE(D2165,E2165,F2165)</f>
        <v>42317</v>
      </c>
    </row>
    <row r="2166" hidden="1">
      <c r="A2166" s="1" t="s">
        <v>642</v>
      </c>
    </row>
    <row r="2167" hidden="1">
      <c r="A2167" s="1" t="s">
        <v>643</v>
      </c>
    </row>
    <row r="2168">
      <c r="A2168" s="1" t="s">
        <v>1760</v>
      </c>
      <c r="B2168" s="2">
        <f>IFERROR(__xludf.DUMMYFUNCTION("SPLIT(A2168,""_"")"),2.0151109E7)</f>
        <v>20151109</v>
      </c>
      <c r="C2168" s="2" t="str">
        <f>IFERROR(__xludf.DUMMYFUNCTION("""COMPUTED_VALUE"""),"LABL")</f>
        <v>LABL</v>
      </c>
      <c r="D2168" s="2" t="str">
        <f>LEFT(B2168,4)</f>
        <v>2015</v>
      </c>
      <c r="E2168" s="2" t="str">
        <f>MID(B2168,5,2)</f>
        <v>11</v>
      </c>
      <c r="F2168" s="2" t="str">
        <f>RIGHT(B2168,2)</f>
        <v>09</v>
      </c>
      <c r="G2168" s="29">
        <f>DATE(D2168,E2168,F2168)</f>
        <v>42317</v>
      </c>
    </row>
    <row r="2169" hidden="1">
      <c r="A2169" s="1" t="s">
        <v>642</v>
      </c>
    </row>
    <row r="2170" hidden="1">
      <c r="A2170" s="1" t="s">
        <v>643</v>
      </c>
    </row>
    <row r="2171">
      <c r="A2171" s="1" t="s">
        <v>1761</v>
      </c>
      <c r="B2171" s="2">
        <f>IFERROR(__xludf.DUMMYFUNCTION("SPLIT(A2171,""_"")"),2.0151109E7)</f>
        <v>20151109</v>
      </c>
      <c r="C2171" s="2" t="str">
        <f>IFERROR(__xludf.DUMMYFUNCTION("""COMPUTED_VALUE"""),"LGND")</f>
        <v>LGND</v>
      </c>
      <c r="D2171" s="2" t="str">
        <f>LEFT(B2171,4)</f>
        <v>2015</v>
      </c>
      <c r="E2171" s="2" t="str">
        <f>MID(B2171,5,2)</f>
        <v>11</v>
      </c>
      <c r="F2171" s="2" t="str">
        <f>RIGHT(B2171,2)</f>
        <v>09</v>
      </c>
      <c r="G2171" s="29">
        <f>DATE(D2171,E2171,F2171)</f>
        <v>42317</v>
      </c>
    </row>
    <row r="2172" hidden="1">
      <c r="A2172" s="1" t="s">
        <v>642</v>
      </c>
    </row>
    <row r="2173" hidden="1">
      <c r="A2173" s="1" t="s">
        <v>643</v>
      </c>
    </row>
    <row r="2174">
      <c r="A2174" s="1" t="s">
        <v>1762</v>
      </c>
      <c r="B2174" s="2">
        <f>IFERROR(__xludf.DUMMYFUNCTION("SPLIT(A2174,""_"")"),2.0151109E7)</f>
        <v>20151109</v>
      </c>
      <c r="C2174" s="2" t="str">
        <f>IFERROR(__xludf.DUMMYFUNCTION("""COMPUTED_VALUE"""),"MDR")</f>
        <v>MDR</v>
      </c>
      <c r="D2174" s="2" t="str">
        <f>LEFT(B2174,4)</f>
        <v>2015</v>
      </c>
      <c r="E2174" s="2" t="str">
        <f>MID(B2174,5,2)</f>
        <v>11</v>
      </c>
      <c r="F2174" s="2" t="str">
        <f>RIGHT(B2174,2)</f>
        <v>09</v>
      </c>
      <c r="G2174" s="29">
        <f>DATE(D2174,E2174,F2174)</f>
        <v>42317</v>
      </c>
    </row>
    <row r="2175" hidden="1">
      <c r="A2175" s="1" t="s">
        <v>642</v>
      </c>
    </row>
    <row r="2176" hidden="1">
      <c r="A2176" s="1" t="s">
        <v>643</v>
      </c>
    </row>
    <row r="2177">
      <c r="A2177" s="1" t="s">
        <v>1763</v>
      </c>
      <c r="B2177" s="2">
        <f>IFERROR(__xludf.DUMMYFUNCTION("SPLIT(A2177,""_"")"),2.0151109E7)</f>
        <v>20151109</v>
      </c>
      <c r="C2177" s="2" t="str">
        <f>IFERROR(__xludf.DUMMYFUNCTION("""COMPUTED_VALUE"""),"QNST")</f>
        <v>QNST</v>
      </c>
      <c r="D2177" s="2" t="str">
        <f>LEFT(B2177,4)</f>
        <v>2015</v>
      </c>
      <c r="E2177" s="2" t="str">
        <f>MID(B2177,5,2)</f>
        <v>11</v>
      </c>
      <c r="F2177" s="2" t="str">
        <f>RIGHT(B2177,2)</f>
        <v>09</v>
      </c>
      <c r="G2177" s="29">
        <f>DATE(D2177,E2177,F2177)</f>
        <v>42317</v>
      </c>
    </row>
    <row r="2178" hidden="1">
      <c r="A2178" s="1" t="s">
        <v>642</v>
      </c>
    </row>
    <row r="2179" hidden="1">
      <c r="A2179" s="1" t="s">
        <v>643</v>
      </c>
    </row>
    <row r="2180">
      <c r="A2180" s="1" t="s">
        <v>1764</v>
      </c>
      <c r="B2180" s="2">
        <f>IFERROR(__xludf.DUMMYFUNCTION("SPLIT(A2180,""_"")"),2.015111E7)</f>
        <v>20151110</v>
      </c>
      <c r="C2180" s="2" t="str">
        <f>IFERROR(__xludf.DUMMYFUNCTION("""COMPUTED_VALUE"""),"SRDX")</f>
        <v>SRDX</v>
      </c>
      <c r="D2180" s="2" t="str">
        <f>LEFT(B2180,4)</f>
        <v>2015</v>
      </c>
      <c r="E2180" s="2" t="str">
        <f>MID(B2180,5,2)</f>
        <v>11</v>
      </c>
      <c r="F2180" s="2" t="str">
        <f>RIGHT(B2180,2)</f>
        <v>10</v>
      </c>
      <c r="G2180" s="29">
        <f>DATE(D2180,E2180,F2180)</f>
        <v>42318</v>
      </c>
    </row>
    <row r="2181" hidden="1">
      <c r="A2181" s="1" t="s">
        <v>642</v>
      </c>
    </row>
    <row r="2182" hidden="1">
      <c r="A2182" s="1" t="s">
        <v>643</v>
      </c>
    </row>
    <row r="2183">
      <c r="A2183" s="1" t="s">
        <v>1765</v>
      </c>
      <c r="B2183" s="2">
        <f>IFERROR(__xludf.DUMMYFUNCTION("SPLIT(A2183,""_"")"),2.015111E7)</f>
        <v>20151110</v>
      </c>
      <c r="C2183" s="2" t="str">
        <f>IFERROR(__xludf.DUMMYFUNCTION("""COMPUTED_VALUE"""),"ZBRA")</f>
        <v>ZBRA</v>
      </c>
      <c r="D2183" s="2" t="str">
        <f>LEFT(B2183,4)</f>
        <v>2015</v>
      </c>
      <c r="E2183" s="2" t="str">
        <f>MID(B2183,5,2)</f>
        <v>11</v>
      </c>
      <c r="F2183" s="2" t="str">
        <f>RIGHT(B2183,2)</f>
        <v>10</v>
      </c>
      <c r="G2183" s="29">
        <f>DATE(D2183,E2183,F2183)</f>
        <v>42318</v>
      </c>
    </row>
    <row r="2184" hidden="1">
      <c r="A2184" s="1" t="s">
        <v>642</v>
      </c>
    </row>
    <row r="2185" hidden="1">
      <c r="A2185" s="1" t="s">
        <v>643</v>
      </c>
    </row>
    <row r="2186">
      <c r="A2186" s="1" t="s">
        <v>1766</v>
      </c>
      <c r="B2186" s="2">
        <f>IFERROR(__xludf.DUMMYFUNCTION("SPLIT(A2186,""_"")"),2.0151112E7)</f>
        <v>20151112</v>
      </c>
      <c r="C2186" s="2" t="str">
        <f>IFERROR(__xludf.DUMMYFUNCTION("""COMPUTED_VALUE"""),"JWN")</f>
        <v>JWN</v>
      </c>
      <c r="D2186" s="2" t="str">
        <f>LEFT(B2186,4)</f>
        <v>2015</v>
      </c>
      <c r="E2186" s="2" t="str">
        <f>MID(B2186,5,2)</f>
        <v>11</v>
      </c>
      <c r="F2186" s="2" t="str">
        <f>RIGHT(B2186,2)</f>
        <v>12</v>
      </c>
      <c r="G2186" s="29">
        <f>DATE(D2186,E2186,F2186)</f>
        <v>42320</v>
      </c>
    </row>
    <row r="2187" hidden="1">
      <c r="A2187" s="1" t="s">
        <v>642</v>
      </c>
    </row>
    <row r="2188" hidden="1">
      <c r="A2188" s="1" t="s">
        <v>643</v>
      </c>
    </row>
    <row r="2189">
      <c r="A2189" s="1" t="s">
        <v>1767</v>
      </c>
      <c r="B2189" s="2">
        <f>IFERROR(__xludf.DUMMYFUNCTION("SPLIT(A2189,""_"")"),2.0151117E7)</f>
        <v>20151117</v>
      </c>
      <c r="C2189" s="2" t="str">
        <f>IFERROR(__xludf.DUMMYFUNCTION("""COMPUTED_VALUE"""),"HD")</f>
        <v>HD</v>
      </c>
      <c r="D2189" s="2" t="str">
        <f>LEFT(B2189,4)</f>
        <v>2015</v>
      </c>
      <c r="E2189" s="2" t="str">
        <f>MID(B2189,5,2)</f>
        <v>11</v>
      </c>
      <c r="F2189" s="2" t="str">
        <f>RIGHT(B2189,2)</f>
        <v>17</v>
      </c>
      <c r="G2189" s="29">
        <f>DATE(D2189,E2189,F2189)</f>
        <v>42325</v>
      </c>
    </row>
    <row r="2190" hidden="1">
      <c r="A2190" s="1" t="s">
        <v>642</v>
      </c>
    </row>
    <row r="2191" hidden="1">
      <c r="A2191" s="1" t="s">
        <v>643</v>
      </c>
    </row>
    <row r="2192">
      <c r="A2192" s="1" t="s">
        <v>1768</v>
      </c>
      <c r="B2192" s="2">
        <f>IFERROR(__xludf.DUMMYFUNCTION("SPLIT(A2192,""_"")"),2.0151118E7)</f>
        <v>20151118</v>
      </c>
      <c r="C2192" s="2" t="str">
        <f>IFERROR(__xludf.DUMMYFUNCTION("""COMPUTED_VALUE"""),"LOW")</f>
        <v>LOW</v>
      </c>
      <c r="D2192" s="2" t="str">
        <f>LEFT(B2192,4)</f>
        <v>2015</v>
      </c>
      <c r="E2192" s="2" t="str">
        <f>MID(B2192,5,2)</f>
        <v>11</v>
      </c>
      <c r="F2192" s="2" t="str">
        <f>RIGHT(B2192,2)</f>
        <v>18</v>
      </c>
      <c r="G2192" s="29">
        <f>DATE(D2192,E2192,F2192)</f>
        <v>42326</v>
      </c>
    </row>
    <row r="2193" hidden="1">
      <c r="A2193" s="1" t="s">
        <v>642</v>
      </c>
    </row>
    <row r="2194" hidden="1">
      <c r="A2194" s="1" t="s">
        <v>643</v>
      </c>
    </row>
    <row r="2195">
      <c r="A2195" s="1" t="s">
        <v>1769</v>
      </c>
      <c r="B2195" s="2">
        <f>IFERROR(__xludf.DUMMYFUNCTION("SPLIT(A2195,""_"")"),2.0151119E7)</f>
        <v>20151119</v>
      </c>
      <c r="C2195" s="2" t="str">
        <f>IFERROR(__xludf.DUMMYFUNCTION("""COMPUTED_VALUE"""),"BKE")</f>
        <v>BKE</v>
      </c>
      <c r="D2195" s="2" t="str">
        <f>LEFT(B2195,4)</f>
        <v>2015</v>
      </c>
      <c r="E2195" s="2" t="str">
        <f>MID(B2195,5,2)</f>
        <v>11</v>
      </c>
      <c r="F2195" s="2" t="str">
        <f>RIGHT(B2195,2)</f>
        <v>19</v>
      </c>
      <c r="G2195" s="29">
        <f>DATE(D2195,E2195,F2195)</f>
        <v>42327</v>
      </c>
    </row>
    <row r="2196" hidden="1">
      <c r="A2196" s="1" t="s">
        <v>642</v>
      </c>
    </row>
    <row r="2197" hidden="1">
      <c r="A2197" s="1" t="s">
        <v>643</v>
      </c>
    </row>
    <row r="2198">
      <c r="A2198" s="1" t="s">
        <v>1770</v>
      </c>
      <c r="B2198" s="2">
        <f>IFERROR(__xludf.DUMMYFUNCTION("SPLIT(A2198,""_"")"),2.0151119E7)</f>
        <v>20151119</v>
      </c>
      <c r="C2198" s="2" t="str">
        <f>IFERROR(__xludf.DUMMYFUNCTION("""COMPUTED_VALUE"""),"BRC")</f>
        <v>BRC</v>
      </c>
      <c r="D2198" s="2" t="str">
        <f>LEFT(B2198,4)</f>
        <v>2015</v>
      </c>
      <c r="E2198" s="2" t="str">
        <f>MID(B2198,5,2)</f>
        <v>11</v>
      </c>
      <c r="F2198" s="2" t="str">
        <f>RIGHT(B2198,2)</f>
        <v>19</v>
      </c>
      <c r="G2198" s="29">
        <f>DATE(D2198,E2198,F2198)</f>
        <v>42327</v>
      </c>
    </row>
    <row r="2199" hidden="1">
      <c r="A2199" s="1" t="s">
        <v>642</v>
      </c>
    </row>
    <row r="2200" hidden="1">
      <c r="A2200" s="1" t="s">
        <v>643</v>
      </c>
    </row>
    <row r="2201">
      <c r="A2201" s="1" t="s">
        <v>1771</v>
      </c>
      <c r="B2201" s="2">
        <f>IFERROR(__xludf.DUMMYFUNCTION("SPLIT(A2201,""_"")"),2.0151119E7)</f>
        <v>20151119</v>
      </c>
      <c r="C2201" s="2" t="str">
        <f>IFERROR(__xludf.DUMMYFUNCTION("""COMPUTED_VALUE"""),"ESL")</f>
        <v>ESL</v>
      </c>
      <c r="D2201" s="2" t="str">
        <f>LEFT(B2201,4)</f>
        <v>2015</v>
      </c>
      <c r="E2201" s="2" t="str">
        <f>MID(B2201,5,2)</f>
        <v>11</v>
      </c>
      <c r="F2201" s="2" t="str">
        <f>RIGHT(B2201,2)</f>
        <v>19</v>
      </c>
      <c r="G2201" s="29">
        <f>DATE(D2201,E2201,F2201)</f>
        <v>42327</v>
      </c>
    </row>
    <row r="2202" hidden="1">
      <c r="A2202" s="1" t="s">
        <v>642</v>
      </c>
    </row>
    <row r="2203" hidden="1">
      <c r="A2203" s="1" t="s">
        <v>643</v>
      </c>
    </row>
    <row r="2204">
      <c r="A2204" s="1" t="s">
        <v>1772</v>
      </c>
      <c r="B2204" s="2">
        <f>IFERROR(__xludf.DUMMYFUNCTION("SPLIT(A2204,""_"")"),2.0151119E7)</f>
        <v>20151119</v>
      </c>
      <c r="C2204" s="2" t="str">
        <f>IFERROR(__xludf.DUMMYFUNCTION("""COMPUTED_VALUE"""),"GPS")</f>
        <v>GPS</v>
      </c>
      <c r="D2204" s="2" t="str">
        <f>LEFT(B2204,4)</f>
        <v>2015</v>
      </c>
      <c r="E2204" s="2" t="str">
        <f>MID(B2204,5,2)</f>
        <v>11</v>
      </c>
      <c r="F2204" s="2" t="str">
        <f>RIGHT(B2204,2)</f>
        <v>19</v>
      </c>
      <c r="G2204" s="29">
        <f>DATE(D2204,E2204,F2204)</f>
        <v>42327</v>
      </c>
    </row>
    <row r="2205" hidden="1">
      <c r="A2205" s="1" t="s">
        <v>642</v>
      </c>
    </row>
    <row r="2206" hidden="1">
      <c r="A2206" s="1" t="s">
        <v>643</v>
      </c>
    </row>
    <row r="2207">
      <c r="A2207" s="1" t="s">
        <v>1773</v>
      </c>
      <c r="B2207" s="2">
        <f>IFERROR(__xludf.DUMMYFUNCTION("SPLIT(A2207,""_"")"),2.0151119E7)</f>
        <v>20151119</v>
      </c>
      <c r="C2207" s="2" t="str">
        <f>IFERROR(__xludf.DUMMYFUNCTION("""COMPUTED_VALUE"""),"KIRK")</f>
        <v>KIRK</v>
      </c>
      <c r="D2207" s="2" t="str">
        <f>LEFT(B2207,4)</f>
        <v>2015</v>
      </c>
      <c r="E2207" s="2" t="str">
        <f>MID(B2207,5,2)</f>
        <v>11</v>
      </c>
      <c r="F2207" s="2" t="str">
        <f>RIGHT(B2207,2)</f>
        <v>19</v>
      </c>
      <c r="G2207" s="29">
        <f>DATE(D2207,E2207,F2207)</f>
        <v>42327</v>
      </c>
    </row>
    <row r="2208" hidden="1">
      <c r="A2208" s="1" t="s">
        <v>642</v>
      </c>
    </row>
    <row r="2209" hidden="1">
      <c r="A2209" s="1" t="s">
        <v>643</v>
      </c>
    </row>
    <row r="2210">
      <c r="A2210" s="1" t="s">
        <v>1774</v>
      </c>
      <c r="B2210" s="2">
        <f>IFERROR(__xludf.DUMMYFUNCTION("SPLIT(A2210,""_"")"),2.0151119E7)</f>
        <v>20151119</v>
      </c>
      <c r="C2210" s="2" t="str">
        <f>IFERROR(__xludf.DUMMYFUNCTION("""COMPUTED_VALUE"""),"WSM")</f>
        <v>WSM</v>
      </c>
      <c r="D2210" s="2" t="str">
        <f>LEFT(B2210,4)</f>
        <v>2015</v>
      </c>
      <c r="E2210" s="2" t="str">
        <f>MID(B2210,5,2)</f>
        <v>11</v>
      </c>
      <c r="F2210" s="2" t="str">
        <f>RIGHT(B2210,2)</f>
        <v>19</v>
      </c>
      <c r="G2210" s="29">
        <f>DATE(D2210,E2210,F2210)</f>
        <v>42327</v>
      </c>
    </row>
    <row r="2211" hidden="1">
      <c r="A2211" s="1" t="s">
        <v>642</v>
      </c>
    </row>
    <row r="2212" hidden="1">
      <c r="A2212" s="1" t="s">
        <v>643</v>
      </c>
    </row>
    <row r="2213">
      <c r="A2213" s="1" t="s">
        <v>1775</v>
      </c>
      <c r="B2213" s="2">
        <f>IFERROR(__xludf.DUMMYFUNCTION("SPLIT(A2213,""_"")"),2.015112E7)</f>
        <v>20151120</v>
      </c>
      <c r="C2213" s="2" t="str">
        <f>IFERROR(__xludf.DUMMYFUNCTION("""COMPUTED_VALUE"""),"ANF")</f>
        <v>ANF</v>
      </c>
      <c r="D2213" s="2" t="str">
        <f>LEFT(B2213,4)</f>
        <v>2015</v>
      </c>
      <c r="E2213" s="2" t="str">
        <f>MID(B2213,5,2)</f>
        <v>11</v>
      </c>
      <c r="F2213" s="2" t="str">
        <f>RIGHT(B2213,2)</f>
        <v>20</v>
      </c>
      <c r="G2213" s="29">
        <f>DATE(D2213,E2213,F2213)</f>
        <v>42328</v>
      </c>
    </row>
    <row r="2214" hidden="1">
      <c r="A2214" s="1" t="s">
        <v>642</v>
      </c>
    </row>
    <row r="2215" hidden="1">
      <c r="A2215" s="1" t="s">
        <v>643</v>
      </c>
    </row>
    <row r="2216">
      <c r="A2216" s="1" t="s">
        <v>1776</v>
      </c>
      <c r="B2216" s="2">
        <f>IFERROR(__xludf.DUMMYFUNCTION("SPLIT(A2216,""_"")"),2.015112E7)</f>
        <v>20151120</v>
      </c>
      <c r="C2216" s="2" t="str">
        <f>IFERROR(__xludf.DUMMYFUNCTION("""COMPUTED_VALUE"""),"FL")</f>
        <v>FL</v>
      </c>
      <c r="D2216" s="2" t="str">
        <f>LEFT(B2216,4)</f>
        <v>2015</v>
      </c>
      <c r="E2216" s="2" t="str">
        <f>MID(B2216,5,2)</f>
        <v>11</v>
      </c>
      <c r="F2216" s="2" t="str">
        <f>RIGHT(B2216,2)</f>
        <v>20</v>
      </c>
      <c r="G2216" s="29">
        <f>DATE(D2216,E2216,F2216)</f>
        <v>42328</v>
      </c>
    </row>
    <row r="2217" hidden="1">
      <c r="A2217" s="1" t="s">
        <v>642</v>
      </c>
    </row>
    <row r="2218" hidden="1">
      <c r="A2218" s="1" t="s">
        <v>643</v>
      </c>
    </row>
    <row r="2219">
      <c r="A2219" s="1" t="s">
        <v>1777</v>
      </c>
      <c r="B2219" s="2">
        <f>IFERROR(__xludf.DUMMYFUNCTION("SPLIT(A2219,""_"")"),2.015112E7)</f>
        <v>20151120</v>
      </c>
      <c r="C2219" s="2" t="str">
        <f>IFERROR(__xludf.DUMMYFUNCTION("""COMPUTED_VALUE"""),"HIBB")</f>
        <v>HIBB</v>
      </c>
      <c r="D2219" s="2" t="str">
        <f>LEFT(B2219,4)</f>
        <v>2015</v>
      </c>
      <c r="E2219" s="2" t="str">
        <f>MID(B2219,5,2)</f>
        <v>11</v>
      </c>
      <c r="F2219" s="2" t="str">
        <f>RIGHT(B2219,2)</f>
        <v>20</v>
      </c>
      <c r="G2219" s="29">
        <f>DATE(D2219,E2219,F2219)</f>
        <v>42328</v>
      </c>
    </row>
    <row r="2220" hidden="1">
      <c r="A2220" s="1" t="s">
        <v>642</v>
      </c>
    </row>
    <row r="2221" hidden="1">
      <c r="A2221" s="1" t="s">
        <v>643</v>
      </c>
    </row>
    <row r="2222">
      <c r="A2222" s="1" t="s">
        <v>1778</v>
      </c>
      <c r="B2222" s="2">
        <f>IFERROR(__xludf.DUMMYFUNCTION("SPLIT(A2222,""_"")"),2.0151123E7)</f>
        <v>20151123</v>
      </c>
      <c r="C2222" s="2" t="str">
        <f>IFERROR(__xludf.DUMMYFUNCTION("""COMPUTED_VALUE"""),"GME")</f>
        <v>GME</v>
      </c>
      <c r="D2222" s="2" t="str">
        <f>LEFT(B2222,4)</f>
        <v>2015</v>
      </c>
      <c r="E2222" s="2" t="str">
        <f>MID(B2222,5,2)</f>
        <v>11</v>
      </c>
      <c r="F2222" s="2" t="str">
        <f>RIGHT(B2222,2)</f>
        <v>23</v>
      </c>
      <c r="G2222" s="29">
        <f>DATE(D2222,E2222,F2222)</f>
        <v>42331</v>
      </c>
    </row>
    <row r="2223" hidden="1">
      <c r="A2223" s="1" t="s">
        <v>642</v>
      </c>
    </row>
    <row r="2224" hidden="1">
      <c r="A2224" s="1" t="s">
        <v>643</v>
      </c>
    </row>
    <row r="2225">
      <c r="A2225" s="1" t="s">
        <v>1779</v>
      </c>
      <c r="B2225" s="2">
        <f>IFERROR(__xludf.DUMMYFUNCTION("SPLIT(A2225,""_"")"),2.0151123E7)</f>
        <v>20151123</v>
      </c>
      <c r="C2225" s="2" t="str">
        <f>IFERROR(__xludf.DUMMYFUNCTION("""COMPUTED_VALUE"""),"TSN")</f>
        <v>TSN</v>
      </c>
      <c r="D2225" s="2" t="str">
        <f>LEFT(B2225,4)</f>
        <v>2015</v>
      </c>
      <c r="E2225" s="2" t="str">
        <f>MID(B2225,5,2)</f>
        <v>11</v>
      </c>
      <c r="F2225" s="2" t="str">
        <f>RIGHT(B2225,2)</f>
        <v>23</v>
      </c>
      <c r="G2225" s="29">
        <f>DATE(D2225,E2225,F2225)</f>
        <v>42331</v>
      </c>
    </row>
    <row r="2226" hidden="1">
      <c r="A2226" s="1" t="s">
        <v>642</v>
      </c>
    </row>
    <row r="2227" hidden="1">
      <c r="A2227" s="1" t="s">
        <v>643</v>
      </c>
    </row>
    <row r="2228">
      <c r="A2228" s="1" t="s">
        <v>1780</v>
      </c>
      <c r="B2228" s="2">
        <f>IFERROR(__xludf.DUMMYFUNCTION("SPLIT(A2228,""_"")"),2.0151124E7)</f>
        <v>20151124</v>
      </c>
      <c r="C2228" s="2" t="str">
        <f>IFERROR(__xludf.DUMMYFUNCTION("""COMPUTED_VALUE"""),"CPB")</f>
        <v>CPB</v>
      </c>
      <c r="D2228" s="2" t="str">
        <f>LEFT(B2228,4)</f>
        <v>2015</v>
      </c>
      <c r="E2228" s="2" t="str">
        <f>MID(B2228,5,2)</f>
        <v>11</v>
      </c>
      <c r="F2228" s="2" t="str">
        <f>RIGHT(B2228,2)</f>
        <v>24</v>
      </c>
      <c r="G2228" s="29">
        <f>DATE(D2228,E2228,F2228)</f>
        <v>42332</v>
      </c>
    </row>
    <row r="2229" hidden="1">
      <c r="A2229" s="1" t="s">
        <v>642</v>
      </c>
    </row>
    <row r="2230" hidden="1">
      <c r="A2230" s="1" t="s">
        <v>643</v>
      </c>
    </row>
    <row r="2231">
      <c r="A2231" s="1" t="s">
        <v>1781</v>
      </c>
      <c r="B2231" s="2">
        <f>IFERROR(__xludf.DUMMYFUNCTION("SPLIT(A2231,""_"")"),2.0151124E7)</f>
        <v>20151124</v>
      </c>
      <c r="C2231" s="2" t="str">
        <f>IFERROR(__xludf.DUMMYFUNCTION("""COMPUTED_VALUE"""),"DLTR")</f>
        <v>DLTR</v>
      </c>
      <c r="D2231" s="2" t="str">
        <f>LEFT(B2231,4)</f>
        <v>2015</v>
      </c>
      <c r="E2231" s="2" t="str">
        <f>MID(B2231,5,2)</f>
        <v>11</v>
      </c>
      <c r="F2231" s="2" t="str">
        <f>RIGHT(B2231,2)</f>
        <v>24</v>
      </c>
      <c r="G2231" s="29">
        <f>DATE(D2231,E2231,F2231)</f>
        <v>42332</v>
      </c>
    </row>
    <row r="2232" hidden="1">
      <c r="A2232" s="1" t="s">
        <v>642</v>
      </c>
    </row>
    <row r="2233" hidden="1">
      <c r="A2233" s="1" t="s">
        <v>643</v>
      </c>
    </row>
    <row r="2234">
      <c r="A2234" s="1" t="s">
        <v>1782</v>
      </c>
      <c r="B2234" s="2">
        <f>IFERROR(__xludf.DUMMYFUNCTION("SPLIT(A2234,""_"")"),2.0151124E7)</f>
        <v>20151124</v>
      </c>
      <c r="C2234" s="2" t="str">
        <f>IFERROR(__xludf.DUMMYFUNCTION("""COMPUTED_VALUE"""),"DSW")</f>
        <v>DSW</v>
      </c>
      <c r="D2234" s="2" t="str">
        <f>LEFT(B2234,4)</f>
        <v>2015</v>
      </c>
      <c r="E2234" s="2" t="str">
        <f>MID(B2234,5,2)</f>
        <v>11</v>
      </c>
      <c r="F2234" s="2" t="str">
        <f>RIGHT(B2234,2)</f>
        <v>24</v>
      </c>
      <c r="G2234" s="29">
        <f>DATE(D2234,E2234,F2234)</f>
        <v>42332</v>
      </c>
    </row>
    <row r="2235" hidden="1">
      <c r="A2235" s="1" t="s">
        <v>642</v>
      </c>
    </row>
    <row r="2236" hidden="1">
      <c r="A2236" s="1" t="s">
        <v>643</v>
      </c>
    </row>
    <row r="2237">
      <c r="A2237" s="1" t="s">
        <v>1783</v>
      </c>
      <c r="B2237" s="2">
        <f>IFERROR(__xludf.DUMMYFUNCTION("SPLIT(A2237,""_"")"),2.0151124E7)</f>
        <v>20151124</v>
      </c>
      <c r="C2237" s="2" t="str">
        <f>IFERROR(__xludf.DUMMYFUNCTION("""COMPUTED_VALUE"""),"MOV")</f>
        <v>MOV</v>
      </c>
      <c r="D2237" s="2" t="str">
        <f>LEFT(B2237,4)</f>
        <v>2015</v>
      </c>
      <c r="E2237" s="2" t="str">
        <f>MID(B2237,5,2)</f>
        <v>11</v>
      </c>
      <c r="F2237" s="2" t="str">
        <f>RIGHT(B2237,2)</f>
        <v>24</v>
      </c>
      <c r="G2237" s="29">
        <f>DATE(D2237,E2237,F2237)</f>
        <v>42332</v>
      </c>
    </row>
    <row r="2238" hidden="1">
      <c r="A2238" s="1" t="s">
        <v>642</v>
      </c>
    </row>
    <row r="2239" hidden="1">
      <c r="A2239" s="1" t="s">
        <v>643</v>
      </c>
    </row>
    <row r="2240">
      <c r="A2240" s="1" t="s">
        <v>1784</v>
      </c>
      <c r="B2240" s="2">
        <f>IFERROR(__xludf.DUMMYFUNCTION("SPLIT(A2240,""_"")"),2.0151124E7)</f>
        <v>20151124</v>
      </c>
      <c r="C2240" s="2" t="str">
        <f>IFERROR(__xludf.DUMMYFUNCTION("""COMPUTED_VALUE"""),"TECD")</f>
        <v>TECD</v>
      </c>
      <c r="D2240" s="2" t="str">
        <f>LEFT(B2240,4)</f>
        <v>2015</v>
      </c>
      <c r="E2240" s="2" t="str">
        <f>MID(B2240,5,2)</f>
        <v>11</v>
      </c>
      <c r="F2240" s="2" t="str">
        <f>RIGHT(B2240,2)</f>
        <v>24</v>
      </c>
      <c r="G2240" s="29">
        <f>DATE(D2240,E2240,F2240)</f>
        <v>42332</v>
      </c>
    </row>
    <row r="2241" hidden="1">
      <c r="A2241" s="1" t="s">
        <v>642</v>
      </c>
    </row>
    <row r="2242" hidden="1">
      <c r="A2242" s="1" t="s">
        <v>643</v>
      </c>
    </row>
    <row r="2243">
      <c r="A2243" s="1" t="s">
        <v>1785</v>
      </c>
      <c r="B2243" s="2">
        <f>IFERROR(__xludf.DUMMYFUNCTION("SPLIT(A2243,""_"")"),2.0151124E7)</f>
        <v>20151124</v>
      </c>
      <c r="C2243" s="2" t="str">
        <f>IFERROR(__xludf.DUMMYFUNCTION("""COMPUTED_VALUE"""),"TIF")</f>
        <v>TIF</v>
      </c>
      <c r="D2243" s="2" t="str">
        <f>LEFT(B2243,4)</f>
        <v>2015</v>
      </c>
      <c r="E2243" s="2" t="str">
        <f>MID(B2243,5,2)</f>
        <v>11</v>
      </c>
      <c r="F2243" s="2" t="str">
        <f>RIGHT(B2243,2)</f>
        <v>24</v>
      </c>
      <c r="G2243" s="29">
        <f>DATE(D2243,E2243,F2243)</f>
        <v>42332</v>
      </c>
    </row>
    <row r="2244" hidden="1">
      <c r="A2244" s="1" t="s">
        <v>642</v>
      </c>
    </row>
    <row r="2245" hidden="1">
      <c r="A2245" s="1" t="s">
        <v>643</v>
      </c>
    </row>
    <row r="2246">
      <c r="A2246" s="1" t="s">
        <v>1786</v>
      </c>
      <c r="B2246" s="2">
        <f>IFERROR(__xludf.DUMMYFUNCTION("SPLIT(A2246,""_"")"),2.0151125E7)</f>
        <v>20151125</v>
      </c>
      <c r="C2246" s="2" t="str">
        <f>IFERROR(__xludf.DUMMYFUNCTION("""COMPUTED_VALUE"""),"DCI")</f>
        <v>DCI</v>
      </c>
      <c r="D2246" s="2" t="str">
        <f>LEFT(B2246,4)</f>
        <v>2015</v>
      </c>
      <c r="E2246" s="2" t="str">
        <f>MID(B2246,5,2)</f>
        <v>11</v>
      </c>
      <c r="F2246" s="2" t="str">
        <f>RIGHT(B2246,2)</f>
        <v>25</v>
      </c>
      <c r="G2246" s="29">
        <f>DATE(D2246,E2246,F2246)</f>
        <v>42333</v>
      </c>
    </row>
    <row r="2247" hidden="1">
      <c r="A2247" s="1" t="s">
        <v>642</v>
      </c>
    </row>
    <row r="2248" hidden="1">
      <c r="A2248" s="1" t="s">
        <v>643</v>
      </c>
    </row>
    <row r="2249">
      <c r="A2249" s="1" t="s">
        <v>1787</v>
      </c>
      <c r="B2249" s="2">
        <f>IFERROR(__xludf.DUMMYFUNCTION("SPLIT(A2249,""_"")"),2.0151125E7)</f>
        <v>20151125</v>
      </c>
      <c r="C2249" s="2" t="str">
        <f>IFERROR(__xludf.DUMMYFUNCTION("""COMPUTED_VALUE"""),"DE")</f>
        <v>DE</v>
      </c>
      <c r="D2249" s="2" t="str">
        <f>LEFT(B2249,4)</f>
        <v>2015</v>
      </c>
      <c r="E2249" s="2" t="str">
        <f>MID(B2249,5,2)</f>
        <v>11</v>
      </c>
      <c r="F2249" s="2" t="str">
        <f>RIGHT(B2249,2)</f>
        <v>25</v>
      </c>
      <c r="G2249" s="29">
        <f>DATE(D2249,E2249,F2249)</f>
        <v>42333</v>
      </c>
    </row>
    <row r="2250" hidden="1">
      <c r="A2250" s="1" t="s">
        <v>642</v>
      </c>
    </row>
    <row r="2251" hidden="1">
      <c r="A2251" s="1" t="s">
        <v>643</v>
      </c>
    </row>
    <row r="2252">
      <c r="A2252" s="1" t="s">
        <v>1788</v>
      </c>
      <c r="B2252" s="2">
        <f>IFERROR(__xludf.DUMMYFUNCTION("SPLIT(A2252,""_"")"),2.0151203E7)</f>
        <v>20151203</v>
      </c>
      <c r="C2252" s="2" t="str">
        <f>IFERROR(__xludf.DUMMYFUNCTION("""COMPUTED_VALUE"""),"EXPR")</f>
        <v>EXPR</v>
      </c>
      <c r="D2252" s="2" t="str">
        <f>LEFT(B2252,4)</f>
        <v>2015</v>
      </c>
      <c r="E2252" s="2" t="str">
        <f>MID(B2252,5,2)</f>
        <v>12</v>
      </c>
      <c r="F2252" s="2" t="str">
        <f>RIGHT(B2252,2)</f>
        <v>03</v>
      </c>
      <c r="G2252" s="29">
        <f>DATE(D2252,E2252,F2252)</f>
        <v>42341</v>
      </c>
    </row>
    <row r="2253" hidden="1">
      <c r="A2253" s="1" t="s">
        <v>642</v>
      </c>
    </row>
    <row r="2254" hidden="1">
      <c r="A2254" s="1" t="s">
        <v>643</v>
      </c>
    </row>
    <row r="2255">
      <c r="A2255" s="1" t="s">
        <v>1789</v>
      </c>
      <c r="B2255" s="2">
        <f>IFERROR(__xludf.DUMMYFUNCTION("SPLIT(A2255,""_"")"),2.0151203E7)</f>
        <v>20151203</v>
      </c>
      <c r="C2255" s="2" t="str">
        <f>IFERROR(__xludf.DUMMYFUNCTION("""COMPUTED_VALUE"""),"MDT")</f>
        <v>MDT</v>
      </c>
      <c r="D2255" s="2" t="str">
        <f>LEFT(B2255,4)</f>
        <v>2015</v>
      </c>
      <c r="E2255" s="2" t="str">
        <f>MID(B2255,5,2)</f>
        <v>12</v>
      </c>
      <c r="F2255" s="2" t="str">
        <f>RIGHT(B2255,2)</f>
        <v>03</v>
      </c>
      <c r="G2255" s="29">
        <f>DATE(D2255,E2255,F2255)</f>
        <v>42341</v>
      </c>
    </row>
    <row r="2256" hidden="1">
      <c r="A2256" s="1" t="s">
        <v>642</v>
      </c>
    </row>
    <row r="2257" hidden="1">
      <c r="A2257" s="1" t="s">
        <v>643</v>
      </c>
    </row>
    <row r="2258">
      <c r="A2258" s="1" t="s">
        <v>1790</v>
      </c>
      <c r="B2258" s="2">
        <f>IFERROR(__xludf.DUMMYFUNCTION("SPLIT(A2258,""_"")"),2.0151208E7)</f>
        <v>20151208</v>
      </c>
      <c r="C2258" s="2" t="str">
        <f>IFERROR(__xludf.DUMMYFUNCTION("""COMPUTED_VALUE"""),"ALOG")</f>
        <v>ALOG</v>
      </c>
      <c r="D2258" s="2" t="str">
        <f>LEFT(B2258,4)</f>
        <v>2015</v>
      </c>
      <c r="E2258" s="2" t="str">
        <f>MID(B2258,5,2)</f>
        <v>12</v>
      </c>
      <c r="F2258" s="2" t="str">
        <f>RIGHT(B2258,2)</f>
        <v>08</v>
      </c>
      <c r="G2258" s="29">
        <f>DATE(D2258,E2258,F2258)</f>
        <v>42346</v>
      </c>
    </row>
    <row r="2259" hidden="1">
      <c r="A2259" s="1" t="s">
        <v>642</v>
      </c>
    </row>
    <row r="2260" hidden="1">
      <c r="A2260" s="1" t="s">
        <v>643</v>
      </c>
    </row>
    <row r="2261">
      <c r="A2261" s="1" t="s">
        <v>1791</v>
      </c>
      <c r="B2261" s="2">
        <f>IFERROR(__xludf.DUMMYFUNCTION("SPLIT(A2261,""_"")"),2.0151208E7)</f>
        <v>20151208</v>
      </c>
      <c r="C2261" s="2" t="str">
        <f>IFERROR(__xludf.DUMMYFUNCTION("""COMPUTED_VALUE"""),"AZO")</f>
        <v>AZO</v>
      </c>
      <c r="D2261" s="2" t="str">
        <f>LEFT(B2261,4)</f>
        <v>2015</v>
      </c>
      <c r="E2261" s="2" t="str">
        <f>MID(B2261,5,2)</f>
        <v>12</v>
      </c>
      <c r="F2261" s="2" t="str">
        <f>RIGHT(B2261,2)</f>
        <v>08</v>
      </c>
      <c r="G2261" s="29">
        <f>DATE(D2261,E2261,F2261)</f>
        <v>42346</v>
      </c>
    </row>
    <row r="2262" hidden="1">
      <c r="A2262" s="1" t="s">
        <v>642</v>
      </c>
    </row>
    <row r="2263" hidden="1">
      <c r="A2263" s="1" t="s">
        <v>643</v>
      </c>
    </row>
    <row r="2264">
      <c r="A2264" s="1" t="s">
        <v>1792</v>
      </c>
      <c r="B2264" s="2">
        <f>IFERROR(__xludf.DUMMYFUNCTION("SPLIT(A2264,""_"")"),2.0151208E7)</f>
        <v>20151208</v>
      </c>
      <c r="C2264" s="2" t="str">
        <f>IFERROR(__xludf.DUMMYFUNCTION("""COMPUTED_VALUE"""),"TOL")</f>
        <v>TOL</v>
      </c>
      <c r="D2264" s="2" t="str">
        <f>LEFT(B2264,4)</f>
        <v>2015</v>
      </c>
      <c r="E2264" s="2" t="str">
        <f>MID(B2264,5,2)</f>
        <v>12</v>
      </c>
      <c r="F2264" s="2" t="str">
        <f>RIGHT(B2264,2)</f>
        <v>08</v>
      </c>
      <c r="G2264" s="29">
        <f>DATE(D2264,E2264,F2264)</f>
        <v>42346</v>
      </c>
    </row>
    <row r="2265" hidden="1">
      <c r="A2265" s="1" t="s">
        <v>642</v>
      </c>
    </row>
    <row r="2266" hidden="1">
      <c r="A2266" s="1" t="s">
        <v>643</v>
      </c>
    </row>
    <row r="2267">
      <c r="A2267" s="1" t="s">
        <v>1793</v>
      </c>
      <c r="B2267" s="2">
        <f>IFERROR(__xludf.DUMMYFUNCTION("SPLIT(A2267,""_"")"),2.0151209E7)</f>
        <v>20151209</v>
      </c>
      <c r="C2267" s="2" t="str">
        <f>IFERROR(__xludf.DUMMYFUNCTION("""COMPUTED_VALUE"""),"FRAN")</f>
        <v>FRAN</v>
      </c>
      <c r="D2267" s="2" t="str">
        <f>LEFT(B2267,4)</f>
        <v>2015</v>
      </c>
      <c r="E2267" s="2" t="str">
        <f>MID(B2267,5,2)</f>
        <v>12</v>
      </c>
      <c r="F2267" s="2" t="str">
        <f>RIGHT(B2267,2)</f>
        <v>09</v>
      </c>
      <c r="G2267" s="29">
        <f>DATE(D2267,E2267,F2267)</f>
        <v>42347</v>
      </c>
    </row>
    <row r="2268" hidden="1">
      <c r="A2268" s="1" t="s">
        <v>642</v>
      </c>
    </row>
    <row r="2269" hidden="1">
      <c r="A2269" s="1" t="s">
        <v>643</v>
      </c>
    </row>
    <row r="2270">
      <c r="A2270" s="1" t="s">
        <v>1794</v>
      </c>
      <c r="B2270" s="2">
        <f>IFERROR(__xludf.DUMMYFUNCTION("SPLIT(A2270,""_"")"),2.0151209E7)</f>
        <v>20151209</v>
      </c>
      <c r="C2270" s="2" t="str">
        <f>IFERROR(__xludf.DUMMYFUNCTION("""COMPUTED_VALUE"""),"VRA")</f>
        <v>VRA</v>
      </c>
      <c r="D2270" s="2" t="str">
        <f>LEFT(B2270,4)</f>
        <v>2015</v>
      </c>
      <c r="E2270" s="2" t="str">
        <f>MID(B2270,5,2)</f>
        <v>12</v>
      </c>
      <c r="F2270" s="2" t="str">
        <f>RIGHT(B2270,2)</f>
        <v>09</v>
      </c>
      <c r="G2270" s="29">
        <f>DATE(D2270,E2270,F2270)</f>
        <v>42347</v>
      </c>
    </row>
    <row r="2271" hidden="1">
      <c r="A2271" s="1" t="s">
        <v>642</v>
      </c>
    </row>
    <row r="2272" hidden="1">
      <c r="A2272" s="1" t="s">
        <v>643</v>
      </c>
    </row>
    <row r="2273">
      <c r="A2273" s="1" t="s">
        <v>1795</v>
      </c>
      <c r="B2273" s="2">
        <f>IFERROR(__xludf.DUMMYFUNCTION("SPLIT(A2273,""_"")"),2.015121E7)</f>
        <v>20151210</v>
      </c>
      <c r="C2273" s="2" t="str">
        <f>IFERROR(__xludf.DUMMYFUNCTION("""COMPUTED_VALUE"""),"ADBE")</f>
        <v>ADBE</v>
      </c>
      <c r="D2273" s="2" t="str">
        <f>LEFT(B2273,4)</f>
        <v>2015</v>
      </c>
      <c r="E2273" s="2" t="str">
        <f>MID(B2273,5,2)</f>
        <v>12</v>
      </c>
      <c r="F2273" s="2" t="str">
        <f>RIGHT(B2273,2)</f>
        <v>10</v>
      </c>
      <c r="G2273" s="29">
        <f>DATE(D2273,E2273,F2273)</f>
        <v>42348</v>
      </c>
    </row>
    <row r="2274" hidden="1">
      <c r="A2274" s="1" t="s">
        <v>642</v>
      </c>
    </row>
    <row r="2275" hidden="1">
      <c r="A2275" s="1" t="s">
        <v>643</v>
      </c>
    </row>
    <row r="2276">
      <c r="A2276" s="1" t="s">
        <v>1796</v>
      </c>
      <c r="B2276" s="2">
        <f>IFERROR(__xludf.DUMMYFUNCTION("SPLIT(A2276,""_"")"),2.0151214E7)</f>
        <v>20151214</v>
      </c>
      <c r="C2276" s="2" t="str">
        <f>IFERROR(__xludf.DUMMYFUNCTION("""COMPUTED_VALUE"""),"NX")</f>
        <v>NX</v>
      </c>
      <c r="D2276" s="2" t="str">
        <f>LEFT(B2276,4)</f>
        <v>2015</v>
      </c>
      <c r="E2276" s="2" t="str">
        <f>MID(B2276,5,2)</f>
        <v>12</v>
      </c>
      <c r="F2276" s="2" t="str">
        <f>RIGHT(B2276,2)</f>
        <v>14</v>
      </c>
      <c r="G2276" s="29">
        <f>DATE(D2276,E2276,F2276)</f>
        <v>42352</v>
      </c>
    </row>
    <row r="2277" hidden="1">
      <c r="A2277" s="1" t="s">
        <v>642</v>
      </c>
    </row>
    <row r="2278" hidden="1">
      <c r="A2278" s="1" t="s">
        <v>643</v>
      </c>
    </row>
    <row r="2279">
      <c r="A2279" s="1" t="s">
        <v>1797</v>
      </c>
      <c r="B2279" s="2">
        <f>IFERROR(__xludf.DUMMYFUNCTION("SPLIT(A2279,""_"")"),2.0151216E7)</f>
        <v>20151216</v>
      </c>
      <c r="C2279" s="2" t="str">
        <f>IFERROR(__xludf.DUMMYFUNCTION("""COMPUTED_VALUE"""),"JBL")</f>
        <v>JBL</v>
      </c>
      <c r="D2279" s="2" t="str">
        <f>LEFT(B2279,4)</f>
        <v>2015</v>
      </c>
      <c r="E2279" s="2" t="str">
        <f>MID(B2279,5,2)</f>
        <v>12</v>
      </c>
      <c r="F2279" s="2" t="str">
        <f>RIGHT(B2279,2)</f>
        <v>16</v>
      </c>
      <c r="G2279" s="29">
        <f>DATE(D2279,E2279,F2279)</f>
        <v>42354</v>
      </c>
    </row>
    <row r="2280" hidden="1">
      <c r="A2280" s="1" t="s">
        <v>642</v>
      </c>
    </row>
    <row r="2281" hidden="1">
      <c r="A2281" s="1" t="s">
        <v>643</v>
      </c>
    </row>
    <row r="2282">
      <c r="A2282" s="1" t="s">
        <v>1798</v>
      </c>
      <c r="B2282" s="2">
        <f>IFERROR(__xludf.DUMMYFUNCTION("SPLIT(A2282,""_"")"),2.0151216E7)</f>
        <v>20151216</v>
      </c>
      <c r="C2282" s="2" t="str">
        <f>IFERROR(__xludf.DUMMYFUNCTION("""COMPUTED_VALUE"""),"ORCL")</f>
        <v>ORCL</v>
      </c>
      <c r="D2282" s="2" t="str">
        <f>LEFT(B2282,4)</f>
        <v>2015</v>
      </c>
      <c r="E2282" s="2" t="str">
        <f>MID(B2282,5,2)</f>
        <v>12</v>
      </c>
      <c r="F2282" s="2" t="str">
        <f>RIGHT(B2282,2)</f>
        <v>16</v>
      </c>
      <c r="G2282" s="29">
        <f>DATE(D2282,E2282,F2282)</f>
        <v>42354</v>
      </c>
    </row>
    <row r="2283" hidden="1">
      <c r="A2283" s="1" t="s">
        <v>642</v>
      </c>
    </row>
    <row r="2284" hidden="1">
      <c r="A2284" s="1" t="s">
        <v>643</v>
      </c>
    </row>
    <row r="2285">
      <c r="A2285" s="1" t="s">
        <v>1799</v>
      </c>
      <c r="B2285" s="2">
        <f>IFERROR(__xludf.DUMMYFUNCTION("SPLIT(A2285,""_"")"),2.0151217E7)</f>
        <v>20151217</v>
      </c>
      <c r="C2285" s="2" t="str">
        <f>IFERROR(__xludf.DUMMYFUNCTION("""COMPUTED_VALUE"""),"ACN")</f>
        <v>ACN</v>
      </c>
      <c r="D2285" s="2" t="str">
        <f>LEFT(B2285,4)</f>
        <v>2015</v>
      </c>
      <c r="E2285" s="2" t="str">
        <f>MID(B2285,5,2)</f>
        <v>12</v>
      </c>
      <c r="F2285" s="2" t="str">
        <f>RIGHT(B2285,2)</f>
        <v>17</v>
      </c>
      <c r="G2285" s="29">
        <f>DATE(D2285,E2285,F2285)</f>
        <v>42355</v>
      </c>
    </row>
    <row r="2286" hidden="1">
      <c r="A2286" s="1" t="s">
        <v>642</v>
      </c>
    </row>
    <row r="2287" hidden="1">
      <c r="A2287" s="1" t="s">
        <v>643</v>
      </c>
    </row>
    <row r="2288">
      <c r="A2288" s="1" t="s">
        <v>1800</v>
      </c>
      <c r="B2288" s="2">
        <f>IFERROR(__xludf.DUMMYFUNCTION("SPLIT(A2288,""_"")"),2.0151217E7)</f>
        <v>20151217</v>
      </c>
      <c r="C2288" s="2" t="str">
        <f>IFERROR(__xludf.DUMMYFUNCTION("""COMPUTED_VALUE"""),"APOG")</f>
        <v>APOG</v>
      </c>
      <c r="D2288" s="2" t="str">
        <f>LEFT(B2288,4)</f>
        <v>2015</v>
      </c>
      <c r="E2288" s="2" t="str">
        <f>MID(B2288,5,2)</f>
        <v>12</v>
      </c>
      <c r="F2288" s="2" t="str">
        <f>RIGHT(B2288,2)</f>
        <v>17</v>
      </c>
      <c r="G2288" s="29">
        <f>DATE(D2288,E2288,F2288)</f>
        <v>42355</v>
      </c>
    </row>
    <row r="2289" hidden="1">
      <c r="A2289" s="1" t="s">
        <v>642</v>
      </c>
    </row>
    <row r="2290" hidden="1">
      <c r="A2290" s="1" t="s">
        <v>643</v>
      </c>
    </row>
    <row r="2291">
      <c r="A2291" s="1" t="s">
        <v>1801</v>
      </c>
      <c r="B2291" s="2">
        <f>IFERROR(__xludf.DUMMYFUNCTION("SPLIT(A2291,""_"")"),2.0151217E7)</f>
        <v>20151217</v>
      </c>
      <c r="C2291" s="2" t="str">
        <f>IFERROR(__xludf.DUMMYFUNCTION("""COMPUTED_VALUE"""),"GIS")</f>
        <v>GIS</v>
      </c>
      <c r="D2291" s="2" t="str">
        <f>LEFT(B2291,4)</f>
        <v>2015</v>
      </c>
      <c r="E2291" s="2" t="str">
        <f>MID(B2291,5,2)</f>
        <v>12</v>
      </c>
      <c r="F2291" s="2" t="str">
        <f>RIGHT(B2291,2)</f>
        <v>17</v>
      </c>
      <c r="G2291" s="29">
        <f>DATE(D2291,E2291,F2291)</f>
        <v>42355</v>
      </c>
    </row>
    <row r="2292" hidden="1">
      <c r="A2292" s="1" t="s">
        <v>642</v>
      </c>
    </row>
    <row r="2293" hidden="1">
      <c r="A2293" s="1" t="s">
        <v>643</v>
      </c>
    </row>
    <row r="2294">
      <c r="A2294" s="1" t="s">
        <v>1802</v>
      </c>
      <c r="B2294" s="2">
        <f>IFERROR(__xludf.DUMMYFUNCTION("SPLIT(A2294,""_"")"),2.0160105E7)</f>
        <v>20160105</v>
      </c>
      <c r="C2294" s="2" t="str">
        <f>IFERROR(__xludf.DUMMYFUNCTION("""COMPUTED_VALUE"""),"CMC")</f>
        <v>CMC</v>
      </c>
      <c r="D2294" s="2" t="str">
        <f>LEFT(B2294,4)</f>
        <v>2016</v>
      </c>
      <c r="E2294" s="2" t="str">
        <f>MID(B2294,5,2)</f>
        <v>01</v>
      </c>
      <c r="F2294" s="2" t="str">
        <f>RIGHT(B2294,2)</f>
        <v>05</v>
      </c>
      <c r="G2294" s="29">
        <f>DATE(D2294,E2294,F2294)</f>
        <v>42374</v>
      </c>
    </row>
    <row r="2295" hidden="1">
      <c r="A2295" s="1" t="s">
        <v>642</v>
      </c>
    </row>
    <row r="2296" hidden="1">
      <c r="A2296" s="1" t="s">
        <v>643</v>
      </c>
    </row>
    <row r="2297">
      <c r="A2297" s="1" t="s">
        <v>1803</v>
      </c>
      <c r="B2297" s="2">
        <f>IFERROR(__xludf.DUMMYFUNCTION("SPLIT(A2297,""_"")"),2.0160105E7)</f>
        <v>20160105</v>
      </c>
      <c r="C2297" s="2" t="str">
        <f>IFERROR(__xludf.DUMMYFUNCTION("""COMPUTED_VALUE"""),"SONC")</f>
        <v>SONC</v>
      </c>
      <c r="D2297" s="2" t="str">
        <f>LEFT(B2297,4)</f>
        <v>2016</v>
      </c>
      <c r="E2297" s="2" t="str">
        <f>MID(B2297,5,2)</f>
        <v>01</v>
      </c>
      <c r="F2297" s="2" t="str">
        <f>RIGHT(B2297,2)</f>
        <v>05</v>
      </c>
      <c r="G2297" s="29">
        <f>DATE(D2297,E2297,F2297)</f>
        <v>42374</v>
      </c>
    </row>
    <row r="2298" hidden="1">
      <c r="A2298" s="1" t="s">
        <v>642</v>
      </c>
    </row>
    <row r="2299" hidden="1">
      <c r="A2299" s="1" t="s">
        <v>643</v>
      </c>
    </row>
    <row r="2300">
      <c r="A2300" s="1" t="s">
        <v>1804</v>
      </c>
      <c r="B2300" s="2">
        <f>IFERROR(__xludf.DUMMYFUNCTION("SPLIT(A2300,""_"")"),2.0160106E7)</f>
        <v>20160106</v>
      </c>
      <c r="C2300" s="2" t="str">
        <f>IFERROR(__xludf.DUMMYFUNCTION("""COMPUTED_VALUE"""),"MSM")</f>
        <v>MSM</v>
      </c>
      <c r="D2300" s="2" t="str">
        <f>LEFT(B2300,4)</f>
        <v>2016</v>
      </c>
      <c r="E2300" s="2" t="str">
        <f>MID(B2300,5,2)</f>
        <v>01</v>
      </c>
      <c r="F2300" s="2" t="str">
        <f>RIGHT(B2300,2)</f>
        <v>06</v>
      </c>
      <c r="G2300" s="29">
        <f>DATE(D2300,E2300,F2300)</f>
        <v>42375</v>
      </c>
    </row>
    <row r="2301" hidden="1">
      <c r="A2301" s="1" t="s">
        <v>642</v>
      </c>
    </row>
    <row r="2302" hidden="1">
      <c r="A2302" s="1" t="s">
        <v>643</v>
      </c>
    </row>
    <row r="2303">
      <c r="A2303" s="1" t="s">
        <v>1805</v>
      </c>
      <c r="B2303" s="2">
        <f>IFERROR(__xludf.DUMMYFUNCTION("SPLIT(A2303,""_"")"),2.0160106E7)</f>
        <v>20160106</v>
      </c>
      <c r="C2303" s="2" t="str">
        <f>IFERROR(__xludf.DUMMYFUNCTION("""COMPUTED_VALUE"""),"RECN")</f>
        <v>RECN</v>
      </c>
      <c r="D2303" s="2" t="str">
        <f>LEFT(B2303,4)</f>
        <v>2016</v>
      </c>
      <c r="E2303" s="2" t="str">
        <f>MID(B2303,5,2)</f>
        <v>01</v>
      </c>
      <c r="F2303" s="2" t="str">
        <f>RIGHT(B2303,2)</f>
        <v>06</v>
      </c>
      <c r="G2303" s="29">
        <f>DATE(D2303,E2303,F2303)</f>
        <v>42375</v>
      </c>
    </row>
    <row r="2304" hidden="1">
      <c r="A2304" s="1" t="s">
        <v>642</v>
      </c>
    </row>
    <row r="2305" hidden="1">
      <c r="A2305" s="1" t="s">
        <v>643</v>
      </c>
    </row>
    <row r="2306">
      <c r="A2306" s="1" t="s">
        <v>1806</v>
      </c>
      <c r="B2306" s="2">
        <f>IFERROR(__xludf.DUMMYFUNCTION("SPLIT(A2306,""_"")"),2.0160107E7)</f>
        <v>20160107</v>
      </c>
      <c r="C2306" s="2" t="str">
        <f>IFERROR(__xludf.DUMMYFUNCTION("""COMPUTED_VALUE"""),"BBBY")</f>
        <v>BBBY</v>
      </c>
      <c r="D2306" s="2" t="str">
        <f>LEFT(B2306,4)</f>
        <v>2016</v>
      </c>
      <c r="E2306" s="2" t="str">
        <f>MID(B2306,5,2)</f>
        <v>01</v>
      </c>
      <c r="F2306" s="2" t="str">
        <f>RIGHT(B2306,2)</f>
        <v>07</v>
      </c>
      <c r="G2306" s="29">
        <f>DATE(D2306,E2306,F2306)</f>
        <v>42376</v>
      </c>
    </row>
    <row r="2307" hidden="1">
      <c r="A2307" s="1" t="s">
        <v>642</v>
      </c>
    </row>
    <row r="2308" hidden="1">
      <c r="A2308" s="1" t="s">
        <v>643</v>
      </c>
    </row>
    <row r="2309">
      <c r="A2309" s="1" t="s">
        <v>1807</v>
      </c>
      <c r="B2309" s="2">
        <f>IFERROR(__xludf.DUMMYFUNCTION("SPLIT(A2309,""_"")"),2.0160107E7)</f>
        <v>20160107</v>
      </c>
      <c r="C2309" s="2" t="str">
        <f>IFERROR(__xludf.DUMMYFUNCTION("""COMPUTED_VALUE"""),"FINL")</f>
        <v>FINL</v>
      </c>
      <c r="D2309" s="2" t="str">
        <f>LEFT(B2309,4)</f>
        <v>2016</v>
      </c>
      <c r="E2309" s="2" t="str">
        <f>MID(B2309,5,2)</f>
        <v>01</v>
      </c>
      <c r="F2309" s="2" t="str">
        <f>RIGHT(B2309,2)</f>
        <v>07</v>
      </c>
      <c r="G2309" s="29">
        <f>DATE(D2309,E2309,F2309)</f>
        <v>42376</v>
      </c>
    </row>
    <row r="2310" hidden="1">
      <c r="A2310" s="1" t="s">
        <v>642</v>
      </c>
    </row>
    <row r="2311" hidden="1">
      <c r="A2311" s="1" t="s">
        <v>643</v>
      </c>
    </row>
    <row r="2312">
      <c r="A2312" s="1" t="s">
        <v>1808</v>
      </c>
      <c r="B2312" s="2">
        <f>IFERROR(__xludf.DUMMYFUNCTION("SPLIT(A2312,""_"")"),2.0160107E7)</f>
        <v>20160107</v>
      </c>
      <c r="C2312" s="2" t="str">
        <f>IFERROR(__xludf.DUMMYFUNCTION("""COMPUTED_VALUE"""),"PKE")</f>
        <v>PKE</v>
      </c>
      <c r="D2312" s="2" t="str">
        <f>LEFT(B2312,4)</f>
        <v>2016</v>
      </c>
      <c r="E2312" s="2" t="str">
        <f>MID(B2312,5,2)</f>
        <v>01</v>
      </c>
      <c r="F2312" s="2" t="str">
        <f>RIGHT(B2312,2)</f>
        <v>07</v>
      </c>
      <c r="G2312" s="29">
        <f>DATE(D2312,E2312,F2312)</f>
        <v>42376</v>
      </c>
    </row>
    <row r="2313" hidden="1">
      <c r="A2313" s="1" t="s">
        <v>642</v>
      </c>
    </row>
    <row r="2314" hidden="1">
      <c r="A2314" s="1" t="s">
        <v>643</v>
      </c>
    </row>
    <row r="2315">
      <c r="A2315" s="1" t="s">
        <v>1809</v>
      </c>
      <c r="B2315" s="2">
        <f>IFERROR(__xludf.DUMMYFUNCTION("SPLIT(A2315,""_"")"),2.0160107E7)</f>
        <v>20160107</v>
      </c>
      <c r="C2315" s="2" t="str">
        <f>IFERROR(__xludf.DUMMYFUNCTION("""COMPUTED_VALUE"""),"SNX")</f>
        <v>SNX</v>
      </c>
      <c r="D2315" s="2" t="str">
        <f>LEFT(B2315,4)</f>
        <v>2016</v>
      </c>
      <c r="E2315" s="2" t="str">
        <f>MID(B2315,5,2)</f>
        <v>01</v>
      </c>
      <c r="F2315" s="2" t="str">
        <f>RIGHT(B2315,2)</f>
        <v>07</v>
      </c>
      <c r="G2315" s="29">
        <f>DATE(D2315,E2315,F2315)</f>
        <v>42376</v>
      </c>
    </row>
    <row r="2316" hidden="1">
      <c r="A2316" s="1" t="s">
        <v>642</v>
      </c>
    </row>
    <row r="2317" hidden="1">
      <c r="A2317" s="1" t="s">
        <v>643</v>
      </c>
    </row>
    <row r="2318">
      <c r="A2318" s="1" t="s">
        <v>1810</v>
      </c>
      <c r="B2318" s="2">
        <f>IFERROR(__xludf.DUMMYFUNCTION("SPLIT(A2318,""_"")"),2.0160114E7)</f>
        <v>20160114</v>
      </c>
      <c r="C2318" s="2" t="str">
        <f>IFERROR(__xludf.DUMMYFUNCTION("""COMPUTED_VALUE"""),"INTC")</f>
        <v>INTC</v>
      </c>
      <c r="D2318" s="2" t="str">
        <f>LEFT(B2318,4)</f>
        <v>2016</v>
      </c>
      <c r="E2318" s="2" t="str">
        <f>MID(B2318,5,2)</f>
        <v>01</v>
      </c>
      <c r="F2318" s="2" t="str">
        <f>RIGHT(B2318,2)</f>
        <v>14</v>
      </c>
      <c r="G2318" s="29">
        <f>DATE(D2318,E2318,F2318)</f>
        <v>42383</v>
      </c>
    </row>
    <row r="2319" hidden="1">
      <c r="A2319" s="1" t="s">
        <v>642</v>
      </c>
    </row>
    <row r="2320" hidden="1">
      <c r="A2320" s="1" t="s">
        <v>643</v>
      </c>
    </row>
    <row r="2321">
      <c r="A2321" s="1" t="s">
        <v>1811</v>
      </c>
      <c r="B2321" s="2">
        <f>IFERROR(__xludf.DUMMYFUNCTION("SPLIT(A2321,""_"")"),2.0160115E7)</f>
        <v>20160115</v>
      </c>
      <c r="C2321" s="2" t="str">
        <f>IFERROR(__xludf.DUMMYFUNCTION("""COMPUTED_VALUE"""),"PNC")</f>
        <v>PNC</v>
      </c>
      <c r="D2321" s="2" t="str">
        <f>LEFT(B2321,4)</f>
        <v>2016</v>
      </c>
      <c r="E2321" s="2" t="str">
        <f>MID(B2321,5,2)</f>
        <v>01</v>
      </c>
      <c r="F2321" s="2" t="str">
        <f>RIGHT(B2321,2)</f>
        <v>15</v>
      </c>
      <c r="G2321" s="29">
        <f>DATE(D2321,E2321,F2321)</f>
        <v>42384</v>
      </c>
    </row>
    <row r="2322" hidden="1">
      <c r="A2322" s="1" t="s">
        <v>642</v>
      </c>
    </row>
    <row r="2323" hidden="1">
      <c r="A2323" s="1" t="s">
        <v>643</v>
      </c>
    </row>
    <row r="2324">
      <c r="A2324" s="1" t="s">
        <v>1812</v>
      </c>
      <c r="B2324" s="2">
        <f>IFERROR(__xludf.DUMMYFUNCTION("SPLIT(A2324,""_"")"),2.0160115E7)</f>
        <v>20160115</v>
      </c>
      <c r="C2324" s="2" t="str">
        <f>IFERROR(__xludf.DUMMYFUNCTION("""COMPUTED_VALUE"""),"RF")</f>
        <v>RF</v>
      </c>
      <c r="D2324" s="2" t="str">
        <f>LEFT(B2324,4)</f>
        <v>2016</v>
      </c>
      <c r="E2324" s="2" t="str">
        <f>MID(B2324,5,2)</f>
        <v>01</v>
      </c>
      <c r="F2324" s="2" t="str">
        <f>RIGHT(B2324,2)</f>
        <v>15</v>
      </c>
      <c r="G2324" s="29">
        <f>DATE(D2324,E2324,F2324)</f>
        <v>42384</v>
      </c>
    </row>
    <row r="2325" hidden="1">
      <c r="A2325" s="1" t="s">
        <v>642</v>
      </c>
    </row>
    <row r="2326" hidden="1">
      <c r="A2326" s="1" t="s">
        <v>643</v>
      </c>
    </row>
    <row r="2327">
      <c r="A2327" s="1" t="s">
        <v>1813</v>
      </c>
      <c r="B2327" s="2">
        <f>IFERROR(__xludf.DUMMYFUNCTION("SPLIT(A2327,""_"")"),2.0160115E7)</f>
        <v>20160115</v>
      </c>
      <c r="C2327" s="2" t="str">
        <f>IFERROR(__xludf.DUMMYFUNCTION("""COMPUTED_VALUE"""),"WFC")</f>
        <v>WFC</v>
      </c>
      <c r="D2327" s="2" t="str">
        <f>LEFT(B2327,4)</f>
        <v>2016</v>
      </c>
      <c r="E2327" s="2" t="str">
        <f>MID(B2327,5,2)</f>
        <v>01</v>
      </c>
      <c r="F2327" s="2" t="str">
        <f>RIGHT(B2327,2)</f>
        <v>15</v>
      </c>
      <c r="G2327" s="29">
        <f>DATE(D2327,E2327,F2327)</f>
        <v>42384</v>
      </c>
    </row>
    <row r="2328" hidden="1">
      <c r="A2328" s="1" t="s">
        <v>642</v>
      </c>
    </row>
    <row r="2329" hidden="1">
      <c r="A2329" s="1" t="s">
        <v>643</v>
      </c>
    </row>
    <row r="2330">
      <c r="A2330" s="1" t="s">
        <v>1814</v>
      </c>
      <c r="B2330" s="2">
        <f>IFERROR(__xludf.DUMMYFUNCTION("SPLIT(A2330,""_"")"),2.0160119E7)</f>
        <v>20160119</v>
      </c>
      <c r="C2330" s="2" t="str">
        <f>IFERROR(__xludf.DUMMYFUNCTION("""COMPUTED_VALUE"""),"FHN")</f>
        <v>FHN</v>
      </c>
      <c r="D2330" s="2" t="str">
        <f>LEFT(B2330,4)</f>
        <v>2016</v>
      </c>
      <c r="E2330" s="2" t="str">
        <f>MID(B2330,5,2)</f>
        <v>01</v>
      </c>
      <c r="F2330" s="2" t="str">
        <f>RIGHT(B2330,2)</f>
        <v>19</v>
      </c>
      <c r="G2330" s="29">
        <f>DATE(D2330,E2330,F2330)</f>
        <v>42388</v>
      </c>
    </row>
    <row r="2331" hidden="1">
      <c r="A2331" s="1" t="s">
        <v>642</v>
      </c>
    </row>
    <row r="2332" hidden="1">
      <c r="A2332" s="1" t="s">
        <v>643</v>
      </c>
    </row>
    <row r="2333">
      <c r="A2333" s="1" t="s">
        <v>1815</v>
      </c>
      <c r="B2333" s="2">
        <f>IFERROR(__xludf.DUMMYFUNCTION("SPLIT(A2333,""_"")"),2.0160119E7)</f>
        <v>20160119</v>
      </c>
      <c r="C2333" s="2" t="str">
        <f>IFERROR(__xludf.DUMMYFUNCTION("""COMPUTED_VALUE"""),"MS")</f>
        <v>MS</v>
      </c>
      <c r="D2333" s="2" t="str">
        <f>LEFT(B2333,4)</f>
        <v>2016</v>
      </c>
      <c r="E2333" s="2" t="str">
        <f>MID(B2333,5,2)</f>
        <v>01</v>
      </c>
      <c r="F2333" s="2" t="str">
        <f>RIGHT(B2333,2)</f>
        <v>19</v>
      </c>
      <c r="G2333" s="29">
        <f>DATE(D2333,E2333,F2333)</f>
        <v>42388</v>
      </c>
    </row>
    <row r="2334" hidden="1">
      <c r="A2334" s="1" t="s">
        <v>642</v>
      </c>
    </row>
    <row r="2335" hidden="1">
      <c r="A2335" s="1" t="s">
        <v>643</v>
      </c>
    </row>
    <row r="2336">
      <c r="A2336" s="1" t="s">
        <v>1816</v>
      </c>
      <c r="B2336" s="2">
        <f>IFERROR(__xludf.DUMMYFUNCTION("SPLIT(A2336,""_"")"),2.0160119E7)</f>
        <v>20160119</v>
      </c>
      <c r="C2336" s="2" t="str">
        <f>IFERROR(__xludf.DUMMYFUNCTION("""COMPUTED_VALUE"""),"WWD")</f>
        <v>WWD</v>
      </c>
      <c r="D2336" s="2" t="str">
        <f>LEFT(B2336,4)</f>
        <v>2016</v>
      </c>
      <c r="E2336" s="2" t="str">
        <f>MID(B2336,5,2)</f>
        <v>01</v>
      </c>
      <c r="F2336" s="2" t="str">
        <f>RIGHT(B2336,2)</f>
        <v>19</v>
      </c>
      <c r="G2336" s="29">
        <f>DATE(D2336,E2336,F2336)</f>
        <v>42388</v>
      </c>
    </row>
    <row r="2337" hidden="1">
      <c r="A2337" s="1" t="s">
        <v>642</v>
      </c>
    </row>
    <row r="2338" hidden="1">
      <c r="A2338" s="1" t="s">
        <v>643</v>
      </c>
    </row>
    <row r="2339">
      <c r="A2339" s="1" t="s">
        <v>1817</v>
      </c>
      <c r="B2339" s="2">
        <f>IFERROR(__xludf.DUMMYFUNCTION("SPLIT(A2339,""_"")"),2.016012E7)</f>
        <v>20160120</v>
      </c>
      <c r="C2339" s="2" t="str">
        <f>IFERROR(__xludf.DUMMYFUNCTION("""COMPUTED_VALUE"""),"CATY")</f>
        <v>CATY</v>
      </c>
      <c r="D2339" s="2" t="str">
        <f>LEFT(B2339,4)</f>
        <v>2016</v>
      </c>
      <c r="E2339" s="2" t="str">
        <f>MID(B2339,5,2)</f>
        <v>01</v>
      </c>
      <c r="F2339" s="2" t="str">
        <f>RIGHT(B2339,2)</f>
        <v>20</v>
      </c>
      <c r="G2339" s="29">
        <f>DATE(D2339,E2339,F2339)</f>
        <v>42389</v>
      </c>
    </row>
    <row r="2340" hidden="1">
      <c r="A2340" s="1" t="s">
        <v>642</v>
      </c>
    </row>
    <row r="2341" hidden="1">
      <c r="A2341" s="1" t="s">
        <v>643</v>
      </c>
    </row>
    <row r="2342">
      <c r="A2342" s="1" t="s">
        <v>1818</v>
      </c>
      <c r="B2342" s="2">
        <f>IFERROR(__xludf.DUMMYFUNCTION("SPLIT(A2342,""_"")"),2.016012E7)</f>
        <v>20160120</v>
      </c>
      <c r="C2342" s="2" t="str">
        <f>IFERROR(__xludf.DUMMYFUNCTION("""COMPUTED_VALUE"""),"EAT")</f>
        <v>EAT</v>
      </c>
      <c r="D2342" s="2" t="str">
        <f>LEFT(B2342,4)</f>
        <v>2016</v>
      </c>
      <c r="E2342" s="2" t="str">
        <f>MID(B2342,5,2)</f>
        <v>01</v>
      </c>
      <c r="F2342" s="2" t="str">
        <f>RIGHT(B2342,2)</f>
        <v>20</v>
      </c>
      <c r="G2342" s="29">
        <f>DATE(D2342,E2342,F2342)</f>
        <v>42389</v>
      </c>
    </row>
    <row r="2343" hidden="1">
      <c r="A2343" s="1" t="s">
        <v>642</v>
      </c>
    </row>
    <row r="2344" hidden="1">
      <c r="A2344" s="1" t="s">
        <v>643</v>
      </c>
    </row>
    <row r="2345">
      <c r="A2345" s="1" t="s">
        <v>1819</v>
      </c>
      <c r="B2345" s="2">
        <f>IFERROR(__xludf.DUMMYFUNCTION("SPLIT(A2345,""_"")"),2.016012E7)</f>
        <v>20160120</v>
      </c>
      <c r="C2345" s="2" t="str">
        <f>IFERROR(__xludf.DUMMYFUNCTION("""COMPUTED_VALUE"""),"KMI")</f>
        <v>KMI</v>
      </c>
      <c r="D2345" s="2" t="str">
        <f>LEFT(B2345,4)</f>
        <v>2016</v>
      </c>
      <c r="E2345" s="2" t="str">
        <f>MID(B2345,5,2)</f>
        <v>01</v>
      </c>
      <c r="F2345" s="2" t="str">
        <f>RIGHT(B2345,2)</f>
        <v>20</v>
      </c>
      <c r="G2345" s="29">
        <f>DATE(D2345,E2345,F2345)</f>
        <v>42389</v>
      </c>
    </row>
    <row r="2346" hidden="1">
      <c r="A2346" s="1" t="s">
        <v>642</v>
      </c>
    </row>
    <row r="2347" hidden="1">
      <c r="A2347" s="1" t="s">
        <v>643</v>
      </c>
    </row>
    <row r="2348">
      <c r="A2348" s="1" t="s">
        <v>1820</v>
      </c>
      <c r="B2348" s="2">
        <f>IFERROR(__xludf.DUMMYFUNCTION("SPLIT(A2348,""_"")"),2.016012E7)</f>
        <v>20160120</v>
      </c>
      <c r="C2348" s="2" t="str">
        <f>IFERROR(__xludf.DUMMYFUNCTION("""COMPUTED_VALUE"""),"TEL")</f>
        <v>TEL</v>
      </c>
      <c r="D2348" s="2" t="str">
        <f>LEFT(B2348,4)</f>
        <v>2016</v>
      </c>
      <c r="E2348" s="2" t="str">
        <f>MID(B2348,5,2)</f>
        <v>01</v>
      </c>
      <c r="F2348" s="2" t="str">
        <f>RIGHT(B2348,2)</f>
        <v>20</v>
      </c>
      <c r="G2348" s="29">
        <f>DATE(D2348,E2348,F2348)</f>
        <v>42389</v>
      </c>
    </row>
    <row r="2349" hidden="1">
      <c r="A2349" s="1" t="s">
        <v>642</v>
      </c>
    </row>
    <row r="2350" hidden="1">
      <c r="A2350" s="1" t="s">
        <v>643</v>
      </c>
    </row>
    <row r="2351">
      <c r="A2351" s="1" t="s">
        <v>1821</v>
      </c>
      <c r="B2351" s="2">
        <f>IFERROR(__xludf.DUMMYFUNCTION("SPLIT(A2351,""_"")"),2.0160121E7)</f>
        <v>20160121</v>
      </c>
      <c r="C2351" s="2" t="str">
        <f>IFERROR(__xludf.DUMMYFUNCTION("""COMPUTED_VALUE"""),"AXP")</f>
        <v>AXP</v>
      </c>
      <c r="D2351" s="2" t="str">
        <f>LEFT(B2351,4)</f>
        <v>2016</v>
      </c>
      <c r="E2351" s="2" t="str">
        <f>MID(B2351,5,2)</f>
        <v>01</v>
      </c>
      <c r="F2351" s="2" t="str">
        <f>RIGHT(B2351,2)</f>
        <v>21</v>
      </c>
      <c r="G2351" s="29">
        <f>DATE(D2351,E2351,F2351)</f>
        <v>42390</v>
      </c>
    </row>
    <row r="2352" hidden="1">
      <c r="A2352" s="1" t="s">
        <v>642</v>
      </c>
    </row>
    <row r="2353" hidden="1">
      <c r="A2353" s="1" t="s">
        <v>643</v>
      </c>
    </row>
    <row r="2354">
      <c r="A2354" s="1" t="s">
        <v>1822</v>
      </c>
      <c r="B2354" s="2">
        <f>IFERROR(__xludf.DUMMYFUNCTION("SPLIT(A2354,""_"")"),2.0160121E7)</f>
        <v>20160121</v>
      </c>
      <c r="C2354" s="2" t="str">
        <f>IFERROR(__xludf.DUMMYFUNCTION("""COMPUTED_VALUE"""),"EGHT")</f>
        <v>EGHT</v>
      </c>
      <c r="D2354" s="2" t="str">
        <f>LEFT(B2354,4)</f>
        <v>2016</v>
      </c>
      <c r="E2354" s="2" t="str">
        <f>MID(B2354,5,2)</f>
        <v>01</v>
      </c>
      <c r="F2354" s="2" t="str">
        <f>RIGHT(B2354,2)</f>
        <v>21</v>
      </c>
      <c r="G2354" s="29">
        <f>DATE(D2354,E2354,F2354)</f>
        <v>42390</v>
      </c>
    </row>
    <row r="2355" hidden="1">
      <c r="A2355" s="1" t="s">
        <v>642</v>
      </c>
    </row>
    <row r="2356" hidden="1">
      <c r="A2356" s="1" t="s">
        <v>643</v>
      </c>
    </row>
    <row r="2357">
      <c r="A2357" s="1" t="s">
        <v>1823</v>
      </c>
      <c r="B2357" s="2">
        <f>IFERROR(__xludf.DUMMYFUNCTION("SPLIT(A2357,""_"")"),2.0160121E7)</f>
        <v>20160121</v>
      </c>
      <c r="C2357" s="2" t="str">
        <f>IFERROR(__xludf.DUMMYFUNCTION("""COMPUTED_VALUE"""),"ETFC")</f>
        <v>ETFC</v>
      </c>
      <c r="D2357" s="2" t="str">
        <f>LEFT(B2357,4)</f>
        <v>2016</v>
      </c>
      <c r="E2357" s="2" t="str">
        <f>MID(B2357,5,2)</f>
        <v>01</v>
      </c>
      <c r="F2357" s="2" t="str">
        <f>RIGHT(B2357,2)</f>
        <v>21</v>
      </c>
      <c r="G2357" s="29">
        <f>DATE(D2357,E2357,F2357)</f>
        <v>42390</v>
      </c>
    </row>
    <row r="2358" hidden="1">
      <c r="A2358" s="1" t="s">
        <v>642</v>
      </c>
    </row>
    <row r="2359" hidden="1">
      <c r="A2359" s="1" t="s">
        <v>643</v>
      </c>
    </row>
    <row r="2360">
      <c r="A2360" s="1" t="s">
        <v>1824</v>
      </c>
      <c r="B2360" s="2">
        <f>IFERROR(__xludf.DUMMYFUNCTION("SPLIT(A2360,""_"")"),2.0160121E7)</f>
        <v>20160121</v>
      </c>
      <c r="C2360" s="2" t="str">
        <f>IFERROR(__xludf.DUMMYFUNCTION("""COMPUTED_VALUE"""),"HBAN")</f>
        <v>HBAN</v>
      </c>
      <c r="D2360" s="2" t="str">
        <f>LEFT(B2360,4)</f>
        <v>2016</v>
      </c>
      <c r="E2360" s="2" t="str">
        <f>MID(B2360,5,2)</f>
        <v>01</v>
      </c>
      <c r="F2360" s="2" t="str">
        <f>RIGHT(B2360,2)</f>
        <v>21</v>
      </c>
      <c r="G2360" s="29">
        <f>DATE(D2360,E2360,F2360)</f>
        <v>42390</v>
      </c>
    </row>
    <row r="2361" hidden="1">
      <c r="A2361" s="1" t="s">
        <v>642</v>
      </c>
    </row>
    <row r="2362" hidden="1">
      <c r="A2362" s="1" t="s">
        <v>643</v>
      </c>
    </row>
    <row r="2363">
      <c r="A2363" s="1" t="s">
        <v>1825</v>
      </c>
      <c r="B2363" s="2">
        <f>IFERROR(__xludf.DUMMYFUNCTION("SPLIT(A2363,""_"")"),2.0160121E7)</f>
        <v>20160121</v>
      </c>
      <c r="C2363" s="2" t="str">
        <f>IFERROR(__xludf.DUMMYFUNCTION("""COMPUTED_VALUE"""),"IIIN")</f>
        <v>IIIN</v>
      </c>
      <c r="D2363" s="2" t="str">
        <f>LEFT(B2363,4)</f>
        <v>2016</v>
      </c>
      <c r="E2363" s="2" t="str">
        <f>MID(B2363,5,2)</f>
        <v>01</v>
      </c>
      <c r="F2363" s="2" t="str">
        <f>RIGHT(B2363,2)</f>
        <v>21</v>
      </c>
      <c r="G2363" s="29">
        <f>DATE(D2363,E2363,F2363)</f>
        <v>42390</v>
      </c>
    </row>
    <row r="2364" hidden="1">
      <c r="A2364" s="1" t="s">
        <v>642</v>
      </c>
    </row>
    <row r="2365" hidden="1">
      <c r="A2365" s="1" t="s">
        <v>643</v>
      </c>
    </row>
    <row r="2366">
      <c r="A2366" s="1" t="s">
        <v>1826</v>
      </c>
      <c r="B2366" s="2">
        <f>IFERROR(__xludf.DUMMYFUNCTION("SPLIT(A2366,""_"")"),2.0160121E7)</f>
        <v>20160121</v>
      </c>
      <c r="C2366" s="2" t="str">
        <f>IFERROR(__xludf.DUMMYFUNCTION("""COMPUTED_VALUE"""),"ISRG")</f>
        <v>ISRG</v>
      </c>
      <c r="D2366" s="2" t="str">
        <f>LEFT(B2366,4)</f>
        <v>2016</v>
      </c>
      <c r="E2366" s="2" t="str">
        <f>MID(B2366,5,2)</f>
        <v>01</v>
      </c>
      <c r="F2366" s="2" t="str">
        <f>RIGHT(B2366,2)</f>
        <v>21</v>
      </c>
      <c r="G2366" s="29">
        <f>DATE(D2366,E2366,F2366)</f>
        <v>42390</v>
      </c>
    </row>
    <row r="2367" hidden="1">
      <c r="A2367" s="1" t="s">
        <v>642</v>
      </c>
    </row>
    <row r="2368" hidden="1">
      <c r="A2368" s="1" t="s">
        <v>643</v>
      </c>
    </row>
    <row r="2369">
      <c r="A2369" s="1" t="s">
        <v>1827</v>
      </c>
      <c r="B2369" s="2">
        <f>IFERROR(__xludf.DUMMYFUNCTION("SPLIT(A2369,""_"")"),2.0160121E7)</f>
        <v>20160121</v>
      </c>
      <c r="C2369" s="2" t="str">
        <f>IFERROR(__xludf.DUMMYFUNCTION("""COMPUTED_VALUE"""),"SIVB")</f>
        <v>SIVB</v>
      </c>
      <c r="D2369" s="2" t="str">
        <f>LEFT(B2369,4)</f>
        <v>2016</v>
      </c>
      <c r="E2369" s="2" t="str">
        <f>MID(B2369,5,2)</f>
        <v>01</v>
      </c>
      <c r="F2369" s="2" t="str">
        <f>RIGHT(B2369,2)</f>
        <v>21</v>
      </c>
      <c r="G2369" s="29">
        <f>DATE(D2369,E2369,F2369)</f>
        <v>42390</v>
      </c>
    </row>
    <row r="2370" hidden="1">
      <c r="A2370" s="1" t="s">
        <v>642</v>
      </c>
    </row>
    <row r="2371" hidden="1">
      <c r="A2371" s="1" t="s">
        <v>643</v>
      </c>
    </row>
    <row r="2372">
      <c r="A2372" s="1" t="s">
        <v>1828</v>
      </c>
      <c r="B2372" s="2">
        <f>IFERROR(__xludf.DUMMYFUNCTION("SPLIT(A2372,""_"")"),2.0160121E7)</f>
        <v>20160121</v>
      </c>
      <c r="C2372" s="2" t="str">
        <f>IFERROR(__xludf.DUMMYFUNCTION("""COMPUTED_VALUE"""),"SLM")</f>
        <v>SLM</v>
      </c>
      <c r="D2372" s="2" t="str">
        <f>LEFT(B2372,4)</f>
        <v>2016</v>
      </c>
      <c r="E2372" s="2" t="str">
        <f>MID(B2372,5,2)</f>
        <v>01</v>
      </c>
      <c r="F2372" s="2" t="str">
        <f>RIGHT(B2372,2)</f>
        <v>21</v>
      </c>
      <c r="G2372" s="29">
        <f>DATE(D2372,E2372,F2372)</f>
        <v>42390</v>
      </c>
    </row>
    <row r="2373" hidden="1">
      <c r="A2373" s="1" t="s">
        <v>642</v>
      </c>
    </row>
    <row r="2374" hidden="1">
      <c r="A2374" s="1" t="s">
        <v>643</v>
      </c>
    </row>
    <row r="2375">
      <c r="A2375" s="1" t="s">
        <v>1829</v>
      </c>
      <c r="B2375" s="2">
        <f>IFERROR(__xludf.DUMMYFUNCTION("SPLIT(A2375,""_"")"),2.0160121E7)</f>
        <v>20160121</v>
      </c>
      <c r="C2375" s="2" t="str">
        <f>IFERROR(__xludf.DUMMYFUNCTION("""COMPUTED_VALUE"""),"VZ")</f>
        <v>VZ</v>
      </c>
      <c r="D2375" s="2" t="str">
        <f>LEFT(B2375,4)</f>
        <v>2016</v>
      </c>
      <c r="E2375" s="2" t="str">
        <f>MID(B2375,5,2)</f>
        <v>01</v>
      </c>
      <c r="F2375" s="2" t="str">
        <f>RIGHT(B2375,2)</f>
        <v>21</v>
      </c>
      <c r="G2375" s="29">
        <f>DATE(D2375,E2375,F2375)</f>
        <v>42390</v>
      </c>
    </row>
    <row r="2376" hidden="1">
      <c r="A2376" s="1" t="s">
        <v>642</v>
      </c>
    </row>
    <row r="2377" hidden="1">
      <c r="A2377" s="1" t="s">
        <v>643</v>
      </c>
    </row>
    <row r="2378">
      <c r="A2378" s="1" t="s">
        <v>1830</v>
      </c>
      <c r="B2378" s="2">
        <f>IFERROR(__xludf.DUMMYFUNCTION("SPLIT(A2378,""_"")"),2.0160121E7)</f>
        <v>20160121</v>
      </c>
      <c r="C2378" s="2" t="str">
        <f>IFERROR(__xludf.DUMMYFUNCTION("""COMPUTED_VALUE"""),"WBS")</f>
        <v>WBS</v>
      </c>
      <c r="D2378" s="2" t="str">
        <f>LEFT(B2378,4)</f>
        <v>2016</v>
      </c>
      <c r="E2378" s="2" t="str">
        <f>MID(B2378,5,2)</f>
        <v>01</v>
      </c>
      <c r="F2378" s="2" t="str">
        <f>RIGHT(B2378,2)</f>
        <v>21</v>
      </c>
      <c r="G2378" s="29">
        <f>DATE(D2378,E2378,F2378)</f>
        <v>42390</v>
      </c>
    </row>
    <row r="2379" hidden="1">
      <c r="A2379" s="1" t="s">
        <v>642</v>
      </c>
    </row>
    <row r="2380" hidden="1">
      <c r="A2380" s="1" t="s">
        <v>643</v>
      </c>
    </row>
    <row r="2381">
      <c r="A2381" s="1" t="s">
        <v>1831</v>
      </c>
      <c r="B2381" s="2">
        <f>IFERROR(__xludf.DUMMYFUNCTION("SPLIT(A2381,""_"")"),2.0160122E7)</f>
        <v>20160122</v>
      </c>
      <c r="C2381" s="2" t="str">
        <f>IFERROR(__xludf.DUMMYFUNCTION("""COMPUTED_VALUE"""),"ABCB")</f>
        <v>ABCB</v>
      </c>
      <c r="D2381" s="2" t="str">
        <f>LEFT(B2381,4)</f>
        <v>2016</v>
      </c>
      <c r="E2381" s="2" t="str">
        <f>MID(B2381,5,2)</f>
        <v>01</v>
      </c>
      <c r="F2381" s="2" t="str">
        <f>RIGHT(B2381,2)</f>
        <v>22</v>
      </c>
      <c r="G2381" s="29">
        <f>DATE(D2381,E2381,F2381)</f>
        <v>42391</v>
      </c>
    </row>
    <row r="2382" hidden="1">
      <c r="A2382" s="1" t="s">
        <v>642</v>
      </c>
    </row>
    <row r="2383" hidden="1">
      <c r="A2383" s="1" t="s">
        <v>643</v>
      </c>
    </row>
    <row r="2384">
      <c r="A2384" s="1" t="s">
        <v>1832</v>
      </c>
      <c r="B2384" s="2">
        <f>IFERROR(__xludf.DUMMYFUNCTION("SPLIT(A2384,""_"")"),2.0160122E7)</f>
        <v>20160122</v>
      </c>
      <c r="C2384" s="2" t="str">
        <f>IFERROR(__xludf.DUMMYFUNCTION("""COMPUTED_VALUE"""),"BID")</f>
        <v>BID</v>
      </c>
      <c r="D2384" s="2" t="str">
        <f>LEFT(B2384,4)</f>
        <v>2016</v>
      </c>
      <c r="E2384" s="2" t="str">
        <f>MID(B2384,5,2)</f>
        <v>01</v>
      </c>
      <c r="F2384" s="2" t="str">
        <f>RIGHT(B2384,2)</f>
        <v>22</v>
      </c>
      <c r="G2384" s="29">
        <f>DATE(D2384,E2384,F2384)</f>
        <v>42391</v>
      </c>
    </row>
    <row r="2385" hidden="1">
      <c r="A2385" s="1" t="s">
        <v>642</v>
      </c>
    </row>
    <row r="2386" hidden="1">
      <c r="A2386" s="1" t="s">
        <v>643</v>
      </c>
    </row>
    <row r="2387">
      <c r="A2387" s="1" t="s">
        <v>1833</v>
      </c>
      <c r="B2387" s="2">
        <f>IFERROR(__xludf.DUMMYFUNCTION("SPLIT(A2387,""_"")"),2.0160122E7)</f>
        <v>20160122</v>
      </c>
      <c r="C2387" s="2" t="str">
        <f>IFERROR(__xludf.DUMMYFUNCTION("""COMPUTED_VALUE"""),"COL")</f>
        <v>COL</v>
      </c>
      <c r="D2387" s="2" t="str">
        <f>LEFT(B2387,4)</f>
        <v>2016</v>
      </c>
      <c r="E2387" s="2" t="str">
        <f>MID(B2387,5,2)</f>
        <v>01</v>
      </c>
      <c r="F2387" s="2" t="str">
        <f>RIGHT(B2387,2)</f>
        <v>22</v>
      </c>
      <c r="G2387" s="29">
        <f>DATE(D2387,E2387,F2387)</f>
        <v>42391</v>
      </c>
    </row>
    <row r="2388" hidden="1">
      <c r="A2388" s="1" t="s">
        <v>642</v>
      </c>
    </row>
    <row r="2389" hidden="1">
      <c r="A2389" s="1" t="s">
        <v>643</v>
      </c>
    </row>
    <row r="2390">
      <c r="A2390" s="1" t="s">
        <v>1834</v>
      </c>
      <c r="B2390" s="2">
        <f>IFERROR(__xludf.DUMMYFUNCTION("SPLIT(A2390,""_"")"),2.0160122E7)</f>
        <v>20160122</v>
      </c>
      <c r="C2390" s="2" t="str">
        <f>IFERROR(__xludf.DUMMYFUNCTION("""COMPUTED_VALUE"""),"STI")</f>
        <v>STI</v>
      </c>
      <c r="D2390" s="2" t="str">
        <f>LEFT(B2390,4)</f>
        <v>2016</v>
      </c>
      <c r="E2390" s="2" t="str">
        <f>MID(B2390,5,2)</f>
        <v>01</v>
      </c>
      <c r="F2390" s="2" t="str">
        <f>RIGHT(B2390,2)</f>
        <v>22</v>
      </c>
      <c r="G2390" s="29">
        <f>DATE(D2390,E2390,F2390)</f>
        <v>42391</v>
      </c>
    </row>
    <row r="2391" hidden="1">
      <c r="A2391" s="1" t="s">
        <v>642</v>
      </c>
    </row>
    <row r="2392" hidden="1">
      <c r="A2392" s="1" t="s">
        <v>643</v>
      </c>
    </row>
    <row r="2393">
      <c r="A2393" s="1" t="s">
        <v>1835</v>
      </c>
      <c r="B2393" s="2">
        <f>IFERROR(__xludf.DUMMYFUNCTION("SPLIT(A2393,""_"")"),2.0160125E7)</f>
        <v>20160125</v>
      </c>
      <c r="C2393" s="2" t="str">
        <f>IFERROR(__xludf.DUMMYFUNCTION("""COMPUTED_VALUE"""),"DHI")</f>
        <v>DHI</v>
      </c>
      <c r="D2393" s="2" t="str">
        <f>LEFT(B2393,4)</f>
        <v>2016</v>
      </c>
      <c r="E2393" s="2" t="str">
        <f>MID(B2393,5,2)</f>
        <v>01</v>
      </c>
      <c r="F2393" s="2" t="str">
        <f>RIGHT(B2393,2)</f>
        <v>25</v>
      </c>
      <c r="G2393" s="29">
        <f>DATE(D2393,E2393,F2393)</f>
        <v>42394</v>
      </c>
    </row>
    <row r="2394" hidden="1">
      <c r="A2394" s="1" t="s">
        <v>642</v>
      </c>
    </row>
    <row r="2395" hidden="1">
      <c r="A2395" s="1" t="s">
        <v>643</v>
      </c>
    </row>
    <row r="2396">
      <c r="A2396" s="1" t="s">
        <v>1836</v>
      </c>
      <c r="B2396" s="2">
        <f>IFERROR(__xludf.DUMMYFUNCTION("SPLIT(A2396,""_"")"),2.0160125E7)</f>
        <v>20160125</v>
      </c>
      <c r="C2396" s="2" t="str">
        <f>IFERROR(__xludf.DUMMYFUNCTION("""COMPUTED_VALUE"""),"KMB")</f>
        <v>KMB</v>
      </c>
      <c r="D2396" s="2" t="str">
        <f>LEFT(B2396,4)</f>
        <v>2016</v>
      </c>
      <c r="E2396" s="2" t="str">
        <f>MID(B2396,5,2)</f>
        <v>01</v>
      </c>
      <c r="F2396" s="2" t="str">
        <f>RIGHT(B2396,2)</f>
        <v>25</v>
      </c>
      <c r="G2396" s="29">
        <f>DATE(D2396,E2396,F2396)</f>
        <v>42394</v>
      </c>
    </row>
    <row r="2397" hidden="1">
      <c r="A2397" s="1" t="s">
        <v>642</v>
      </c>
    </row>
    <row r="2398" hidden="1">
      <c r="A2398" s="1" t="s">
        <v>643</v>
      </c>
    </row>
    <row r="2399">
      <c r="A2399" s="1" t="s">
        <v>1837</v>
      </c>
      <c r="B2399" s="2">
        <f>IFERROR(__xludf.DUMMYFUNCTION("SPLIT(A2399,""_"")"),2.0160126E7)</f>
        <v>20160126</v>
      </c>
      <c r="C2399" s="2" t="str">
        <f>IFERROR(__xludf.DUMMYFUNCTION("""COMPUTED_VALUE"""),"AKS")</f>
        <v>AKS</v>
      </c>
      <c r="D2399" s="2" t="str">
        <f>LEFT(B2399,4)</f>
        <v>2016</v>
      </c>
      <c r="E2399" s="2" t="str">
        <f>MID(B2399,5,2)</f>
        <v>01</v>
      </c>
      <c r="F2399" s="2" t="str">
        <f>RIGHT(B2399,2)</f>
        <v>26</v>
      </c>
      <c r="G2399" s="29">
        <f>DATE(D2399,E2399,F2399)</f>
        <v>42395</v>
      </c>
    </row>
    <row r="2400" hidden="1">
      <c r="A2400" s="1" t="s">
        <v>642</v>
      </c>
    </row>
    <row r="2401" hidden="1">
      <c r="A2401" s="1" t="s">
        <v>643</v>
      </c>
    </row>
    <row r="2402">
      <c r="A2402" s="1" t="s">
        <v>1838</v>
      </c>
      <c r="B2402" s="2">
        <f>IFERROR(__xludf.DUMMYFUNCTION("SPLIT(A2402,""_"")"),2.0160126E7)</f>
        <v>20160126</v>
      </c>
      <c r="C2402" s="2" t="str">
        <f>IFERROR(__xludf.DUMMYFUNCTION("""COMPUTED_VALUE"""),"DHR")</f>
        <v>DHR</v>
      </c>
      <c r="D2402" s="2" t="str">
        <f>LEFT(B2402,4)</f>
        <v>2016</v>
      </c>
      <c r="E2402" s="2" t="str">
        <f>MID(B2402,5,2)</f>
        <v>01</v>
      </c>
      <c r="F2402" s="2" t="str">
        <f>RIGHT(B2402,2)</f>
        <v>26</v>
      </c>
      <c r="G2402" s="29">
        <f>DATE(D2402,E2402,F2402)</f>
        <v>42395</v>
      </c>
    </row>
    <row r="2403" hidden="1">
      <c r="A2403" s="1" t="s">
        <v>642</v>
      </c>
    </row>
    <row r="2404" hidden="1">
      <c r="A2404" s="1" t="s">
        <v>643</v>
      </c>
    </row>
    <row r="2405">
      <c r="A2405" s="1" t="s">
        <v>1839</v>
      </c>
      <c r="B2405" s="2">
        <f>IFERROR(__xludf.DUMMYFUNCTION("SPLIT(A2405,""_"")"),2.0160126E7)</f>
        <v>20160126</v>
      </c>
      <c r="C2405" s="2" t="str">
        <f>IFERROR(__xludf.DUMMYFUNCTION("""COMPUTED_VALUE"""),"DOV")</f>
        <v>DOV</v>
      </c>
      <c r="D2405" s="2" t="str">
        <f>LEFT(B2405,4)</f>
        <v>2016</v>
      </c>
      <c r="E2405" s="2" t="str">
        <f>MID(B2405,5,2)</f>
        <v>01</v>
      </c>
      <c r="F2405" s="2" t="str">
        <f>RIGHT(B2405,2)</f>
        <v>26</v>
      </c>
      <c r="G2405" s="29">
        <f>DATE(D2405,E2405,F2405)</f>
        <v>42395</v>
      </c>
    </row>
    <row r="2406" hidden="1">
      <c r="A2406" s="1" t="s">
        <v>642</v>
      </c>
    </row>
    <row r="2407" hidden="1">
      <c r="A2407" s="1" t="s">
        <v>643</v>
      </c>
    </row>
    <row r="2408">
      <c r="A2408" s="1" t="s">
        <v>1840</v>
      </c>
      <c r="B2408" s="2">
        <f>IFERROR(__xludf.DUMMYFUNCTION("SPLIT(A2408,""_"")"),2.0160126E7)</f>
        <v>20160126</v>
      </c>
      <c r="C2408" s="2" t="str">
        <f>IFERROR(__xludf.DUMMYFUNCTION("""COMPUTED_VALUE"""),"GWW")</f>
        <v>GWW</v>
      </c>
      <c r="D2408" s="2" t="str">
        <f>LEFT(B2408,4)</f>
        <v>2016</v>
      </c>
      <c r="E2408" s="2" t="str">
        <f>MID(B2408,5,2)</f>
        <v>01</v>
      </c>
      <c r="F2408" s="2" t="str">
        <f>RIGHT(B2408,2)</f>
        <v>26</v>
      </c>
      <c r="G2408" s="29">
        <f>DATE(D2408,E2408,F2408)</f>
        <v>42395</v>
      </c>
    </row>
    <row r="2409" hidden="1">
      <c r="A2409" s="1" t="s">
        <v>642</v>
      </c>
    </row>
    <row r="2410" hidden="1">
      <c r="A2410" s="1" t="s">
        <v>643</v>
      </c>
    </row>
    <row r="2411">
      <c r="A2411" s="1" t="s">
        <v>1841</v>
      </c>
      <c r="B2411" s="2">
        <f>IFERROR(__xludf.DUMMYFUNCTION("SPLIT(A2411,""_"")"),2.0160126E7)</f>
        <v>20160126</v>
      </c>
      <c r="C2411" s="2" t="str">
        <f>IFERROR(__xludf.DUMMYFUNCTION("""COMPUTED_VALUE"""),"HAFC")</f>
        <v>HAFC</v>
      </c>
      <c r="D2411" s="2" t="str">
        <f>LEFT(B2411,4)</f>
        <v>2016</v>
      </c>
      <c r="E2411" s="2" t="str">
        <f>MID(B2411,5,2)</f>
        <v>01</v>
      </c>
      <c r="F2411" s="2" t="str">
        <f>RIGHT(B2411,2)</f>
        <v>26</v>
      </c>
      <c r="G2411" s="29">
        <f>DATE(D2411,E2411,F2411)</f>
        <v>42395</v>
      </c>
    </row>
    <row r="2412" hidden="1">
      <c r="A2412" s="1" t="s">
        <v>642</v>
      </c>
    </row>
    <row r="2413" hidden="1">
      <c r="A2413" s="1" t="s">
        <v>643</v>
      </c>
    </row>
    <row r="2414">
      <c r="A2414" s="1" t="s">
        <v>1842</v>
      </c>
      <c r="B2414" s="2">
        <f>IFERROR(__xludf.DUMMYFUNCTION("SPLIT(A2414,""_"")"),2.0160126E7)</f>
        <v>20160126</v>
      </c>
      <c r="C2414" s="2" t="str">
        <f>IFERROR(__xludf.DUMMYFUNCTION("""COMPUTED_VALUE"""),"IIVI")</f>
        <v>IIVI</v>
      </c>
      <c r="D2414" s="2" t="str">
        <f>LEFT(B2414,4)</f>
        <v>2016</v>
      </c>
      <c r="E2414" s="2" t="str">
        <f>MID(B2414,5,2)</f>
        <v>01</v>
      </c>
      <c r="F2414" s="2" t="str">
        <f>RIGHT(B2414,2)</f>
        <v>26</v>
      </c>
      <c r="G2414" s="29">
        <f>DATE(D2414,E2414,F2414)</f>
        <v>42395</v>
      </c>
    </row>
    <row r="2415" hidden="1">
      <c r="A2415" s="1" t="s">
        <v>642</v>
      </c>
    </row>
    <row r="2416" hidden="1">
      <c r="A2416" s="1" t="s">
        <v>643</v>
      </c>
    </row>
    <row r="2417">
      <c r="A2417" s="1" t="s">
        <v>1843</v>
      </c>
      <c r="B2417" s="2">
        <f>IFERROR(__xludf.DUMMYFUNCTION("SPLIT(A2417,""_"")"),2.0160126E7)</f>
        <v>20160126</v>
      </c>
      <c r="C2417" s="2" t="str">
        <f>IFERROR(__xludf.DUMMYFUNCTION("""COMPUTED_VALUE"""),"ISCA")</f>
        <v>ISCA</v>
      </c>
      <c r="D2417" s="2" t="str">
        <f>LEFT(B2417,4)</f>
        <v>2016</v>
      </c>
      <c r="E2417" s="2" t="str">
        <f>MID(B2417,5,2)</f>
        <v>01</v>
      </c>
      <c r="F2417" s="2" t="str">
        <f>RIGHT(B2417,2)</f>
        <v>26</v>
      </c>
      <c r="G2417" s="29">
        <f>DATE(D2417,E2417,F2417)</f>
        <v>42395</v>
      </c>
    </row>
    <row r="2418" hidden="1">
      <c r="A2418" s="1" t="s">
        <v>642</v>
      </c>
    </row>
    <row r="2419" hidden="1">
      <c r="A2419" s="1" t="s">
        <v>643</v>
      </c>
    </row>
    <row r="2420">
      <c r="A2420" s="1" t="s">
        <v>1844</v>
      </c>
      <c r="B2420" s="2">
        <f>IFERROR(__xludf.DUMMYFUNCTION("SPLIT(A2420,""_"")"),2.0160126E7)</f>
        <v>20160126</v>
      </c>
      <c r="C2420" s="2" t="str">
        <f>IFERROR(__xludf.DUMMYFUNCTION("""COMPUTED_VALUE"""),"MMM")</f>
        <v>MMM</v>
      </c>
      <c r="D2420" s="2" t="str">
        <f>LEFT(B2420,4)</f>
        <v>2016</v>
      </c>
      <c r="E2420" s="2" t="str">
        <f>MID(B2420,5,2)</f>
        <v>01</v>
      </c>
      <c r="F2420" s="2" t="str">
        <f>RIGHT(B2420,2)</f>
        <v>26</v>
      </c>
      <c r="G2420" s="29">
        <f>DATE(D2420,E2420,F2420)</f>
        <v>42395</v>
      </c>
    </row>
    <row r="2421" hidden="1">
      <c r="A2421" s="1" t="s">
        <v>642</v>
      </c>
    </row>
    <row r="2422" hidden="1">
      <c r="A2422" s="1" t="s">
        <v>643</v>
      </c>
    </row>
    <row r="2423">
      <c r="A2423" s="1" t="s">
        <v>1845</v>
      </c>
      <c r="B2423" s="2">
        <f>IFERROR(__xludf.DUMMYFUNCTION("SPLIT(A2423,""_"")"),2.0160126E7)</f>
        <v>20160126</v>
      </c>
      <c r="C2423" s="2" t="str">
        <f>IFERROR(__xludf.DUMMYFUNCTION("""COMPUTED_VALUE"""),"MRCY")</f>
        <v>MRCY</v>
      </c>
      <c r="D2423" s="2" t="str">
        <f>LEFT(B2423,4)</f>
        <v>2016</v>
      </c>
      <c r="E2423" s="2" t="str">
        <f>MID(B2423,5,2)</f>
        <v>01</v>
      </c>
      <c r="F2423" s="2" t="str">
        <f>RIGHT(B2423,2)</f>
        <v>26</v>
      </c>
      <c r="G2423" s="29">
        <f>DATE(D2423,E2423,F2423)</f>
        <v>42395</v>
      </c>
    </row>
    <row r="2424" hidden="1">
      <c r="A2424" s="1" t="s">
        <v>642</v>
      </c>
    </row>
    <row r="2425" hidden="1">
      <c r="A2425" s="1" t="s">
        <v>643</v>
      </c>
    </row>
    <row r="2426">
      <c r="A2426" s="1" t="s">
        <v>1846</v>
      </c>
      <c r="B2426" s="2">
        <f>IFERROR(__xludf.DUMMYFUNCTION("SPLIT(A2426,""_"")"),2.0160126E7)</f>
        <v>20160126</v>
      </c>
      <c r="C2426" s="2" t="str">
        <f>IFERROR(__xludf.DUMMYFUNCTION("""COMPUTED_VALUE"""),"PG")</f>
        <v>PG</v>
      </c>
      <c r="D2426" s="2" t="str">
        <f>LEFT(B2426,4)</f>
        <v>2016</v>
      </c>
      <c r="E2426" s="2" t="str">
        <f>MID(B2426,5,2)</f>
        <v>01</v>
      </c>
      <c r="F2426" s="2" t="str">
        <f>RIGHT(B2426,2)</f>
        <v>26</v>
      </c>
      <c r="G2426" s="29">
        <f>DATE(D2426,E2426,F2426)</f>
        <v>42395</v>
      </c>
    </row>
    <row r="2427" hidden="1">
      <c r="A2427" s="1" t="s">
        <v>642</v>
      </c>
    </row>
    <row r="2428" hidden="1">
      <c r="A2428" s="1" t="s">
        <v>643</v>
      </c>
    </row>
    <row r="2429">
      <c r="A2429" s="1" t="s">
        <v>1847</v>
      </c>
      <c r="B2429" s="2">
        <f>IFERROR(__xludf.DUMMYFUNCTION("SPLIT(A2429,""_"")"),2.0160126E7)</f>
        <v>20160126</v>
      </c>
      <c r="C2429" s="2" t="str">
        <f>IFERROR(__xludf.DUMMYFUNCTION("""COMPUTED_VALUE"""),"PII")</f>
        <v>PII</v>
      </c>
      <c r="D2429" s="2" t="str">
        <f>LEFT(B2429,4)</f>
        <v>2016</v>
      </c>
      <c r="E2429" s="2" t="str">
        <f>MID(B2429,5,2)</f>
        <v>01</v>
      </c>
      <c r="F2429" s="2" t="str">
        <f>RIGHT(B2429,2)</f>
        <v>26</v>
      </c>
      <c r="G2429" s="29">
        <f>DATE(D2429,E2429,F2429)</f>
        <v>42395</v>
      </c>
    </row>
    <row r="2430" hidden="1">
      <c r="A2430" s="1" t="s">
        <v>642</v>
      </c>
    </row>
    <row r="2431" hidden="1">
      <c r="A2431" s="1" t="s">
        <v>643</v>
      </c>
    </row>
    <row r="2432">
      <c r="A2432" s="1" t="s">
        <v>1848</v>
      </c>
      <c r="B2432" s="2">
        <f>IFERROR(__xludf.DUMMYFUNCTION("SPLIT(A2432,""_"")"),2.0160126E7)</f>
        <v>20160126</v>
      </c>
      <c r="C2432" s="2" t="str">
        <f>IFERROR(__xludf.DUMMYFUNCTION("""COMPUTED_VALUE"""),"TSS")</f>
        <v>TSS</v>
      </c>
      <c r="D2432" s="2" t="str">
        <f>LEFT(B2432,4)</f>
        <v>2016</v>
      </c>
      <c r="E2432" s="2" t="str">
        <f>MID(B2432,5,2)</f>
        <v>01</v>
      </c>
      <c r="F2432" s="2" t="str">
        <f>RIGHT(B2432,2)</f>
        <v>26</v>
      </c>
      <c r="G2432" s="29">
        <f>DATE(D2432,E2432,F2432)</f>
        <v>42395</v>
      </c>
    </row>
    <row r="2433" hidden="1">
      <c r="A2433" s="1" t="s">
        <v>642</v>
      </c>
    </row>
    <row r="2434" hidden="1">
      <c r="A2434" s="1" t="s">
        <v>643</v>
      </c>
    </row>
    <row r="2435">
      <c r="A2435" s="1" t="s">
        <v>1849</v>
      </c>
      <c r="B2435" s="2">
        <f>IFERROR(__xludf.DUMMYFUNCTION("SPLIT(A2435,""_"")"),2.0160127E7)</f>
        <v>20160127</v>
      </c>
      <c r="C2435" s="2" t="str">
        <f>IFERROR(__xludf.DUMMYFUNCTION("""COMPUTED_VALUE"""),"ALGT")</f>
        <v>ALGT</v>
      </c>
      <c r="D2435" s="2" t="str">
        <f>LEFT(B2435,4)</f>
        <v>2016</v>
      </c>
      <c r="E2435" s="2" t="str">
        <f>MID(B2435,5,2)</f>
        <v>01</v>
      </c>
      <c r="F2435" s="2" t="str">
        <f>RIGHT(B2435,2)</f>
        <v>27</v>
      </c>
      <c r="G2435" s="29">
        <f>DATE(D2435,E2435,F2435)</f>
        <v>42396</v>
      </c>
    </row>
    <row r="2436" hidden="1">
      <c r="A2436" s="1" t="s">
        <v>642</v>
      </c>
    </row>
    <row r="2437" hidden="1">
      <c r="A2437" s="1" t="s">
        <v>643</v>
      </c>
    </row>
    <row r="2438">
      <c r="A2438" s="1" t="s">
        <v>1850</v>
      </c>
      <c r="B2438" s="2">
        <f>IFERROR(__xludf.DUMMYFUNCTION("SPLIT(A2438,""_"")"),2.0160127E7)</f>
        <v>20160127</v>
      </c>
      <c r="C2438" s="2" t="str">
        <f>IFERROR(__xludf.DUMMYFUNCTION("""COMPUTED_VALUE"""),"CNMD")</f>
        <v>CNMD</v>
      </c>
      <c r="D2438" s="2" t="str">
        <f>LEFT(B2438,4)</f>
        <v>2016</v>
      </c>
      <c r="E2438" s="2" t="str">
        <f>MID(B2438,5,2)</f>
        <v>01</v>
      </c>
      <c r="F2438" s="2" t="str">
        <f>RIGHT(B2438,2)</f>
        <v>27</v>
      </c>
      <c r="G2438" s="29">
        <f>DATE(D2438,E2438,F2438)</f>
        <v>42396</v>
      </c>
    </row>
    <row r="2439" hidden="1">
      <c r="A2439" s="1" t="s">
        <v>642</v>
      </c>
    </row>
    <row r="2440" hidden="1">
      <c r="A2440" s="1" t="s">
        <v>643</v>
      </c>
    </row>
    <row r="2441">
      <c r="A2441" s="1" t="s">
        <v>1851</v>
      </c>
      <c r="B2441" s="2">
        <f>IFERROR(__xludf.DUMMYFUNCTION("SPLIT(A2441,""_"")"),2.0160127E7)</f>
        <v>20160127</v>
      </c>
      <c r="C2441" s="2" t="str">
        <f>IFERROR(__xludf.DUMMYFUNCTION("""COMPUTED_VALUE"""),"CRUS")</f>
        <v>CRUS</v>
      </c>
      <c r="D2441" s="2" t="str">
        <f>LEFT(B2441,4)</f>
        <v>2016</v>
      </c>
      <c r="E2441" s="2" t="str">
        <f>MID(B2441,5,2)</f>
        <v>01</v>
      </c>
      <c r="F2441" s="2" t="str">
        <f>RIGHT(B2441,2)</f>
        <v>27</v>
      </c>
      <c r="G2441" s="29">
        <f>DATE(D2441,E2441,F2441)</f>
        <v>42396</v>
      </c>
    </row>
    <row r="2442" hidden="1">
      <c r="A2442" s="1" t="s">
        <v>642</v>
      </c>
    </row>
    <row r="2443" hidden="1">
      <c r="A2443" s="1" t="s">
        <v>643</v>
      </c>
    </row>
    <row r="2444">
      <c r="A2444" s="1" t="s">
        <v>1852</v>
      </c>
      <c r="B2444" s="2">
        <f>IFERROR(__xludf.DUMMYFUNCTION("SPLIT(A2444,""_"")"),2.0160127E7)</f>
        <v>20160127</v>
      </c>
      <c r="C2444" s="2" t="str">
        <f>IFERROR(__xludf.DUMMYFUNCTION("""COMPUTED_VALUE"""),"CTXS")</f>
        <v>CTXS</v>
      </c>
      <c r="D2444" s="2" t="str">
        <f>LEFT(B2444,4)</f>
        <v>2016</v>
      </c>
      <c r="E2444" s="2" t="str">
        <f>MID(B2444,5,2)</f>
        <v>01</v>
      </c>
      <c r="F2444" s="2" t="str">
        <f>RIGHT(B2444,2)</f>
        <v>27</v>
      </c>
      <c r="G2444" s="29">
        <f>DATE(D2444,E2444,F2444)</f>
        <v>42396</v>
      </c>
    </row>
    <row r="2445" hidden="1">
      <c r="A2445" s="1" t="s">
        <v>642</v>
      </c>
    </row>
    <row r="2446" hidden="1">
      <c r="A2446" s="1" t="s">
        <v>643</v>
      </c>
    </row>
    <row r="2447">
      <c r="A2447" s="1" t="s">
        <v>1853</v>
      </c>
      <c r="B2447" s="2">
        <f>IFERROR(__xludf.DUMMYFUNCTION("SPLIT(A2447,""_"")"),2.0160127E7)</f>
        <v>20160127</v>
      </c>
      <c r="C2447" s="2" t="str">
        <f>IFERROR(__xludf.DUMMYFUNCTION("""COMPUTED_VALUE"""),"DFS")</f>
        <v>DFS</v>
      </c>
      <c r="D2447" s="2" t="str">
        <f>LEFT(B2447,4)</f>
        <v>2016</v>
      </c>
      <c r="E2447" s="2" t="str">
        <f>MID(B2447,5,2)</f>
        <v>01</v>
      </c>
      <c r="F2447" s="2" t="str">
        <f>RIGHT(B2447,2)</f>
        <v>27</v>
      </c>
      <c r="G2447" s="29">
        <f>DATE(D2447,E2447,F2447)</f>
        <v>42396</v>
      </c>
    </row>
    <row r="2448" hidden="1">
      <c r="A2448" s="1" t="s">
        <v>642</v>
      </c>
    </row>
    <row r="2449" hidden="1">
      <c r="A2449" s="1" t="s">
        <v>643</v>
      </c>
    </row>
    <row r="2450">
      <c r="A2450" s="1" t="s">
        <v>1854</v>
      </c>
      <c r="B2450" s="2">
        <f>IFERROR(__xludf.DUMMYFUNCTION("SPLIT(A2450,""_"")"),2.0160127E7)</f>
        <v>20160127</v>
      </c>
      <c r="C2450" s="2" t="str">
        <f>IFERROR(__xludf.DUMMYFUNCTION("""COMPUTED_VALUE"""),"EFII")</f>
        <v>EFII</v>
      </c>
      <c r="D2450" s="2" t="str">
        <f>LEFT(B2450,4)</f>
        <v>2016</v>
      </c>
      <c r="E2450" s="2" t="str">
        <f>MID(B2450,5,2)</f>
        <v>01</v>
      </c>
      <c r="F2450" s="2" t="str">
        <f>RIGHT(B2450,2)</f>
        <v>27</v>
      </c>
      <c r="G2450" s="29">
        <f>DATE(D2450,E2450,F2450)</f>
        <v>42396</v>
      </c>
    </row>
    <row r="2451" hidden="1">
      <c r="A2451" s="1" t="s">
        <v>642</v>
      </c>
    </row>
    <row r="2452" hidden="1">
      <c r="A2452" s="1" t="s">
        <v>643</v>
      </c>
    </row>
    <row r="2453">
      <c r="A2453" s="1" t="s">
        <v>1855</v>
      </c>
      <c r="B2453" s="2">
        <f>IFERROR(__xludf.DUMMYFUNCTION("SPLIT(A2453,""_"")"),2.0160127E7)</f>
        <v>20160127</v>
      </c>
      <c r="C2453" s="2" t="str">
        <f>IFERROR(__xludf.DUMMYFUNCTION("""COMPUTED_VALUE"""),"GD")</f>
        <v>GD</v>
      </c>
      <c r="D2453" s="2" t="str">
        <f>LEFT(B2453,4)</f>
        <v>2016</v>
      </c>
      <c r="E2453" s="2" t="str">
        <f>MID(B2453,5,2)</f>
        <v>01</v>
      </c>
      <c r="F2453" s="2" t="str">
        <f>RIGHT(B2453,2)</f>
        <v>27</v>
      </c>
      <c r="G2453" s="29">
        <f>DATE(D2453,E2453,F2453)</f>
        <v>42396</v>
      </c>
    </row>
    <row r="2454" hidden="1">
      <c r="A2454" s="1" t="s">
        <v>642</v>
      </c>
    </row>
    <row r="2455" hidden="1">
      <c r="A2455" s="1" t="s">
        <v>643</v>
      </c>
    </row>
    <row r="2456">
      <c r="A2456" s="1" t="s">
        <v>1856</v>
      </c>
      <c r="B2456" s="2">
        <f>IFERROR(__xludf.DUMMYFUNCTION("SPLIT(A2456,""_"")"),2.0160127E7)</f>
        <v>20160127</v>
      </c>
      <c r="C2456" s="2" t="str">
        <f>IFERROR(__xludf.DUMMYFUNCTION("""COMPUTED_VALUE"""),"HOLX")</f>
        <v>HOLX</v>
      </c>
      <c r="D2456" s="2" t="str">
        <f>LEFT(B2456,4)</f>
        <v>2016</v>
      </c>
      <c r="E2456" s="2" t="str">
        <f>MID(B2456,5,2)</f>
        <v>01</v>
      </c>
      <c r="F2456" s="2" t="str">
        <f>RIGHT(B2456,2)</f>
        <v>27</v>
      </c>
      <c r="G2456" s="29">
        <f>DATE(D2456,E2456,F2456)</f>
        <v>42396</v>
      </c>
    </row>
    <row r="2457" hidden="1">
      <c r="A2457" s="1" t="s">
        <v>642</v>
      </c>
    </row>
    <row r="2458" hidden="1">
      <c r="A2458" s="1" t="s">
        <v>643</v>
      </c>
    </row>
    <row r="2459">
      <c r="A2459" s="1" t="s">
        <v>1857</v>
      </c>
      <c r="B2459" s="2">
        <f>IFERROR(__xludf.DUMMYFUNCTION("SPLIT(A2459,""_"")"),2.0160127E7)</f>
        <v>20160127</v>
      </c>
      <c r="C2459" s="2" t="str">
        <f>IFERROR(__xludf.DUMMYFUNCTION("""COMPUTED_VALUE"""),"MCK")</f>
        <v>MCK</v>
      </c>
      <c r="D2459" s="2" t="str">
        <f>LEFT(B2459,4)</f>
        <v>2016</v>
      </c>
      <c r="E2459" s="2" t="str">
        <f>MID(B2459,5,2)</f>
        <v>01</v>
      </c>
      <c r="F2459" s="2" t="str">
        <f>RIGHT(B2459,2)</f>
        <v>27</v>
      </c>
      <c r="G2459" s="29">
        <f>DATE(D2459,E2459,F2459)</f>
        <v>42396</v>
      </c>
    </row>
    <row r="2460" hidden="1">
      <c r="A2460" s="1" t="s">
        <v>642</v>
      </c>
    </row>
    <row r="2461" hidden="1">
      <c r="A2461" s="1" t="s">
        <v>643</v>
      </c>
    </row>
    <row r="2462">
      <c r="A2462" s="1" t="s">
        <v>1858</v>
      </c>
      <c r="B2462" s="2">
        <f>IFERROR(__xludf.DUMMYFUNCTION("SPLIT(A2462,""_"")"),2.0160127E7)</f>
        <v>20160127</v>
      </c>
      <c r="C2462" s="2" t="str">
        <f>IFERROR(__xludf.DUMMYFUNCTION("""COMPUTED_VALUE"""),"MDP")</f>
        <v>MDP</v>
      </c>
      <c r="D2462" s="2" t="str">
        <f>LEFT(B2462,4)</f>
        <v>2016</v>
      </c>
      <c r="E2462" s="2" t="str">
        <f>MID(B2462,5,2)</f>
        <v>01</v>
      </c>
      <c r="F2462" s="2" t="str">
        <f>RIGHT(B2462,2)</f>
        <v>27</v>
      </c>
      <c r="G2462" s="29">
        <f>DATE(D2462,E2462,F2462)</f>
        <v>42396</v>
      </c>
    </row>
    <row r="2463" hidden="1">
      <c r="A2463" s="1" t="s">
        <v>642</v>
      </c>
    </row>
    <row r="2464" hidden="1">
      <c r="A2464" s="1" t="s">
        <v>643</v>
      </c>
    </row>
    <row r="2465">
      <c r="A2465" s="1" t="s">
        <v>1859</v>
      </c>
      <c r="B2465" s="2">
        <f>IFERROR(__xludf.DUMMYFUNCTION("SPLIT(A2465,""_"")"),2.0160127E7)</f>
        <v>20160127</v>
      </c>
      <c r="C2465" s="2" t="str">
        <f>IFERROR(__xludf.DUMMYFUNCTION("""COMPUTED_VALUE"""),"PYPL")</f>
        <v>PYPL</v>
      </c>
      <c r="D2465" s="2" t="str">
        <f>LEFT(B2465,4)</f>
        <v>2016</v>
      </c>
      <c r="E2465" s="2" t="str">
        <f>MID(B2465,5,2)</f>
        <v>01</v>
      </c>
      <c r="F2465" s="2" t="str">
        <f>RIGHT(B2465,2)</f>
        <v>27</v>
      </c>
      <c r="G2465" s="29">
        <f>DATE(D2465,E2465,F2465)</f>
        <v>42396</v>
      </c>
    </row>
    <row r="2466" hidden="1">
      <c r="A2466" s="1" t="s">
        <v>642</v>
      </c>
    </row>
    <row r="2467" hidden="1">
      <c r="A2467" s="1" t="s">
        <v>643</v>
      </c>
    </row>
    <row r="2468">
      <c r="A2468" s="1" t="s">
        <v>1860</v>
      </c>
      <c r="B2468" s="2">
        <f>IFERROR(__xludf.DUMMYFUNCTION("SPLIT(A2468,""_"")"),2.0160127E7)</f>
        <v>20160127</v>
      </c>
      <c r="C2468" s="2" t="str">
        <f>IFERROR(__xludf.DUMMYFUNCTION("""COMPUTED_VALUE"""),"SEIC")</f>
        <v>SEIC</v>
      </c>
      <c r="D2468" s="2" t="str">
        <f>LEFT(B2468,4)</f>
        <v>2016</v>
      </c>
      <c r="E2468" s="2" t="str">
        <f>MID(B2468,5,2)</f>
        <v>01</v>
      </c>
      <c r="F2468" s="2" t="str">
        <f>RIGHT(B2468,2)</f>
        <v>27</v>
      </c>
      <c r="G2468" s="29">
        <f>DATE(D2468,E2468,F2468)</f>
        <v>42396</v>
      </c>
    </row>
    <row r="2469" hidden="1">
      <c r="A2469" s="1" t="s">
        <v>642</v>
      </c>
    </row>
    <row r="2470" hidden="1">
      <c r="A2470" s="1" t="s">
        <v>643</v>
      </c>
    </row>
    <row r="2471">
      <c r="A2471" s="1" t="s">
        <v>1861</v>
      </c>
      <c r="B2471" s="2">
        <f>IFERROR(__xludf.DUMMYFUNCTION("SPLIT(A2471,""_"")"),2.0160127E7)</f>
        <v>20160127</v>
      </c>
      <c r="C2471" s="2" t="str">
        <f>IFERROR(__xludf.DUMMYFUNCTION("""COMPUTED_VALUE"""),"TXN")</f>
        <v>TXN</v>
      </c>
      <c r="D2471" s="2" t="str">
        <f>LEFT(B2471,4)</f>
        <v>2016</v>
      </c>
      <c r="E2471" s="2" t="str">
        <f>MID(B2471,5,2)</f>
        <v>01</v>
      </c>
      <c r="F2471" s="2" t="str">
        <f>RIGHT(B2471,2)</f>
        <v>27</v>
      </c>
      <c r="G2471" s="29">
        <f>DATE(D2471,E2471,F2471)</f>
        <v>42396</v>
      </c>
    </row>
    <row r="2472" hidden="1">
      <c r="A2472" s="1" t="s">
        <v>642</v>
      </c>
    </row>
    <row r="2473" hidden="1">
      <c r="A2473" s="1" t="s">
        <v>643</v>
      </c>
    </row>
    <row r="2474">
      <c r="A2474" s="1" t="s">
        <v>1862</v>
      </c>
      <c r="B2474" s="2">
        <f>IFERROR(__xludf.DUMMYFUNCTION("SPLIT(A2474,""_"")"),2.0160127E7)</f>
        <v>20160127</v>
      </c>
      <c r="C2474" s="2" t="str">
        <f>IFERROR(__xludf.DUMMYFUNCTION("""COMPUTED_VALUE"""),"TXT")</f>
        <v>TXT</v>
      </c>
      <c r="D2474" s="2" t="str">
        <f>LEFT(B2474,4)</f>
        <v>2016</v>
      </c>
      <c r="E2474" s="2" t="str">
        <f>MID(B2474,5,2)</f>
        <v>01</v>
      </c>
      <c r="F2474" s="2" t="str">
        <f>RIGHT(B2474,2)</f>
        <v>27</v>
      </c>
      <c r="G2474" s="29">
        <f>DATE(D2474,E2474,F2474)</f>
        <v>42396</v>
      </c>
    </row>
    <row r="2475" hidden="1">
      <c r="A2475" s="1" t="s">
        <v>642</v>
      </c>
    </row>
    <row r="2476" hidden="1">
      <c r="A2476" s="1" t="s">
        <v>643</v>
      </c>
    </row>
    <row r="2477">
      <c r="A2477" s="1" t="s">
        <v>1863</v>
      </c>
      <c r="B2477" s="2">
        <f>IFERROR(__xludf.DUMMYFUNCTION("SPLIT(A2477,""_"")"),2.0160127E7)</f>
        <v>20160127</v>
      </c>
      <c r="C2477" s="2" t="str">
        <f>IFERROR(__xludf.DUMMYFUNCTION("""COMPUTED_VALUE"""),"VLY")</f>
        <v>VLY</v>
      </c>
      <c r="D2477" s="2" t="str">
        <f>LEFT(B2477,4)</f>
        <v>2016</v>
      </c>
      <c r="E2477" s="2" t="str">
        <f>MID(B2477,5,2)</f>
        <v>01</v>
      </c>
      <c r="F2477" s="2" t="str">
        <f>RIGHT(B2477,2)</f>
        <v>27</v>
      </c>
      <c r="G2477" s="29">
        <f>DATE(D2477,E2477,F2477)</f>
        <v>42396</v>
      </c>
    </row>
    <row r="2478" hidden="1">
      <c r="A2478" s="1" t="s">
        <v>642</v>
      </c>
    </row>
    <row r="2479" hidden="1">
      <c r="A2479" s="1" t="s">
        <v>643</v>
      </c>
    </row>
    <row r="2480">
      <c r="A2480" s="1" t="s">
        <v>1864</v>
      </c>
      <c r="B2480" s="2">
        <f>IFERROR(__xludf.DUMMYFUNCTION("SPLIT(A2480,""_"")"),2.0160128E7)</f>
        <v>20160128</v>
      </c>
      <c r="C2480" s="2" t="str">
        <f>IFERROR(__xludf.DUMMYFUNCTION("""COMPUTED_VALUE"""),"ADS")</f>
        <v>ADS</v>
      </c>
      <c r="D2480" s="2" t="str">
        <f>LEFT(B2480,4)</f>
        <v>2016</v>
      </c>
      <c r="E2480" s="2" t="str">
        <f>MID(B2480,5,2)</f>
        <v>01</v>
      </c>
      <c r="F2480" s="2" t="str">
        <f>RIGHT(B2480,2)</f>
        <v>28</v>
      </c>
      <c r="G2480" s="29">
        <f>DATE(D2480,E2480,F2480)</f>
        <v>42397</v>
      </c>
    </row>
    <row r="2481" hidden="1">
      <c r="A2481" s="1" t="s">
        <v>642</v>
      </c>
    </row>
    <row r="2482" hidden="1">
      <c r="A2482" s="1" t="s">
        <v>643</v>
      </c>
    </row>
    <row r="2483">
      <c r="A2483" s="1" t="s">
        <v>1865</v>
      </c>
      <c r="B2483" s="2">
        <f>IFERROR(__xludf.DUMMYFUNCTION("SPLIT(A2483,""_"")"),2.0160128E7)</f>
        <v>20160128</v>
      </c>
      <c r="C2483" s="2" t="str">
        <f>IFERROR(__xludf.DUMMYFUNCTION("""COMPUTED_VALUE"""),"AN")</f>
        <v>AN</v>
      </c>
      <c r="D2483" s="2" t="str">
        <f>LEFT(B2483,4)</f>
        <v>2016</v>
      </c>
      <c r="E2483" s="2" t="str">
        <f>MID(B2483,5,2)</f>
        <v>01</v>
      </c>
      <c r="F2483" s="2" t="str">
        <f>RIGHT(B2483,2)</f>
        <v>28</v>
      </c>
      <c r="G2483" s="29">
        <f>DATE(D2483,E2483,F2483)</f>
        <v>42397</v>
      </c>
    </row>
    <row r="2484" hidden="1">
      <c r="A2484" s="1" t="s">
        <v>642</v>
      </c>
    </row>
    <row r="2485" hidden="1">
      <c r="A2485" s="1" t="s">
        <v>643</v>
      </c>
    </row>
    <row r="2486">
      <c r="A2486" s="1" t="s">
        <v>1866</v>
      </c>
      <c r="B2486" s="2">
        <f>IFERROR(__xludf.DUMMYFUNCTION("SPLIT(A2486,""_"")"),2.0160128E7)</f>
        <v>20160128</v>
      </c>
      <c r="C2486" s="2" t="str">
        <f>IFERROR(__xludf.DUMMYFUNCTION("""COMPUTED_VALUE"""),"AVT")</f>
        <v>AVT</v>
      </c>
      <c r="D2486" s="2" t="str">
        <f>LEFT(B2486,4)</f>
        <v>2016</v>
      </c>
      <c r="E2486" s="2" t="str">
        <f>MID(B2486,5,2)</f>
        <v>01</v>
      </c>
      <c r="F2486" s="2" t="str">
        <f>RIGHT(B2486,2)</f>
        <v>28</v>
      </c>
      <c r="G2486" s="29">
        <f>DATE(D2486,E2486,F2486)</f>
        <v>42397</v>
      </c>
    </row>
    <row r="2487" hidden="1">
      <c r="A2487" s="1" t="s">
        <v>642</v>
      </c>
    </row>
    <row r="2488" hidden="1">
      <c r="A2488" s="1" t="s">
        <v>643</v>
      </c>
    </row>
    <row r="2489">
      <c r="A2489" s="1" t="s">
        <v>1867</v>
      </c>
      <c r="B2489" s="2">
        <f>IFERROR(__xludf.DUMMYFUNCTION("SPLIT(A2489,""_"")"),2.0160128E7)</f>
        <v>20160128</v>
      </c>
      <c r="C2489" s="2" t="str">
        <f>IFERROR(__xludf.DUMMYFUNCTION("""COMPUTED_VALUE"""),"CPF")</f>
        <v>CPF</v>
      </c>
      <c r="D2489" s="2" t="str">
        <f>LEFT(B2489,4)</f>
        <v>2016</v>
      </c>
      <c r="E2489" s="2" t="str">
        <f>MID(B2489,5,2)</f>
        <v>01</v>
      </c>
      <c r="F2489" s="2" t="str">
        <f>RIGHT(B2489,2)</f>
        <v>28</v>
      </c>
      <c r="G2489" s="29">
        <f>DATE(D2489,E2489,F2489)</f>
        <v>42397</v>
      </c>
    </row>
    <row r="2490" hidden="1">
      <c r="A2490" s="1" t="s">
        <v>642</v>
      </c>
    </row>
    <row r="2491" hidden="1">
      <c r="A2491" s="1" t="s">
        <v>643</v>
      </c>
    </row>
    <row r="2492">
      <c r="A2492" s="1" t="s">
        <v>1868</v>
      </c>
      <c r="B2492" s="2">
        <f>IFERROR(__xludf.DUMMYFUNCTION("SPLIT(A2492,""_"")"),2.0160128E7)</f>
        <v>20160128</v>
      </c>
      <c r="C2492" s="2" t="str">
        <f>IFERROR(__xludf.DUMMYFUNCTION("""COMPUTED_VALUE"""),"CPSI")</f>
        <v>CPSI</v>
      </c>
      <c r="D2492" s="2" t="str">
        <f>LEFT(B2492,4)</f>
        <v>2016</v>
      </c>
      <c r="E2492" s="2" t="str">
        <f>MID(B2492,5,2)</f>
        <v>01</v>
      </c>
      <c r="F2492" s="2" t="str">
        <f>RIGHT(B2492,2)</f>
        <v>28</v>
      </c>
      <c r="G2492" s="29">
        <f>DATE(D2492,E2492,F2492)</f>
        <v>42397</v>
      </c>
    </row>
    <row r="2493" hidden="1">
      <c r="A2493" s="1" t="s">
        <v>642</v>
      </c>
    </row>
    <row r="2494" hidden="1">
      <c r="A2494" s="1" t="s">
        <v>643</v>
      </c>
    </row>
    <row r="2495">
      <c r="A2495" s="1" t="s">
        <v>1869</v>
      </c>
      <c r="B2495" s="2">
        <f>IFERROR(__xludf.DUMMYFUNCTION("SPLIT(A2495,""_"")"),2.0160128E7)</f>
        <v>20160128</v>
      </c>
      <c r="C2495" s="2" t="str">
        <f>IFERROR(__xludf.DUMMYFUNCTION("""COMPUTED_VALUE"""),"DGX")</f>
        <v>DGX</v>
      </c>
      <c r="D2495" s="2" t="str">
        <f>LEFT(B2495,4)</f>
        <v>2016</v>
      </c>
      <c r="E2495" s="2" t="str">
        <f>MID(B2495,5,2)</f>
        <v>01</v>
      </c>
      <c r="F2495" s="2" t="str">
        <f>RIGHT(B2495,2)</f>
        <v>28</v>
      </c>
      <c r="G2495" s="29">
        <f>DATE(D2495,E2495,F2495)</f>
        <v>42397</v>
      </c>
    </row>
    <row r="2496" hidden="1">
      <c r="A2496" s="1" t="s">
        <v>642</v>
      </c>
    </row>
    <row r="2497" hidden="1">
      <c r="A2497" s="1" t="s">
        <v>643</v>
      </c>
    </row>
    <row r="2498">
      <c r="A2498" s="1" t="s">
        <v>1870</v>
      </c>
      <c r="B2498" s="2">
        <f>IFERROR(__xludf.DUMMYFUNCTION("SPLIT(A2498,""_"")"),2.0160128E7)</f>
        <v>20160128</v>
      </c>
      <c r="C2498" s="2" t="str">
        <f>IFERROR(__xludf.DUMMYFUNCTION("""COMPUTED_VALUE"""),"EA")</f>
        <v>EA</v>
      </c>
      <c r="D2498" s="2" t="str">
        <f>LEFT(B2498,4)</f>
        <v>2016</v>
      </c>
      <c r="E2498" s="2" t="str">
        <f>MID(B2498,5,2)</f>
        <v>01</v>
      </c>
      <c r="F2498" s="2" t="str">
        <f>RIGHT(B2498,2)</f>
        <v>28</v>
      </c>
      <c r="G2498" s="29">
        <f>DATE(D2498,E2498,F2498)</f>
        <v>42397</v>
      </c>
    </row>
    <row r="2499" hidden="1">
      <c r="A2499" s="1" t="s">
        <v>642</v>
      </c>
    </row>
    <row r="2500" hidden="1">
      <c r="A2500" s="1" t="s">
        <v>643</v>
      </c>
    </row>
    <row r="2501">
      <c r="A2501" s="1" t="s">
        <v>1871</v>
      </c>
      <c r="B2501" s="2">
        <f>IFERROR(__xludf.DUMMYFUNCTION("SPLIT(A2501,""_"")"),2.0160128E7)</f>
        <v>20160128</v>
      </c>
      <c r="C2501" s="2" t="str">
        <f>IFERROR(__xludf.DUMMYFUNCTION("""COMPUTED_VALUE"""),"FICO")</f>
        <v>FICO</v>
      </c>
      <c r="D2501" s="2" t="str">
        <f>LEFT(B2501,4)</f>
        <v>2016</v>
      </c>
      <c r="E2501" s="2" t="str">
        <f>MID(B2501,5,2)</f>
        <v>01</v>
      </c>
      <c r="F2501" s="2" t="str">
        <f>RIGHT(B2501,2)</f>
        <v>28</v>
      </c>
      <c r="G2501" s="29">
        <f>DATE(D2501,E2501,F2501)</f>
        <v>42397</v>
      </c>
    </row>
    <row r="2502" hidden="1">
      <c r="A2502" s="1" t="s">
        <v>642</v>
      </c>
    </row>
    <row r="2503" hidden="1">
      <c r="A2503" s="1" t="s">
        <v>643</v>
      </c>
    </row>
    <row r="2504">
      <c r="A2504" s="1" t="s">
        <v>1872</v>
      </c>
      <c r="B2504" s="2">
        <f>IFERROR(__xludf.DUMMYFUNCTION("SPLIT(A2504,""_"")"),2.0160128E7)</f>
        <v>20160128</v>
      </c>
      <c r="C2504" s="2" t="str">
        <f>IFERROR(__xludf.DUMMYFUNCTION("""COMPUTED_VALUE"""),"FTNT")</f>
        <v>FTNT</v>
      </c>
      <c r="D2504" s="2" t="str">
        <f>LEFT(B2504,4)</f>
        <v>2016</v>
      </c>
      <c r="E2504" s="2" t="str">
        <f>MID(B2504,5,2)</f>
        <v>01</v>
      </c>
      <c r="F2504" s="2" t="str">
        <f>RIGHT(B2504,2)</f>
        <v>28</v>
      </c>
      <c r="G2504" s="29">
        <f>DATE(D2504,E2504,F2504)</f>
        <v>42397</v>
      </c>
    </row>
    <row r="2505" hidden="1">
      <c r="A2505" s="1" t="s">
        <v>642</v>
      </c>
    </row>
    <row r="2506" hidden="1">
      <c r="A2506" s="1" t="s">
        <v>643</v>
      </c>
    </row>
    <row r="2507">
      <c r="A2507" s="1" t="s">
        <v>1873</v>
      </c>
      <c r="B2507" s="2">
        <f>IFERROR(__xludf.DUMMYFUNCTION("SPLIT(A2507,""_"")"),2.0160128E7)</f>
        <v>20160128</v>
      </c>
      <c r="C2507" s="2" t="str">
        <f>IFERROR(__xludf.DUMMYFUNCTION("""COMPUTED_VALUE"""),"GNTX")</f>
        <v>GNTX</v>
      </c>
      <c r="D2507" s="2" t="str">
        <f>LEFT(B2507,4)</f>
        <v>2016</v>
      </c>
      <c r="E2507" s="2" t="str">
        <f>MID(B2507,5,2)</f>
        <v>01</v>
      </c>
      <c r="F2507" s="2" t="str">
        <f>RIGHT(B2507,2)</f>
        <v>28</v>
      </c>
      <c r="G2507" s="29">
        <f>DATE(D2507,E2507,F2507)</f>
        <v>42397</v>
      </c>
    </row>
    <row r="2508" hidden="1">
      <c r="A2508" s="1" t="s">
        <v>642</v>
      </c>
    </row>
    <row r="2509" hidden="1">
      <c r="A2509" s="1" t="s">
        <v>643</v>
      </c>
    </row>
    <row r="2510">
      <c r="A2510" s="1" t="s">
        <v>1874</v>
      </c>
      <c r="B2510" s="2">
        <f>IFERROR(__xludf.DUMMYFUNCTION("SPLIT(A2510,""_"")"),2.0160128E7)</f>
        <v>20160128</v>
      </c>
      <c r="C2510" s="2" t="str">
        <f>IFERROR(__xludf.DUMMYFUNCTION("""COMPUTED_VALUE"""),"HCA")</f>
        <v>HCA</v>
      </c>
      <c r="D2510" s="2" t="str">
        <f>LEFT(B2510,4)</f>
        <v>2016</v>
      </c>
      <c r="E2510" s="2" t="str">
        <f>MID(B2510,5,2)</f>
        <v>01</v>
      </c>
      <c r="F2510" s="2" t="str">
        <f>RIGHT(B2510,2)</f>
        <v>28</v>
      </c>
      <c r="G2510" s="29">
        <f>DATE(D2510,E2510,F2510)</f>
        <v>42397</v>
      </c>
    </row>
    <row r="2511" hidden="1">
      <c r="A2511" s="1" t="s">
        <v>642</v>
      </c>
    </row>
    <row r="2512" hidden="1">
      <c r="A2512" s="1" t="s">
        <v>643</v>
      </c>
    </row>
    <row r="2513">
      <c r="A2513" s="1" t="s">
        <v>1875</v>
      </c>
      <c r="B2513" s="2">
        <f>IFERROR(__xludf.DUMMYFUNCTION("SPLIT(A2513,""_"")"),2.0160128E7)</f>
        <v>20160128</v>
      </c>
      <c r="C2513" s="2" t="str">
        <f>IFERROR(__xludf.DUMMYFUNCTION("""COMPUTED_VALUE"""),"HSY")</f>
        <v>HSY</v>
      </c>
      <c r="D2513" s="2" t="str">
        <f>LEFT(B2513,4)</f>
        <v>2016</v>
      </c>
      <c r="E2513" s="2" t="str">
        <f>MID(B2513,5,2)</f>
        <v>01</v>
      </c>
      <c r="F2513" s="2" t="str">
        <f>RIGHT(B2513,2)</f>
        <v>28</v>
      </c>
      <c r="G2513" s="29">
        <f>DATE(D2513,E2513,F2513)</f>
        <v>42397</v>
      </c>
    </row>
    <row r="2514" hidden="1">
      <c r="A2514" s="1" t="s">
        <v>642</v>
      </c>
    </row>
    <row r="2515" hidden="1">
      <c r="A2515" s="1" t="s">
        <v>643</v>
      </c>
    </row>
    <row r="2516">
      <c r="A2516" s="1" t="s">
        <v>1876</v>
      </c>
      <c r="B2516" s="2">
        <f>IFERROR(__xludf.DUMMYFUNCTION("SPLIT(A2516,""_"")"),2.0160128E7)</f>
        <v>20160128</v>
      </c>
      <c r="C2516" s="2" t="str">
        <f>IFERROR(__xludf.DUMMYFUNCTION("""COMPUTED_VALUE"""),"IVZ")</f>
        <v>IVZ</v>
      </c>
      <c r="D2516" s="2" t="str">
        <f>LEFT(B2516,4)</f>
        <v>2016</v>
      </c>
      <c r="E2516" s="2" t="str">
        <f>MID(B2516,5,2)</f>
        <v>01</v>
      </c>
      <c r="F2516" s="2" t="str">
        <f>RIGHT(B2516,2)</f>
        <v>28</v>
      </c>
      <c r="G2516" s="29">
        <f>DATE(D2516,E2516,F2516)</f>
        <v>42397</v>
      </c>
    </row>
    <row r="2517" hidden="1">
      <c r="A2517" s="1" t="s">
        <v>642</v>
      </c>
    </row>
    <row r="2518" hidden="1">
      <c r="A2518" s="1" t="s">
        <v>643</v>
      </c>
    </row>
    <row r="2519">
      <c r="A2519" s="1" t="s">
        <v>1877</v>
      </c>
      <c r="B2519" s="2">
        <f>IFERROR(__xludf.DUMMYFUNCTION("SPLIT(A2519,""_"")"),2.0160128E7)</f>
        <v>20160128</v>
      </c>
      <c r="C2519" s="2" t="str">
        <f>IFERROR(__xludf.DUMMYFUNCTION("""COMPUTED_VALUE"""),"KEM")</f>
        <v>KEM</v>
      </c>
      <c r="D2519" s="2" t="str">
        <f>LEFT(B2519,4)</f>
        <v>2016</v>
      </c>
      <c r="E2519" s="2" t="str">
        <f>MID(B2519,5,2)</f>
        <v>01</v>
      </c>
      <c r="F2519" s="2" t="str">
        <f>RIGHT(B2519,2)</f>
        <v>28</v>
      </c>
      <c r="G2519" s="29">
        <f>DATE(D2519,E2519,F2519)</f>
        <v>42397</v>
      </c>
    </row>
    <row r="2520" hidden="1">
      <c r="A2520" s="1" t="s">
        <v>642</v>
      </c>
    </row>
    <row r="2521" hidden="1">
      <c r="A2521" s="1" t="s">
        <v>643</v>
      </c>
    </row>
    <row r="2522">
      <c r="A2522" s="1" t="s">
        <v>1878</v>
      </c>
      <c r="B2522" s="2">
        <f>IFERROR(__xludf.DUMMYFUNCTION("SPLIT(A2522,""_"")"),2.0160128E7)</f>
        <v>20160128</v>
      </c>
      <c r="C2522" s="2" t="str">
        <f>IFERROR(__xludf.DUMMYFUNCTION("""COMPUTED_VALUE"""),"LLL")</f>
        <v>LLL</v>
      </c>
      <c r="D2522" s="2" t="str">
        <f>LEFT(B2522,4)</f>
        <v>2016</v>
      </c>
      <c r="E2522" s="2" t="str">
        <f>MID(B2522,5,2)</f>
        <v>01</v>
      </c>
      <c r="F2522" s="2" t="str">
        <f>RIGHT(B2522,2)</f>
        <v>28</v>
      </c>
      <c r="G2522" s="29">
        <f>DATE(D2522,E2522,F2522)</f>
        <v>42397</v>
      </c>
    </row>
    <row r="2523" hidden="1">
      <c r="A2523" s="1" t="s">
        <v>642</v>
      </c>
    </row>
    <row r="2524" hidden="1">
      <c r="A2524" s="1" t="s">
        <v>643</v>
      </c>
    </row>
    <row r="2525">
      <c r="A2525" s="1" t="s">
        <v>1879</v>
      </c>
      <c r="B2525" s="2">
        <f>IFERROR(__xludf.DUMMYFUNCTION("SPLIT(A2525,""_"")"),2.0160128E7)</f>
        <v>20160128</v>
      </c>
      <c r="C2525" s="2" t="str">
        <f>IFERROR(__xludf.DUMMYFUNCTION("""COMPUTED_VALUE"""),"MTH")</f>
        <v>MTH</v>
      </c>
      <c r="D2525" s="2" t="str">
        <f>LEFT(B2525,4)</f>
        <v>2016</v>
      </c>
      <c r="E2525" s="2" t="str">
        <f>MID(B2525,5,2)</f>
        <v>01</v>
      </c>
      <c r="F2525" s="2" t="str">
        <f>RIGHT(B2525,2)</f>
        <v>28</v>
      </c>
      <c r="G2525" s="29">
        <f>DATE(D2525,E2525,F2525)</f>
        <v>42397</v>
      </c>
    </row>
    <row r="2526" hidden="1">
      <c r="A2526" s="1" t="s">
        <v>642</v>
      </c>
    </row>
    <row r="2527" hidden="1">
      <c r="A2527" s="1" t="s">
        <v>643</v>
      </c>
    </row>
    <row r="2528">
      <c r="A2528" s="1" t="s">
        <v>1880</v>
      </c>
      <c r="B2528" s="2">
        <f>IFERROR(__xludf.DUMMYFUNCTION("SPLIT(A2528,""_"")"),2.0160128E7)</f>
        <v>20160128</v>
      </c>
      <c r="C2528" s="2" t="str">
        <f>IFERROR(__xludf.DUMMYFUNCTION("""COMPUTED_VALUE"""),"NDAQ")</f>
        <v>NDAQ</v>
      </c>
      <c r="D2528" s="2" t="str">
        <f>LEFT(B2528,4)</f>
        <v>2016</v>
      </c>
      <c r="E2528" s="2" t="str">
        <f>MID(B2528,5,2)</f>
        <v>01</v>
      </c>
      <c r="F2528" s="2" t="str">
        <f>RIGHT(B2528,2)</f>
        <v>28</v>
      </c>
      <c r="G2528" s="29">
        <f>DATE(D2528,E2528,F2528)</f>
        <v>42397</v>
      </c>
    </row>
    <row r="2529" hidden="1">
      <c r="A2529" s="1" t="s">
        <v>642</v>
      </c>
    </row>
    <row r="2530" hidden="1">
      <c r="A2530" s="1" t="s">
        <v>643</v>
      </c>
    </row>
    <row r="2531">
      <c r="A2531" s="1" t="s">
        <v>1881</v>
      </c>
      <c r="B2531" s="2">
        <f>IFERROR(__xludf.DUMMYFUNCTION("SPLIT(A2531,""_"")"),2.0160128E7)</f>
        <v>20160128</v>
      </c>
      <c r="C2531" s="2" t="str">
        <f>IFERROR(__xludf.DUMMYFUNCTION("""COMPUTED_VALUE"""),"NEE")</f>
        <v>NEE</v>
      </c>
      <c r="D2531" s="2" t="str">
        <f>LEFT(B2531,4)</f>
        <v>2016</v>
      </c>
      <c r="E2531" s="2" t="str">
        <f>MID(B2531,5,2)</f>
        <v>01</v>
      </c>
      <c r="F2531" s="2" t="str">
        <f>RIGHT(B2531,2)</f>
        <v>28</v>
      </c>
      <c r="G2531" s="29">
        <f>DATE(D2531,E2531,F2531)</f>
        <v>42397</v>
      </c>
    </row>
    <row r="2532" hidden="1">
      <c r="A2532" s="1" t="s">
        <v>642</v>
      </c>
    </row>
    <row r="2533" hidden="1">
      <c r="A2533" s="1" t="s">
        <v>643</v>
      </c>
    </row>
    <row r="2534">
      <c r="A2534" s="1" t="s">
        <v>1882</v>
      </c>
      <c r="B2534" s="2">
        <f>IFERROR(__xludf.DUMMYFUNCTION("SPLIT(A2534,""_"")"),2.0160128E7)</f>
        <v>20160128</v>
      </c>
      <c r="C2534" s="2" t="str">
        <f>IFERROR(__xludf.DUMMYFUNCTION("""COMPUTED_VALUE"""),"NOC")</f>
        <v>NOC</v>
      </c>
      <c r="D2534" s="2" t="str">
        <f>LEFT(B2534,4)</f>
        <v>2016</v>
      </c>
      <c r="E2534" s="2" t="str">
        <f>MID(B2534,5,2)</f>
        <v>01</v>
      </c>
      <c r="F2534" s="2" t="str">
        <f>RIGHT(B2534,2)</f>
        <v>28</v>
      </c>
      <c r="G2534" s="29">
        <f>DATE(D2534,E2534,F2534)</f>
        <v>42397</v>
      </c>
    </row>
    <row r="2535" hidden="1">
      <c r="A2535" s="1" t="s">
        <v>642</v>
      </c>
    </row>
    <row r="2536" hidden="1">
      <c r="A2536" s="1" t="s">
        <v>643</v>
      </c>
    </row>
    <row r="2537">
      <c r="A2537" s="1" t="s">
        <v>1883</v>
      </c>
      <c r="B2537" s="2">
        <f>IFERROR(__xludf.DUMMYFUNCTION("SPLIT(A2537,""_"")"),2.0160128E7)</f>
        <v>20160128</v>
      </c>
      <c r="C2537" s="2" t="str">
        <f>IFERROR(__xludf.DUMMYFUNCTION("""COMPUTED_VALUE"""),"QSII")</f>
        <v>QSII</v>
      </c>
      <c r="D2537" s="2" t="str">
        <f>LEFT(B2537,4)</f>
        <v>2016</v>
      </c>
      <c r="E2537" s="2" t="str">
        <f>MID(B2537,5,2)</f>
        <v>01</v>
      </c>
      <c r="F2537" s="2" t="str">
        <f>RIGHT(B2537,2)</f>
        <v>28</v>
      </c>
      <c r="G2537" s="29">
        <f>DATE(D2537,E2537,F2537)</f>
        <v>42397</v>
      </c>
    </row>
    <row r="2538" hidden="1">
      <c r="A2538" s="1" t="s">
        <v>642</v>
      </c>
    </row>
    <row r="2539" hidden="1">
      <c r="A2539" s="1" t="s">
        <v>643</v>
      </c>
    </row>
    <row r="2540">
      <c r="A2540" s="1" t="s">
        <v>1884</v>
      </c>
      <c r="B2540" s="2">
        <f>IFERROR(__xludf.DUMMYFUNCTION("SPLIT(A2540,""_"")"),2.0160128E7)</f>
        <v>20160128</v>
      </c>
      <c r="C2540" s="2" t="str">
        <f>IFERROR(__xludf.DUMMYFUNCTION("""COMPUTED_VALUE"""),"SWKS")</f>
        <v>SWKS</v>
      </c>
      <c r="D2540" s="2" t="str">
        <f>LEFT(B2540,4)</f>
        <v>2016</v>
      </c>
      <c r="E2540" s="2" t="str">
        <f>MID(B2540,5,2)</f>
        <v>01</v>
      </c>
      <c r="F2540" s="2" t="str">
        <f>RIGHT(B2540,2)</f>
        <v>28</v>
      </c>
      <c r="G2540" s="29">
        <f>DATE(D2540,E2540,F2540)</f>
        <v>42397</v>
      </c>
    </row>
    <row r="2541" hidden="1">
      <c r="A2541" s="1" t="s">
        <v>642</v>
      </c>
    </row>
    <row r="2542" hidden="1">
      <c r="A2542" s="1" t="s">
        <v>643</v>
      </c>
    </row>
    <row r="2543">
      <c r="A2543" s="1" t="s">
        <v>1885</v>
      </c>
      <c r="B2543" s="2">
        <f>IFERROR(__xludf.DUMMYFUNCTION("SPLIT(A2543,""_"")"),2.0160128E7)</f>
        <v>20160128</v>
      </c>
      <c r="C2543" s="2" t="str">
        <f>IFERROR(__xludf.DUMMYFUNCTION("""COMPUTED_VALUE"""),"SYNA")</f>
        <v>SYNA</v>
      </c>
      <c r="D2543" s="2" t="str">
        <f>LEFT(B2543,4)</f>
        <v>2016</v>
      </c>
      <c r="E2543" s="2" t="str">
        <f>MID(B2543,5,2)</f>
        <v>01</v>
      </c>
      <c r="F2543" s="2" t="str">
        <f>RIGHT(B2543,2)</f>
        <v>28</v>
      </c>
      <c r="G2543" s="29">
        <f>DATE(D2543,E2543,F2543)</f>
        <v>42397</v>
      </c>
    </row>
    <row r="2544" hidden="1">
      <c r="A2544" s="1" t="s">
        <v>642</v>
      </c>
    </row>
    <row r="2545" hidden="1">
      <c r="A2545" s="1" t="s">
        <v>643</v>
      </c>
    </row>
    <row r="2546">
      <c r="A2546" s="1" t="s">
        <v>1886</v>
      </c>
      <c r="B2546" s="2">
        <f>IFERROR(__xludf.DUMMYFUNCTION("SPLIT(A2546,""_"")"),2.0160128E7)</f>
        <v>20160128</v>
      </c>
      <c r="C2546" s="2" t="str">
        <f>IFERROR(__xludf.DUMMYFUNCTION("""COMPUTED_VALUE"""),"TGI")</f>
        <v>TGI</v>
      </c>
      <c r="D2546" s="2" t="str">
        <f>LEFT(B2546,4)</f>
        <v>2016</v>
      </c>
      <c r="E2546" s="2" t="str">
        <f>MID(B2546,5,2)</f>
        <v>01</v>
      </c>
      <c r="F2546" s="2" t="str">
        <f>RIGHT(B2546,2)</f>
        <v>28</v>
      </c>
      <c r="G2546" s="29">
        <f>DATE(D2546,E2546,F2546)</f>
        <v>42397</v>
      </c>
    </row>
    <row r="2547" hidden="1">
      <c r="A2547" s="1" t="s">
        <v>642</v>
      </c>
    </row>
    <row r="2548" hidden="1">
      <c r="A2548" s="1" t="s">
        <v>643</v>
      </c>
    </row>
    <row r="2549">
      <c r="A2549" s="1" t="s">
        <v>1887</v>
      </c>
      <c r="B2549" s="2">
        <f>IFERROR(__xludf.DUMMYFUNCTION("SPLIT(A2549,""_"")"),2.0160128E7)</f>
        <v>20160128</v>
      </c>
      <c r="C2549" s="2" t="str">
        <f>IFERROR(__xludf.DUMMYFUNCTION("""COMPUTED_VALUE"""),"WDC")</f>
        <v>WDC</v>
      </c>
      <c r="D2549" s="2" t="str">
        <f>LEFT(B2549,4)</f>
        <v>2016</v>
      </c>
      <c r="E2549" s="2" t="str">
        <f>MID(B2549,5,2)</f>
        <v>01</v>
      </c>
      <c r="F2549" s="2" t="str">
        <f>RIGHT(B2549,2)</f>
        <v>28</v>
      </c>
      <c r="G2549" s="29">
        <f>DATE(D2549,E2549,F2549)</f>
        <v>42397</v>
      </c>
    </row>
    <row r="2550" hidden="1">
      <c r="A2550" s="1" t="s">
        <v>642</v>
      </c>
    </row>
    <row r="2551" hidden="1">
      <c r="A2551" s="1" t="s">
        <v>643</v>
      </c>
    </row>
    <row r="2552">
      <c r="A2552" s="1" t="s">
        <v>1888</v>
      </c>
      <c r="B2552" s="2">
        <f>IFERROR(__xludf.DUMMYFUNCTION("SPLIT(A2552,""_"")"),2.0160129E7)</f>
        <v>20160129</v>
      </c>
      <c r="C2552" s="2" t="str">
        <f>IFERROR(__xludf.DUMMYFUNCTION("""COMPUTED_VALUE"""),"CVX")</f>
        <v>CVX</v>
      </c>
      <c r="D2552" s="2" t="str">
        <f>LEFT(B2552,4)</f>
        <v>2016</v>
      </c>
      <c r="E2552" s="2" t="str">
        <f>MID(B2552,5,2)</f>
        <v>01</v>
      </c>
      <c r="F2552" s="2" t="str">
        <f>RIGHT(B2552,2)</f>
        <v>29</v>
      </c>
      <c r="G2552" s="29">
        <f>DATE(D2552,E2552,F2552)</f>
        <v>42398</v>
      </c>
    </row>
    <row r="2553" hidden="1">
      <c r="A2553" s="1" t="s">
        <v>642</v>
      </c>
    </row>
    <row r="2554" hidden="1">
      <c r="A2554" s="1" t="s">
        <v>643</v>
      </c>
    </row>
    <row r="2555">
      <c r="A2555" s="1" t="s">
        <v>1889</v>
      </c>
      <c r="B2555" s="2">
        <f>IFERROR(__xludf.DUMMYFUNCTION("SPLIT(A2555,""_"")"),2.0160129E7)</f>
        <v>20160129</v>
      </c>
      <c r="C2555" s="2" t="str">
        <f>IFERROR(__xludf.DUMMYFUNCTION("""COMPUTED_VALUE"""),"HON")</f>
        <v>HON</v>
      </c>
      <c r="D2555" s="2" t="str">
        <f>LEFT(B2555,4)</f>
        <v>2016</v>
      </c>
      <c r="E2555" s="2" t="str">
        <f>MID(B2555,5,2)</f>
        <v>01</v>
      </c>
      <c r="F2555" s="2" t="str">
        <f>RIGHT(B2555,2)</f>
        <v>29</v>
      </c>
      <c r="G2555" s="29">
        <f>DATE(D2555,E2555,F2555)</f>
        <v>42398</v>
      </c>
    </row>
    <row r="2556" hidden="1">
      <c r="A2556" s="1" t="s">
        <v>642</v>
      </c>
    </row>
    <row r="2557" hidden="1">
      <c r="A2557" s="1" t="s">
        <v>643</v>
      </c>
    </row>
    <row r="2558">
      <c r="A2558" s="1" t="s">
        <v>1890</v>
      </c>
      <c r="B2558" s="2">
        <f>IFERROR(__xludf.DUMMYFUNCTION("SPLIT(A2558,""_"")"),2.0160129E7)</f>
        <v>20160129</v>
      </c>
      <c r="C2558" s="2" t="str">
        <f>IFERROR(__xludf.DUMMYFUNCTION("""COMPUTED_VALUE"""),"NWL")</f>
        <v>NWL</v>
      </c>
      <c r="D2558" s="2" t="str">
        <f>LEFT(B2558,4)</f>
        <v>2016</v>
      </c>
      <c r="E2558" s="2" t="str">
        <f>MID(B2558,5,2)</f>
        <v>01</v>
      </c>
      <c r="F2558" s="2" t="str">
        <f>RIGHT(B2558,2)</f>
        <v>29</v>
      </c>
      <c r="G2558" s="29">
        <f>DATE(D2558,E2558,F2558)</f>
        <v>42398</v>
      </c>
    </row>
    <row r="2559" hidden="1">
      <c r="A2559" s="1" t="s">
        <v>642</v>
      </c>
    </row>
    <row r="2560" hidden="1">
      <c r="A2560" s="1" t="s">
        <v>643</v>
      </c>
    </row>
    <row r="2561">
      <c r="A2561" s="1" t="s">
        <v>1891</v>
      </c>
      <c r="B2561" s="2">
        <f>IFERROR(__xludf.DUMMYFUNCTION("SPLIT(A2561,""_"")"),2.0160129E7)</f>
        <v>20160129</v>
      </c>
      <c r="C2561" s="2" t="str">
        <f>IFERROR(__xludf.DUMMYFUNCTION("""COMPUTED_VALUE"""),"SBSI")</f>
        <v>SBSI</v>
      </c>
      <c r="D2561" s="2" t="str">
        <f>LEFT(B2561,4)</f>
        <v>2016</v>
      </c>
      <c r="E2561" s="2" t="str">
        <f>MID(B2561,5,2)</f>
        <v>01</v>
      </c>
      <c r="F2561" s="2" t="str">
        <f>RIGHT(B2561,2)</f>
        <v>29</v>
      </c>
      <c r="G2561" s="29">
        <f>DATE(D2561,E2561,F2561)</f>
        <v>42398</v>
      </c>
    </row>
    <row r="2562" hidden="1">
      <c r="A2562" s="1" t="s">
        <v>642</v>
      </c>
    </row>
    <row r="2563" hidden="1">
      <c r="A2563" s="1" t="s">
        <v>643</v>
      </c>
    </row>
    <row r="2564">
      <c r="A2564" s="1" t="s">
        <v>1892</v>
      </c>
      <c r="B2564" s="2">
        <f>IFERROR(__xludf.DUMMYFUNCTION("SPLIT(A2564,""_"")"),2.0160129E7)</f>
        <v>20160129</v>
      </c>
      <c r="C2564" s="2" t="str">
        <f>IFERROR(__xludf.DUMMYFUNCTION("""COMPUTED_VALUE"""),"STX")</f>
        <v>STX</v>
      </c>
      <c r="D2564" s="2" t="str">
        <f>LEFT(B2564,4)</f>
        <v>2016</v>
      </c>
      <c r="E2564" s="2" t="str">
        <f>MID(B2564,5,2)</f>
        <v>01</v>
      </c>
      <c r="F2564" s="2" t="str">
        <f>RIGHT(B2564,2)</f>
        <v>29</v>
      </c>
      <c r="G2564" s="29">
        <f>DATE(D2564,E2564,F2564)</f>
        <v>42398</v>
      </c>
    </row>
    <row r="2565" hidden="1">
      <c r="A2565" s="1" t="s">
        <v>642</v>
      </c>
    </row>
    <row r="2566" hidden="1">
      <c r="A2566" s="1" t="s">
        <v>643</v>
      </c>
    </row>
    <row r="2567">
      <c r="A2567" s="1" t="s">
        <v>1893</v>
      </c>
      <c r="B2567" s="2">
        <f>IFERROR(__xludf.DUMMYFUNCTION("SPLIT(A2567,""_"")"),2.0160201E7)</f>
        <v>20160201</v>
      </c>
      <c r="C2567" s="2" t="str">
        <f>IFERROR(__xludf.DUMMYFUNCTION("""COMPUTED_VALUE"""),"AET")</f>
        <v>AET</v>
      </c>
      <c r="D2567" s="2" t="str">
        <f>LEFT(B2567,4)</f>
        <v>2016</v>
      </c>
      <c r="E2567" s="2" t="str">
        <f>MID(B2567,5,2)</f>
        <v>02</v>
      </c>
      <c r="F2567" s="2" t="str">
        <f>RIGHT(B2567,2)</f>
        <v>01</v>
      </c>
      <c r="G2567" s="29">
        <f>DATE(D2567,E2567,F2567)</f>
        <v>42401</v>
      </c>
    </row>
    <row r="2568" hidden="1">
      <c r="A2568" s="1" t="s">
        <v>642</v>
      </c>
    </row>
    <row r="2569" hidden="1">
      <c r="A2569" s="1" t="s">
        <v>643</v>
      </c>
    </row>
    <row r="2570">
      <c r="A2570" s="1" t="s">
        <v>1894</v>
      </c>
      <c r="B2570" s="2">
        <f>IFERROR(__xludf.DUMMYFUNCTION("SPLIT(A2570,""_"")"),2.0160201E7)</f>
        <v>20160201</v>
      </c>
      <c r="C2570" s="2" t="str">
        <f>IFERROR(__xludf.DUMMYFUNCTION("""COMPUTED_VALUE"""),"HRC")</f>
        <v>HRC</v>
      </c>
      <c r="D2570" s="2" t="str">
        <f>LEFT(B2570,4)</f>
        <v>2016</v>
      </c>
      <c r="E2570" s="2" t="str">
        <f>MID(B2570,5,2)</f>
        <v>02</v>
      </c>
      <c r="F2570" s="2" t="str">
        <f>RIGHT(B2570,2)</f>
        <v>01</v>
      </c>
      <c r="G2570" s="29">
        <f>DATE(D2570,E2570,F2570)</f>
        <v>42401</v>
      </c>
    </row>
    <row r="2571" hidden="1">
      <c r="A2571" s="1" t="s">
        <v>642</v>
      </c>
    </row>
    <row r="2572" hidden="1">
      <c r="A2572" s="1" t="s">
        <v>643</v>
      </c>
    </row>
    <row r="2573">
      <c r="A2573" s="1" t="s">
        <v>1895</v>
      </c>
      <c r="B2573" s="2">
        <f>IFERROR(__xludf.DUMMYFUNCTION("SPLIT(A2573,""_"")"),2.0160201E7)</f>
        <v>20160201</v>
      </c>
      <c r="C2573" s="2" t="str">
        <f>IFERROR(__xludf.DUMMYFUNCTION("""COMPUTED_VALUE"""),"MAT")</f>
        <v>MAT</v>
      </c>
      <c r="D2573" s="2" t="str">
        <f>LEFT(B2573,4)</f>
        <v>2016</v>
      </c>
      <c r="E2573" s="2" t="str">
        <f>MID(B2573,5,2)</f>
        <v>02</v>
      </c>
      <c r="F2573" s="2" t="str">
        <f>RIGHT(B2573,2)</f>
        <v>01</v>
      </c>
      <c r="G2573" s="29">
        <f>DATE(D2573,E2573,F2573)</f>
        <v>42401</v>
      </c>
    </row>
    <row r="2574" hidden="1">
      <c r="A2574" s="1" t="s">
        <v>642</v>
      </c>
    </row>
    <row r="2575" hidden="1">
      <c r="A2575" s="1" t="s">
        <v>643</v>
      </c>
    </row>
    <row r="2576">
      <c r="A2576" s="1" t="s">
        <v>1896</v>
      </c>
      <c r="B2576" s="2">
        <f>IFERROR(__xludf.DUMMYFUNCTION("SPLIT(A2576,""_"")"),2.0160201E7)</f>
        <v>20160201</v>
      </c>
      <c r="C2576" s="2" t="str">
        <f>IFERROR(__xludf.DUMMYFUNCTION("""COMPUTED_VALUE"""),"ONB")</f>
        <v>ONB</v>
      </c>
      <c r="D2576" s="2" t="str">
        <f>LEFT(B2576,4)</f>
        <v>2016</v>
      </c>
      <c r="E2576" s="2" t="str">
        <f>MID(B2576,5,2)</f>
        <v>02</v>
      </c>
      <c r="F2576" s="2" t="str">
        <f>RIGHT(B2576,2)</f>
        <v>01</v>
      </c>
      <c r="G2576" s="29">
        <f>DATE(D2576,E2576,F2576)</f>
        <v>42401</v>
      </c>
    </row>
    <row r="2577" hidden="1">
      <c r="A2577" s="1" t="s">
        <v>642</v>
      </c>
    </row>
    <row r="2578" hidden="1">
      <c r="A2578" s="1" t="s">
        <v>643</v>
      </c>
    </row>
    <row r="2579">
      <c r="A2579" s="1" t="s">
        <v>1897</v>
      </c>
      <c r="B2579" s="2">
        <f>IFERROR(__xludf.DUMMYFUNCTION("SPLIT(A2579,""_"")"),2.0160201E7)</f>
        <v>20160201</v>
      </c>
      <c r="C2579" s="2" t="str">
        <f>IFERROR(__xludf.DUMMYFUNCTION("""COMPUTED_VALUE"""),"PLT")</f>
        <v>PLT</v>
      </c>
      <c r="D2579" s="2" t="str">
        <f>LEFT(B2579,4)</f>
        <v>2016</v>
      </c>
      <c r="E2579" s="2" t="str">
        <f>MID(B2579,5,2)</f>
        <v>02</v>
      </c>
      <c r="F2579" s="2" t="str">
        <f>RIGHT(B2579,2)</f>
        <v>01</v>
      </c>
      <c r="G2579" s="29">
        <f>DATE(D2579,E2579,F2579)</f>
        <v>42401</v>
      </c>
    </row>
    <row r="2580" hidden="1">
      <c r="A2580" s="1" t="s">
        <v>642</v>
      </c>
    </row>
    <row r="2581" hidden="1">
      <c r="A2581" s="1" t="s">
        <v>643</v>
      </c>
    </row>
    <row r="2582">
      <c r="A2582" s="1" t="s">
        <v>1898</v>
      </c>
      <c r="B2582" s="2">
        <f>IFERROR(__xludf.DUMMYFUNCTION("SPLIT(A2582,""_"")"),2.0160201E7)</f>
        <v>20160201</v>
      </c>
      <c r="C2582" s="2" t="str">
        <f>IFERROR(__xludf.DUMMYFUNCTION("""COMPUTED_VALUE"""),"ROP")</f>
        <v>ROP</v>
      </c>
      <c r="D2582" s="2" t="str">
        <f>LEFT(B2582,4)</f>
        <v>2016</v>
      </c>
      <c r="E2582" s="2" t="str">
        <f>MID(B2582,5,2)</f>
        <v>02</v>
      </c>
      <c r="F2582" s="2" t="str">
        <f>RIGHT(B2582,2)</f>
        <v>01</v>
      </c>
      <c r="G2582" s="29">
        <f>DATE(D2582,E2582,F2582)</f>
        <v>42401</v>
      </c>
    </row>
    <row r="2583" hidden="1">
      <c r="A2583" s="1" t="s">
        <v>642</v>
      </c>
    </row>
    <row r="2584" hidden="1">
      <c r="A2584" s="1" t="s">
        <v>643</v>
      </c>
    </row>
    <row r="2585">
      <c r="A2585" s="1" t="s">
        <v>1899</v>
      </c>
      <c r="B2585" s="2">
        <f>IFERROR(__xludf.DUMMYFUNCTION("SPLIT(A2585,""_"")"),2.0160202E7)</f>
        <v>20160202</v>
      </c>
      <c r="C2585" s="2" t="str">
        <f>IFERROR(__xludf.DUMMYFUNCTION("""COMPUTED_VALUE"""),"ACLS")</f>
        <v>ACLS</v>
      </c>
      <c r="D2585" s="2" t="str">
        <f>LEFT(B2585,4)</f>
        <v>2016</v>
      </c>
      <c r="E2585" s="2" t="str">
        <f>MID(B2585,5,2)</f>
        <v>02</v>
      </c>
      <c r="F2585" s="2" t="str">
        <f>RIGHT(B2585,2)</f>
        <v>02</v>
      </c>
      <c r="G2585" s="29">
        <f>DATE(D2585,E2585,F2585)</f>
        <v>42402</v>
      </c>
    </row>
    <row r="2586" hidden="1">
      <c r="A2586" s="1" t="s">
        <v>642</v>
      </c>
    </row>
    <row r="2587" hidden="1">
      <c r="A2587" s="1" t="s">
        <v>643</v>
      </c>
    </row>
    <row r="2588">
      <c r="A2588" s="1" t="s">
        <v>1900</v>
      </c>
      <c r="B2588" s="2">
        <f>IFERROR(__xludf.DUMMYFUNCTION("SPLIT(A2588,""_"")"),2.0160202E7)</f>
        <v>20160202</v>
      </c>
      <c r="C2588" s="2" t="str">
        <f>IFERROR(__xludf.DUMMYFUNCTION("""COMPUTED_VALUE"""),"AGCO")</f>
        <v>AGCO</v>
      </c>
      <c r="D2588" s="2" t="str">
        <f>LEFT(B2588,4)</f>
        <v>2016</v>
      </c>
      <c r="E2588" s="2" t="str">
        <f>MID(B2588,5,2)</f>
        <v>02</v>
      </c>
      <c r="F2588" s="2" t="str">
        <f>RIGHT(B2588,2)</f>
        <v>02</v>
      </c>
      <c r="G2588" s="29">
        <f>DATE(D2588,E2588,F2588)</f>
        <v>42402</v>
      </c>
    </row>
    <row r="2589" hidden="1">
      <c r="A2589" s="1" t="s">
        <v>642</v>
      </c>
    </row>
    <row r="2590" hidden="1">
      <c r="A2590" s="1" t="s">
        <v>643</v>
      </c>
    </row>
    <row r="2591">
      <c r="A2591" s="1" t="s">
        <v>1901</v>
      </c>
      <c r="B2591" s="2">
        <f>IFERROR(__xludf.DUMMYFUNCTION("SPLIT(A2591,""_"")"),2.0160202E7)</f>
        <v>20160202</v>
      </c>
      <c r="C2591" s="2" t="str">
        <f>IFERROR(__xludf.DUMMYFUNCTION("""COMPUTED_VALUE"""),"FISV")</f>
        <v>FISV</v>
      </c>
      <c r="D2591" s="2" t="str">
        <f>LEFT(B2591,4)</f>
        <v>2016</v>
      </c>
      <c r="E2591" s="2" t="str">
        <f>MID(B2591,5,2)</f>
        <v>02</v>
      </c>
      <c r="F2591" s="2" t="str">
        <f>RIGHT(B2591,2)</f>
        <v>02</v>
      </c>
      <c r="G2591" s="29">
        <f>DATE(D2591,E2591,F2591)</f>
        <v>42402</v>
      </c>
    </row>
    <row r="2592" hidden="1">
      <c r="A2592" s="1" t="s">
        <v>642</v>
      </c>
    </row>
    <row r="2593" hidden="1">
      <c r="A2593" s="1" t="s">
        <v>643</v>
      </c>
    </row>
    <row r="2594">
      <c r="A2594" s="1" t="s">
        <v>1902</v>
      </c>
      <c r="B2594" s="2">
        <f>IFERROR(__xludf.DUMMYFUNCTION("SPLIT(A2594,""_"")"),2.0160202E7)</f>
        <v>20160202</v>
      </c>
      <c r="C2594" s="2" t="str">
        <f>IFERROR(__xludf.DUMMYFUNCTION("""COMPUTED_VALUE"""),"PFE")</f>
        <v>PFE</v>
      </c>
      <c r="D2594" s="2" t="str">
        <f>LEFT(B2594,4)</f>
        <v>2016</v>
      </c>
      <c r="E2594" s="2" t="str">
        <f>MID(B2594,5,2)</f>
        <v>02</v>
      </c>
      <c r="F2594" s="2" t="str">
        <f>RIGHT(B2594,2)</f>
        <v>02</v>
      </c>
      <c r="G2594" s="29">
        <f>DATE(D2594,E2594,F2594)</f>
        <v>42402</v>
      </c>
    </row>
    <row r="2595" hidden="1">
      <c r="A2595" s="1" t="s">
        <v>642</v>
      </c>
    </row>
    <row r="2596" hidden="1">
      <c r="A2596" s="1" t="s">
        <v>643</v>
      </c>
    </row>
    <row r="2597">
      <c r="A2597" s="1" t="s">
        <v>1903</v>
      </c>
      <c r="B2597" s="2">
        <f>IFERROR(__xludf.DUMMYFUNCTION("SPLIT(A2597,""_"")"),2.0160202E7)</f>
        <v>20160202</v>
      </c>
      <c r="C2597" s="2" t="str">
        <f>IFERROR(__xludf.DUMMYFUNCTION("""COMPUTED_VALUE"""),"PNR")</f>
        <v>PNR</v>
      </c>
      <c r="D2597" s="2" t="str">
        <f>LEFT(B2597,4)</f>
        <v>2016</v>
      </c>
      <c r="E2597" s="2" t="str">
        <f>MID(B2597,5,2)</f>
        <v>02</v>
      </c>
      <c r="F2597" s="2" t="str">
        <f>RIGHT(B2597,2)</f>
        <v>02</v>
      </c>
      <c r="G2597" s="29">
        <f>DATE(D2597,E2597,F2597)</f>
        <v>42402</v>
      </c>
    </row>
    <row r="2598" hidden="1">
      <c r="A2598" s="1" t="s">
        <v>642</v>
      </c>
    </row>
    <row r="2599" hidden="1">
      <c r="A2599" s="1" t="s">
        <v>643</v>
      </c>
    </row>
    <row r="2600">
      <c r="A2600" s="1" t="s">
        <v>1904</v>
      </c>
      <c r="B2600" s="2">
        <f>IFERROR(__xludf.DUMMYFUNCTION("SPLIT(A2600,""_"")"),2.0160202E7)</f>
        <v>20160202</v>
      </c>
      <c r="C2600" s="2" t="str">
        <f>IFERROR(__xludf.DUMMYFUNCTION("""COMPUTED_VALUE"""),"RHI")</f>
        <v>RHI</v>
      </c>
      <c r="D2600" s="2" t="str">
        <f>LEFT(B2600,4)</f>
        <v>2016</v>
      </c>
      <c r="E2600" s="2" t="str">
        <f>MID(B2600,5,2)</f>
        <v>02</v>
      </c>
      <c r="F2600" s="2" t="str">
        <f>RIGHT(B2600,2)</f>
        <v>02</v>
      </c>
      <c r="G2600" s="29">
        <f>DATE(D2600,E2600,F2600)</f>
        <v>42402</v>
      </c>
    </row>
    <row r="2601" hidden="1">
      <c r="A2601" s="1" t="s">
        <v>642</v>
      </c>
    </row>
    <row r="2602" hidden="1">
      <c r="A2602" s="1" t="s">
        <v>643</v>
      </c>
    </row>
    <row r="2603">
      <c r="A2603" s="1" t="s">
        <v>1905</v>
      </c>
      <c r="B2603" s="2">
        <f>IFERROR(__xludf.DUMMYFUNCTION("SPLIT(A2603,""_"")"),2.0160202E7)</f>
        <v>20160202</v>
      </c>
      <c r="C2603" s="2" t="str">
        <f>IFERROR(__xludf.DUMMYFUNCTION("""COMPUTED_VALUE"""),"SXI")</f>
        <v>SXI</v>
      </c>
      <c r="D2603" s="2" t="str">
        <f>LEFT(B2603,4)</f>
        <v>2016</v>
      </c>
      <c r="E2603" s="2" t="str">
        <f>MID(B2603,5,2)</f>
        <v>02</v>
      </c>
      <c r="F2603" s="2" t="str">
        <f>RIGHT(B2603,2)</f>
        <v>02</v>
      </c>
      <c r="G2603" s="29">
        <f>DATE(D2603,E2603,F2603)</f>
        <v>42402</v>
      </c>
    </row>
    <row r="2604" hidden="1">
      <c r="A2604" s="1" t="s">
        <v>642</v>
      </c>
    </row>
    <row r="2605" hidden="1">
      <c r="A2605" s="1" t="s">
        <v>643</v>
      </c>
    </row>
    <row r="2606">
      <c r="A2606" s="1" t="s">
        <v>1906</v>
      </c>
      <c r="B2606" s="2">
        <f>IFERROR(__xludf.DUMMYFUNCTION("SPLIT(A2606,""_"")"),2.0160202E7)</f>
        <v>20160202</v>
      </c>
      <c r="C2606" s="2" t="str">
        <f>IFERROR(__xludf.DUMMYFUNCTION("""COMPUTED_VALUE"""),"WRB")</f>
        <v>WRB</v>
      </c>
      <c r="D2606" s="2" t="str">
        <f>LEFT(B2606,4)</f>
        <v>2016</v>
      </c>
      <c r="E2606" s="2" t="str">
        <f>MID(B2606,5,2)</f>
        <v>02</v>
      </c>
      <c r="F2606" s="2" t="str">
        <f>RIGHT(B2606,2)</f>
        <v>02</v>
      </c>
      <c r="G2606" s="29">
        <f>DATE(D2606,E2606,F2606)</f>
        <v>42402</v>
      </c>
    </row>
    <row r="2607" hidden="1">
      <c r="A2607" s="1" t="s">
        <v>642</v>
      </c>
    </row>
    <row r="2608" hidden="1">
      <c r="A2608" s="1" t="s">
        <v>643</v>
      </c>
    </row>
    <row r="2609">
      <c r="A2609" s="1" t="s">
        <v>1907</v>
      </c>
      <c r="B2609" s="2">
        <f>IFERROR(__xludf.DUMMYFUNCTION("SPLIT(A2609,""_"")"),2.0160203E7)</f>
        <v>20160203</v>
      </c>
      <c r="C2609" s="2" t="str">
        <f>IFERROR(__xludf.DUMMYFUNCTION("""COMPUTED_VALUE"""),"ALXN")</f>
        <v>ALXN</v>
      </c>
      <c r="D2609" s="2" t="str">
        <f>LEFT(B2609,4)</f>
        <v>2016</v>
      </c>
      <c r="E2609" s="2" t="str">
        <f>MID(B2609,5,2)</f>
        <v>02</v>
      </c>
      <c r="F2609" s="2" t="str">
        <f>RIGHT(B2609,2)</f>
        <v>03</v>
      </c>
      <c r="G2609" s="29">
        <f>DATE(D2609,E2609,F2609)</f>
        <v>42403</v>
      </c>
    </row>
    <row r="2610" hidden="1">
      <c r="A2610" s="1" t="s">
        <v>642</v>
      </c>
    </row>
    <row r="2611" hidden="1">
      <c r="A2611" s="1" t="s">
        <v>643</v>
      </c>
    </row>
    <row r="2612">
      <c r="A2612" s="1" t="s">
        <v>1908</v>
      </c>
      <c r="B2612" s="2">
        <f>IFERROR(__xludf.DUMMYFUNCTION("SPLIT(A2612,""_"")"),2.0160203E7)</f>
        <v>20160203</v>
      </c>
      <c r="C2612" s="2" t="str">
        <f>IFERROR(__xludf.DUMMYFUNCTION("""COMPUTED_VALUE"""),"AVY")</f>
        <v>AVY</v>
      </c>
      <c r="D2612" s="2" t="str">
        <f>LEFT(B2612,4)</f>
        <v>2016</v>
      </c>
      <c r="E2612" s="2" t="str">
        <f>MID(B2612,5,2)</f>
        <v>02</v>
      </c>
      <c r="F2612" s="2" t="str">
        <f>RIGHT(B2612,2)</f>
        <v>03</v>
      </c>
      <c r="G2612" s="29">
        <f>DATE(D2612,E2612,F2612)</f>
        <v>42403</v>
      </c>
    </row>
    <row r="2613" hidden="1">
      <c r="A2613" s="1" t="s">
        <v>642</v>
      </c>
    </row>
    <row r="2614" hidden="1">
      <c r="A2614" s="1" t="s">
        <v>643</v>
      </c>
    </row>
    <row r="2615">
      <c r="A2615" s="1" t="s">
        <v>1909</v>
      </c>
      <c r="B2615" s="2">
        <f>IFERROR(__xludf.DUMMYFUNCTION("SPLIT(A2615,""_"")"),2.0160203E7)</f>
        <v>20160203</v>
      </c>
      <c r="C2615" s="2" t="str">
        <f>IFERROR(__xludf.DUMMYFUNCTION("""COMPUTED_VALUE"""),"ENR")</f>
        <v>ENR</v>
      </c>
      <c r="D2615" s="2" t="str">
        <f>LEFT(B2615,4)</f>
        <v>2016</v>
      </c>
      <c r="E2615" s="2" t="str">
        <f>MID(B2615,5,2)</f>
        <v>02</v>
      </c>
      <c r="F2615" s="2" t="str">
        <f>RIGHT(B2615,2)</f>
        <v>03</v>
      </c>
      <c r="G2615" s="29">
        <f>DATE(D2615,E2615,F2615)</f>
        <v>42403</v>
      </c>
    </row>
    <row r="2616" hidden="1">
      <c r="A2616" s="1" t="s">
        <v>642</v>
      </c>
    </row>
    <row r="2617" hidden="1">
      <c r="A2617" s="1" t="s">
        <v>643</v>
      </c>
    </row>
    <row r="2618">
      <c r="A2618" s="1" t="s">
        <v>1910</v>
      </c>
      <c r="B2618" s="2">
        <f>IFERROR(__xludf.DUMMYFUNCTION("SPLIT(A2618,""_"")"),2.0160203E7)</f>
        <v>20160203</v>
      </c>
      <c r="C2618" s="2" t="str">
        <f>IFERROR(__xludf.DUMMYFUNCTION("""COMPUTED_VALUE"""),"ETN")</f>
        <v>ETN</v>
      </c>
      <c r="D2618" s="2" t="str">
        <f>LEFT(B2618,4)</f>
        <v>2016</v>
      </c>
      <c r="E2618" s="2" t="str">
        <f>MID(B2618,5,2)</f>
        <v>02</v>
      </c>
      <c r="F2618" s="2" t="str">
        <f>RIGHT(B2618,2)</f>
        <v>03</v>
      </c>
      <c r="G2618" s="29">
        <f>DATE(D2618,E2618,F2618)</f>
        <v>42403</v>
      </c>
    </row>
    <row r="2619" hidden="1">
      <c r="A2619" s="1" t="s">
        <v>642</v>
      </c>
    </row>
    <row r="2620" hidden="1">
      <c r="A2620" s="1" t="s">
        <v>643</v>
      </c>
    </row>
    <row r="2621">
      <c r="A2621" s="1" t="s">
        <v>1911</v>
      </c>
      <c r="B2621" s="2">
        <f>IFERROR(__xludf.DUMMYFUNCTION("SPLIT(A2621,""_"")"),2.0160203E7)</f>
        <v>20160203</v>
      </c>
      <c r="C2621" s="2" t="str">
        <f>IFERROR(__xludf.DUMMYFUNCTION("""COMPUTED_VALUE"""),"EXPO")</f>
        <v>EXPO</v>
      </c>
      <c r="D2621" s="2" t="str">
        <f>LEFT(B2621,4)</f>
        <v>2016</v>
      </c>
      <c r="E2621" s="2" t="str">
        <f>MID(B2621,5,2)</f>
        <v>02</v>
      </c>
      <c r="F2621" s="2" t="str">
        <f>RIGHT(B2621,2)</f>
        <v>03</v>
      </c>
      <c r="G2621" s="29">
        <f>DATE(D2621,E2621,F2621)</f>
        <v>42403</v>
      </c>
    </row>
    <row r="2622" hidden="1">
      <c r="A2622" s="1" t="s">
        <v>642</v>
      </c>
    </row>
    <row r="2623" hidden="1">
      <c r="A2623" s="1" t="s">
        <v>643</v>
      </c>
    </row>
    <row r="2624">
      <c r="A2624" s="1" t="s">
        <v>1912</v>
      </c>
      <c r="B2624" s="2">
        <f>IFERROR(__xludf.DUMMYFUNCTION("SPLIT(A2624,""_"")"),2.0160203E7)</f>
        <v>20160203</v>
      </c>
      <c r="C2624" s="2" t="str">
        <f>IFERROR(__xludf.DUMMYFUNCTION("""COMPUTED_VALUE"""),"FBHS")</f>
        <v>FBHS</v>
      </c>
      <c r="D2624" s="2" t="str">
        <f>LEFT(B2624,4)</f>
        <v>2016</v>
      </c>
      <c r="E2624" s="2" t="str">
        <f>MID(B2624,5,2)</f>
        <v>02</v>
      </c>
      <c r="F2624" s="2" t="str">
        <f>RIGHT(B2624,2)</f>
        <v>03</v>
      </c>
      <c r="G2624" s="29">
        <f>DATE(D2624,E2624,F2624)</f>
        <v>42403</v>
      </c>
    </row>
    <row r="2625" hidden="1">
      <c r="A2625" s="1" t="s">
        <v>642</v>
      </c>
    </row>
    <row r="2626" hidden="1">
      <c r="A2626" s="1" t="s">
        <v>643</v>
      </c>
    </row>
    <row r="2627">
      <c r="A2627" s="1" t="s">
        <v>1913</v>
      </c>
      <c r="B2627" s="2">
        <f>IFERROR(__xludf.DUMMYFUNCTION("SPLIT(A2627,""_"")"),2.0160203E7)</f>
        <v>20160203</v>
      </c>
      <c r="C2627" s="2" t="str">
        <f>IFERROR(__xludf.DUMMYFUNCTION("""COMPUTED_VALUE"""),"JLL")</f>
        <v>JLL</v>
      </c>
      <c r="D2627" s="2" t="str">
        <f>LEFT(B2627,4)</f>
        <v>2016</v>
      </c>
      <c r="E2627" s="2" t="str">
        <f>MID(B2627,5,2)</f>
        <v>02</v>
      </c>
      <c r="F2627" s="2" t="str">
        <f>RIGHT(B2627,2)</f>
        <v>03</v>
      </c>
      <c r="G2627" s="29">
        <f>DATE(D2627,E2627,F2627)</f>
        <v>42403</v>
      </c>
    </row>
    <row r="2628" hidden="1">
      <c r="A2628" s="1" t="s">
        <v>642</v>
      </c>
    </row>
    <row r="2629" hidden="1">
      <c r="A2629" s="1" t="s">
        <v>643</v>
      </c>
    </row>
    <row r="2630">
      <c r="A2630" s="1" t="s">
        <v>1914</v>
      </c>
      <c r="B2630" s="2">
        <f>IFERROR(__xludf.DUMMYFUNCTION("SPLIT(A2630,""_"")"),2.0160203E7)</f>
        <v>20160203</v>
      </c>
      <c r="C2630" s="2" t="str">
        <f>IFERROR(__xludf.DUMMYFUNCTION("""COMPUTED_VALUE"""),"KLIC")</f>
        <v>KLIC</v>
      </c>
      <c r="D2630" s="2" t="str">
        <f>LEFT(B2630,4)</f>
        <v>2016</v>
      </c>
      <c r="E2630" s="2" t="str">
        <f>MID(B2630,5,2)</f>
        <v>02</v>
      </c>
      <c r="F2630" s="2" t="str">
        <f>RIGHT(B2630,2)</f>
        <v>03</v>
      </c>
      <c r="G2630" s="29">
        <f>DATE(D2630,E2630,F2630)</f>
        <v>42403</v>
      </c>
    </row>
    <row r="2631" hidden="1">
      <c r="A2631" s="1" t="s">
        <v>642</v>
      </c>
    </row>
    <row r="2632" hidden="1">
      <c r="A2632" s="1" t="s">
        <v>643</v>
      </c>
    </row>
    <row r="2633">
      <c r="A2633" s="1" t="s">
        <v>1915</v>
      </c>
      <c r="B2633" s="2">
        <f>IFERROR(__xludf.DUMMYFUNCTION("SPLIT(A2633,""_"")"),2.0160203E7)</f>
        <v>20160203</v>
      </c>
      <c r="C2633" s="2" t="str">
        <f>IFERROR(__xludf.DUMMYFUNCTION("""COMPUTED_VALUE"""),"MDC")</f>
        <v>MDC</v>
      </c>
      <c r="D2633" s="2" t="str">
        <f>LEFT(B2633,4)</f>
        <v>2016</v>
      </c>
      <c r="E2633" s="2" t="str">
        <f>MID(B2633,5,2)</f>
        <v>02</v>
      </c>
      <c r="F2633" s="2" t="str">
        <f>RIGHT(B2633,2)</f>
        <v>03</v>
      </c>
      <c r="G2633" s="29">
        <f>DATE(D2633,E2633,F2633)</f>
        <v>42403</v>
      </c>
    </row>
    <row r="2634" hidden="1">
      <c r="A2634" s="1" t="s">
        <v>642</v>
      </c>
    </row>
    <row r="2635" hidden="1">
      <c r="A2635" s="1" t="s">
        <v>643</v>
      </c>
    </row>
    <row r="2636">
      <c r="A2636" s="1" t="s">
        <v>1916</v>
      </c>
      <c r="B2636" s="2">
        <f>IFERROR(__xludf.DUMMYFUNCTION("SPLIT(A2636,""_"")"),2.0160203E7)</f>
        <v>20160203</v>
      </c>
      <c r="C2636" s="2" t="str">
        <f>IFERROR(__xludf.DUMMYFUNCTION("""COMPUTED_VALUE"""),"OSUR")</f>
        <v>OSUR</v>
      </c>
      <c r="D2636" s="2" t="str">
        <f>LEFT(B2636,4)</f>
        <v>2016</v>
      </c>
      <c r="E2636" s="2" t="str">
        <f>MID(B2636,5,2)</f>
        <v>02</v>
      </c>
      <c r="F2636" s="2" t="str">
        <f>RIGHT(B2636,2)</f>
        <v>03</v>
      </c>
      <c r="G2636" s="29">
        <f>DATE(D2636,E2636,F2636)</f>
        <v>42403</v>
      </c>
    </row>
    <row r="2637" hidden="1">
      <c r="A2637" s="1" t="s">
        <v>642</v>
      </c>
    </row>
    <row r="2638" hidden="1">
      <c r="A2638" s="1" t="s">
        <v>643</v>
      </c>
    </row>
    <row r="2639">
      <c r="A2639" s="1" t="s">
        <v>1917</v>
      </c>
      <c r="B2639" s="2">
        <f>IFERROR(__xludf.DUMMYFUNCTION("SPLIT(A2639,""_"")"),2.0160203E7)</f>
        <v>20160203</v>
      </c>
      <c r="C2639" s="2" t="str">
        <f>IFERROR(__xludf.DUMMYFUNCTION("""COMPUTED_VALUE"""),"POL")</f>
        <v>POL</v>
      </c>
      <c r="D2639" s="2" t="str">
        <f>LEFT(B2639,4)</f>
        <v>2016</v>
      </c>
      <c r="E2639" s="2" t="str">
        <f>MID(B2639,5,2)</f>
        <v>02</v>
      </c>
      <c r="F2639" s="2" t="str">
        <f>RIGHT(B2639,2)</f>
        <v>03</v>
      </c>
      <c r="G2639" s="29">
        <f>DATE(D2639,E2639,F2639)</f>
        <v>42403</v>
      </c>
    </row>
    <row r="2640" hidden="1">
      <c r="A2640" s="1" t="s">
        <v>642</v>
      </c>
    </row>
    <row r="2641" hidden="1">
      <c r="A2641" s="1" t="s">
        <v>643</v>
      </c>
    </row>
    <row r="2642">
      <c r="A2642" s="1" t="s">
        <v>1918</v>
      </c>
      <c r="B2642" s="2">
        <f>IFERROR(__xludf.DUMMYFUNCTION("SPLIT(A2642,""_"")"),2.0160203E7)</f>
        <v>20160203</v>
      </c>
      <c r="C2642" s="2" t="str">
        <f>IFERROR(__xludf.DUMMYFUNCTION("""COMPUTED_VALUE"""),"POWL")</f>
        <v>POWL</v>
      </c>
      <c r="D2642" s="2" t="str">
        <f>LEFT(B2642,4)</f>
        <v>2016</v>
      </c>
      <c r="E2642" s="2" t="str">
        <f>MID(B2642,5,2)</f>
        <v>02</v>
      </c>
      <c r="F2642" s="2" t="str">
        <f>RIGHT(B2642,2)</f>
        <v>03</v>
      </c>
      <c r="G2642" s="29">
        <f>DATE(D2642,E2642,F2642)</f>
        <v>42403</v>
      </c>
    </row>
    <row r="2643" hidden="1">
      <c r="A2643" s="1" t="s">
        <v>642</v>
      </c>
    </row>
    <row r="2644" hidden="1">
      <c r="A2644" s="1" t="s">
        <v>643</v>
      </c>
    </row>
    <row r="2645">
      <c r="A2645" s="1" t="s">
        <v>1919</v>
      </c>
      <c r="B2645" s="2">
        <f>IFERROR(__xludf.DUMMYFUNCTION("SPLIT(A2645,""_"")"),2.0160203E7)</f>
        <v>20160203</v>
      </c>
      <c r="C2645" s="2" t="str">
        <f>IFERROR(__xludf.DUMMYFUNCTION("""COMPUTED_VALUE"""),"TTWO")</f>
        <v>TTWO</v>
      </c>
      <c r="D2645" s="2" t="str">
        <f>LEFT(B2645,4)</f>
        <v>2016</v>
      </c>
      <c r="E2645" s="2" t="str">
        <f>MID(B2645,5,2)</f>
        <v>02</v>
      </c>
      <c r="F2645" s="2" t="str">
        <f>RIGHT(B2645,2)</f>
        <v>03</v>
      </c>
      <c r="G2645" s="29">
        <f>DATE(D2645,E2645,F2645)</f>
        <v>42403</v>
      </c>
    </row>
    <row r="2646" hidden="1">
      <c r="A2646" s="1" t="s">
        <v>642</v>
      </c>
    </row>
    <row r="2647" hidden="1">
      <c r="A2647" s="1" t="s">
        <v>643</v>
      </c>
    </row>
    <row r="2648">
      <c r="A2648" s="1" t="s">
        <v>1920</v>
      </c>
      <c r="B2648" s="2">
        <f>IFERROR(__xludf.DUMMYFUNCTION("SPLIT(A2648,""_"")"),2.0160204E7)</f>
        <v>20160204</v>
      </c>
      <c r="C2648" s="2" t="str">
        <f>IFERROR(__xludf.DUMMYFUNCTION("""COMPUTED_VALUE"""),"ABG")</f>
        <v>ABG</v>
      </c>
      <c r="D2648" s="2" t="str">
        <f>LEFT(B2648,4)</f>
        <v>2016</v>
      </c>
      <c r="E2648" s="2" t="str">
        <f>MID(B2648,5,2)</f>
        <v>02</v>
      </c>
      <c r="F2648" s="2" t="str">
        <f>RIGHT(B2648,2)</f>
        <v>04</v>
      </c>
      <c r="G2648" s="29">
        <f>DATE(D2648,E2648,F2648)</f>
        <v>42404</v>
      </c>
    </row>
    <row r="2649" hidden="1">
      <c r="A2649" s="1" t="s">
        <v>642</v>
      </c>
    </row>
    <row r="2650" hidden="1">
      <c r="A2650" s="1" t="s">
        <v>643</v>
      </c>
    </row>
    <row r="2651">
      <c r="A2651" s="1" t="s">
        <v>1921</v>
      </c>
      <c r="B2651" s="2">
        <f>IFERROR(__xludf.DUMMYFUNCTION("SPLIT(A2651,""_"")"),2.0160204E7)</f>
        <v>20160204</v>
      </c>
      <c r="C2651" s="2" t="str">
        <f>IFERROR(__xludf.DUMMYFUNCTION("""COMPUTED_VALUE"""),"ATGE")</f>
        <v>ATGE</v>
      </c>
      <c r="D2651" s="2" t="str">
        <f>LEFT(B2651,4)</f>
        <v>2016</v>
      </c>
      <c r="E2651" s="2" t="str">
        <f>MID(B2651,5,2)</f>
        <v>02</v>
      </c>
      <c r="F2651" s="2" t="str">
        <f>RIGHT(B2651,2)</f>
        <v>04</v>
      </c>
      <c r="G2651" s="29">
        <f>DATE(D2651,E2651,F2651)</f>
        <v>42404</v>
      </c>
    </row>
    <row r="2652" hidden="1">
      <c r="A2652" s="1" t="s">
        <v>642</v>
      </c>
    </row>
    <row r="2653" hidden="1">
      <c r="A2653" s="1" t="s">
        <v>643</v>
      </c>
    </row>
    <row r="2654">
      <c r="A2654" s="1" t="s">
        <v>1922</v>
      </c>
      <c r="B2654" s="2">
        <f>IFERROR(__xludf.DUMMYFUNCTION("SPLIT(A2654,""_"")"),2.0160204E7)</f>
        <v>20160204</v>
      </c>
      <c r="C2654" s="2" t="str">
        <f>IFERROR(__xludf.DUMMYFUNCTION("""COMPUTED_VALUE"""),"CSL")</f>
        <v>CSL</v>
      </c>
      <c r="D2654" s="2" t="str">
        <f>LEFT(B2654,4)</f>
        <v>2016</v>
      </c>
      <c r="E2654" s="2" t="str">
        <f>MID(B2654,5,2)</f>
        <v>02</v>
      </c>
      <c r="F2654" s="2" t="str">
        <f>RIGHT(B2654,2)</f>
        <v>04</v>
      </c>
      <c r="G2654" s="29">
        <f>DATE(D2654,E2654,F2654)</f>
        <v>42404</v>
      </c>
    </row>
    <row r="2655" hidden="1">
      <c r="A2655" s="1" t="s">
        <v>642</v>
      </c>
    </row>
    <row r="2656" hidden="1">
      <c r="A2656" s="1" t="s">
        <v>643</v>
      </c>
    </row>
    <row r="2657">
      <c r="A2657" s="1" t="s">
        <v>1923</v>
      </c>
      <c r="B2657" s="2">
        <f>IFERROR(__xludf.DUMMYFUNCTION("SPLIT(A2657,""_"")"),2.0160204E7)</f>
        <v>20160204</v>
      </c>
      <c r="C2657" s="2" t="str">
        <f>IFERROR(__xludf.DUMMYFUNCTION("""COMPUTED_VALUE"""),"ELY")</f>
        <v>ELY</v>
      </c>
      <c r="D2657" s="2" t="str">
        <f>LEFT(B2657,4)</f>
        <v>2016</v>
      </c>
      <c r="E2657" s="2" t="str">
        <f>MID(B2657,5,2)</f>
        <v>02</v>
      </c>
      <c r="F2657" s="2" t="str">
        <f>RIGHT(B2657,2)</f>
        <v>04</v>
      </c>
      <c r="G2657" s="29">
        <f>DATE(D2657,E2657,F2657)</f>
        <v>42404</v>
      </c>
    </row>
    <row r="2658" hidden="1">
      <c r="A2658" s="1" t="s">
        <v>642</v>
      </c>
    </row>
    <row r="2659" hidden="1">
      <c r="A2659" s="1" t="s">
        <v>643</v>
      </c>
    </row>
    <row r="2660">
      <c r="A2660" s="1" t="s">
        <v>1924</v>
      </c>
      <c r="B2660" s="2">
        <f>IFERROR(__xludf.DUMMYFUNCTION("SPLIT(A2660,""_"")"),2.0160204E7)</f>
        <v>20160204</v>
      </c>
      <c r="C2660" s="2" t="str">
        <f>IFERROR(__xludf.DUMMYFUNCTION("""COMPUTED_VALUE"""),"HZO")</f>
        <v>HZO</v>
      </c>
      <c r="D2660" s="2" t="str">
        <f>LEFT(B2660,4)</f>
        <v>2016</v>
      </c>
      <c r="E2660" s="2" t="str">
        <f>MID(B2660,5,2)</f>
        <v>02</v>
      </c>
      <c r="F2660" s="2" t="str">
        <f>RIGHT(B2660,2)</f>
        <v>04</v>
      </c>
      <c r="G2660" s="29">
        <f>DATE(D2660,E2660,F2660)</f>
        <v>42404</v>
      </c>
    </row>
    <row r="2661" hidden="1">
      <c r="A2661" s="1" t="s">
        <v>642</v>
      </c>
    </row>
    <row r="2662" hidden="1">
      <c r="A2662" s="1" t="s">
        <v>643</v>
      </c>
    </row>
    <row r="2663">
      <c r="A2663" s="1" t="s">
        <v>1925</v>
      </c>
      <c r="B2663" s="2">
        <f>IFERROR(__xludf.DUMMYFUNCTION("SPLIT(A2663,""_"")"),2.0160204E7)</f>
        <v>20160204</v>
      </c>
      <c r="C2663" s="2" t="str">
        <f>IFERROR(__xludf.DUMMYFUNCTION("""COMPUTED_VALUE"""),"LQDT")</f>
        <v>LQDT</v>
      </c>
      <c r="D2663" s="2" t="str">
        <f>LEFT(B2663,4)</f>
        <v>2016</v>
      </c>
      <c r="E2663" s="2" t="str">
        <f>MID(B2663,5,2)</f>
        <v>02</v>
      </c>
      <c r="F2663" s="2" t="str">
        <f>RIGHT(B2663,2)</f>
        <v>04</v>
      </c>
      <c r="G2663" s="29">
        <f>DATE(D2663,E2663,F2663)</f>
        <v>42404</v>
      </c>
    </row>
    <row r="2664" hidden="1">
      <c r="A2664" s="1" t="s">
        <v>642</v>
      </c>
    </row>
    <row r="2665" hidden="1">
      <c r="A2665" s="1" t="s">
        <v>643</v>
      </c>
    </row>
    <row r="2666">
      <c r="A2666" s="1" t="s">
        <v>1926</v>
      </c>
      <c r="B2666" s="2">
        <f>IFERROR(__xludf.DUMMYFUNCTION("SPLIT(A2666,""_"")"),2.0160204E7)</f>
        <v>20160204</v>
      </c>
      <c r="C2666" s="2" t="str">
        <f>IFERROR(__xludf.DUMMYFUNCTION("""COMPUTED_VALUE"""),"MD")</f>
        <v>MD</v>
      </c>
      <c r="D2666" s="2" t="str">
        <f>LEFT(B2666,4)</f>
        <v>2016</v>
      </c>
      <c r="E2666" s="2" t="str">
        <f>MID(B2666,5,2)</f>
        <v>02</v>
      </c>
      <c r="F2666" s="2" t="str">
        <f>RIGHT(B2666,2)</f>
        <v>04</v>
      </c>
      <c r="G2666" s="29">
        <f>DATE(D2666,E2666,F2666)</f>
        <v>42404</v>
      </c>
    </row>
    <row r="2667" hidden="1">
      <c r="A2667" s="1" t="s">
        <v>642</v>
      </c>
    </row>
    <row r="2668" hidden="1">
      <c r="A2668" s="1" t="s">
        <v>643</v>
      </c>
    </row>
    <row r="2669">
      <c r="A2669" s="1" t="s">
        <v>1927</v>
      </c>
      <c r="B2669" s="2">
        <f>IFERROR(__xludf.DUMMYFUNCTION("SPLIT(A2669,""_"")"),2.0160204E7)</f>
        <v>20160204</v>
      </c>
      <c r="C2669" s="2" t="str">
        <f>IFERROR(__xludf.DUMMYFUNCTION("""COMPUTED_VALUE"""),"MHO")</f>
        <v>MHO</v>
      </c>
      <c r="D2669" s="2" t="str">
        <f>LEFT(B2669,4)</f>
        <v>2016</v>
      </c>
      <c r="E2669" s="2" t="str">
        <f>MID(B2669,5,2)</f>
        <v>02</v>
      </c>
      <c r="F2669" s="2" t="str">
        <f>RIGHT(B2669,2)</f>
        <v>04</v>
      </c>
      <c r="G2669" s="29">
        <f>DATE(D2669,E2669,F2669)</f>
        <v>42404</v>
      </c>
    </row>
    <row r="2670" hidden="1">
      <c r="A2670" s="1" t="s">
        <v>642</v>
      </c>
    </row>
    <row r="2671" hidden="1">
      <c r="A2671" s="1" t="s">
        <v>643</v>
      </c>
    </row>
    <row r="2672">
      <c r="A2672" s="1" t="s">
        <v>1928</v>
      </c>
      <c r="B2672" s="2">
        <f>IFERROR(__xludf.DUMMYFUNCTION("SPLIT(A2672,""_"")"),2.0160204E7)</f>
        <v>20160204</v>
      </c>
      <c r="C2672" s="2" t="str">
        <f>IFERROR(__xludf.DUMMYFUNCTION("""COMPUTED_VALUE"""),"MPWR")</f>
        <v>MPWR</v>
      </c>
      <c r="D2672" s="2" t="str">
        <f>LEFT(B2672,4)</f>
        <v>2016</v>
      </c>
      <c r="E2672" s="2" t="str">
        <f>MID(B2672,5,2)</f>
        <v>02</v>
      </c>
      <c r="F2672" s="2" t="str">
        <f>RIGHT(B2672,2)</f>
        <v>04</v>
      </c>
      <c r="G2672" s="29">
        <f>DATE(D2672,E2672,F2672)</f>
        <v>42404</v>
      </c>
    </row>
    <row r="2673" hidden="1">
      <c r="A2673" s="1" t="s">
        <v>642</v>
      </c>
    </row>
    <row r="2674" hidden="1">
      <c r="A2674" s="1" t="s">
        <v>643</v>
      </c>
    </row>
    <row r="2675">
      <c r="A2675" s="1" t="s">
        <v>1929</v>
      </c>
      <c r="B2675" s="2">
        <f>IFERROR(__xludf.DUMMYFUNCTION("SPLIT(A2675,""_"")"),2.0160204E7)</f>
        <v>20160204</v>
      </c>
      <c r="C2675" s="2" t="str">
        <f>IFERROR(__xludf.DUMMYFUNCTION("""COMPUTED_VALUE"""),"MTD")</f>
        <v>MTD</v>
      </c>
      <c r="D2675" s="2" t="str">
        <f>LEFT(B2675,4)</f>
        <v>2016</v>
      </c>
      <c r="E2675" s="2" t="str">
        <f>MID(B2675,5,2)</f>
        <v>02</v>
      </c>
      <c r="F2675" s="2" t="str">
        <f>RIGHT(B2675,2)</f>
        <v>04</v>
      </c>
      <c r="G2675" s="29">
        <f>DATE(D2675,E2675,F2675)</f>
        <v>42404</v>
      </c>
    </row>
    <row r="2676" hidden="1">
      <c r="A2676" s="1" t="s">
        <v>642</v>
      </c>
    </row>
    <row r="2677" hidden="1">
      <c r="A2677" s="1" t="s">
        <v>643</v>
      </c>
    </row>
    <row r="2678">
      <c r="A2678" s="1" t="s">
        <v>1930</v>
      </c>
      <c r="B2678" s="2">
        <f>IFERROR(__xludf.DUMMYFUNCTION("SPLIT(A2678,""_"")"),2.0160204E7)</f>
        <v>20160204</v>
      </c>
      <c r="C2678" s="2" t="str">
        <f>IFERROR(__xludf.DUMMYFUNCTION("""COMPUTED_VALUE"""),"ODFL")</f>
        <v>ODFL</v>
      </c>
      <c r="D2678" s="2" t="str">
        <f>LEFT(B2678,4)</f>
        <v>2016</v>
      </c>
      <c r="E2678" s="2" t="str">
        <f>MID(B2678,5,2)</f>
        <v>02</v>
      </c>
      <c r="F2678" s="2" t="str">
        <f>RIGHT(B2678,2)</f>
        <v>04</v>
      </c>
      <c r="G2678" s="29">
        <f>DATE(D2678,E2678,F2678)</f>
        <v>42404</v>
      </c>
    </row>
    <row r="2679" hidden="1">
      <c r="A2679" s="1" t="s">
        <v>642</v>
      </c>
    </row>
    <row r="2680" hidden="1">
      <c r="A2680" s="1" t="s">
        <v>643</v>
      </c>
    </row>
    <row r="2681">
      <c r="A2681" s="1" t="s">
        <v>1931</v>
      </c>
      <c r="B2681" s="2">
        <f>IFERROR(__xludf.DUMMYFUNCTION("SPLIT(A2681,""_"")"),2.0160204E7)</f>
        <v>20160204</v>
      </c>
      <c r="C2681" s="2" t="str">
        <f>IFERROR(__xludf.DUMMYFUNCTION("""COMPUTED_VALUE"""),"OMCL")</f>
        <v>OMCL</v>
      </c>
      <c r="D2681" s="2" t="str">
        <f>LEFT(B2681,4)</f>
        <v>2016</v>
      </c>
      <c r="E2681" s="2" t="str">
        <f>MID(B2681,5,2)</f>
        <v>02</v>
      </c>
      <c r="F2681" s="2" t="str">
        <f>RIGHT(B2681,2)</f>
        <v>04</v>
      </c>
      <c r="G2681" s="29">
        <f>DATE(D2681,E2681,F2681)</f>
        <v>42404</v>
      </c>
    </row>
    <row r="2682" hidden="1">
      <c r="A2682" s="1" t="s">
        <v>642</v>
      </c>
    </row>
    <row r="2683" hidden="1">
      <c r="A2683" s="1" t="s">
        <v>643</v>
      </c>
    </row>
    <row r="2684">
      <c r="A2684" s="1" t="s">
        <v>1932</v>
      </c>
      <c r="B2684" s="2">
        <f>IFERROR(__xludf.DUMMYFUNCTION("SPLIT(A2684,""_"")"),2.0160204E7)</f>
        <v>20160204</v>
      </c>
      <c r="C2684" s="2" t="str">
        <f>IFERROR(__xludf.DUMMYFUNCTION("""COMPUTED_VALUE"""),"PJC")</f>
        <v>PJC</v>
      </c>
      <c r="D2684" s="2" t="str">
        <f>LEFT(B2684,4)</f>
        <v>2016</v>
      </c>
      <c r="E2684" s="2" t="str">
        <f>MID(B2684,5,2)</f>
        <v>02</v>
      </c>
      <c r="F2684" s="2" t="str">
        <f>RIGHT(B2684,2)</f>
        <v>04</v>
      </c>
      <c r="G2684" s="29">
        <f>DATE(D2684,E2684,F2684)</f>
        <v>42404</v>
      </c>
    </row>
    <row r="2685" hidden="1">
      <c r="A2685" s="1" t="s">
        <v>642</v>
      </c>
    </row>
    <row r="2686" hidden="1">
      <c r="A2686" s="1" t="s">
        <v>643</v>
      </c>
    </row>
    <row r="2687">
      <c r="A2687" s="1" t="s">
        <v>1933</v>
      </c>
      <c r="B2687" s="2">
        <f>IFERROR(__xludf.DUMMYFUNCTION("SPLIT(A2687,""_"")"),2.0160204E7)</f>
        <v>20160204</v>
      </c>
      <c r="C2687" s="2" t="str">
        <f>IFERROR(__xludf.DUMMYFUNCTION("""COMPUTED_VALUE"""),"PLUS")</f>
        <v>PLUS</v>
      </c>
      <c r="D2687" s="2" t="str">
        <f>LEFT(B2687,4)</f>
        <v>2016</v>
      </c>
      <c r="E2687" s="2" t="str">
        <f>MID(B2687,5,2)</f>
        <v>02</v>
      </c>
      <c r="F2687" s="2" t="str">
        <f>RIGHT(B2687,2)</f>
        <v>04</v>
      </c>
      <c r="G2687" s="29">
        <f>DATE(D2687,E2687,F2687)</f>
        <v>42404</v>
      </c>
    </row>
    <row r="2688" hidden="1">
      <c r="A2688" s="1" t="s">
        <v>642</v>
      </c>
    </row>
    <row r="2689" hidden="1">
      <c r="A2689" s="1" t="s">
        <v>643</v>
      </c>
    </row>
    <row r="2690">
      <c r="A2690" s="1" t="s">
        <v>1934</v>
      </c>
      <c r="B2690" s="2">
        <f>IFERROR(__xludf.DUMMYFUNCTION("SPLIT(A2690,""_"")"),2.0160204E7)</f>
        <v>20160204</v>
      </c>
      <c r="C2690" s="2" t="str">
        <f>IFERROR(__xludf.DUMMYFUNCTION("""COMPUTED_VALUE"""),"POWI")</f>
        <v>POWI</v>
      </c>
      <c r="D2690" s="2" t="str">
        <f>LEFT(B2690,4)</f>
        <v>2016</v>
      </c>
      <c r="E2690" s="2" t="str">
        <f>MID(B2690,5,2)</f>
        <v>02</v>
      </c>
      <c r="F2690" s="2" t="str">
        <f>RIGHT(B2690,2)</f>
        <v>04</v>
      </c>
      <c r="G2690" s="29">
        <f>DATE(D2690,E2690,F2690)</f>
        <v>42404</v>
      </c>
    </row>
    <row r="2691" hidden="1">
      <c r="A2691" s="1" t="s">
        <v>642</v>
      </c>
    </row>
    <row r="2692" hidden="1">
      <c r="A2692" s="1" t="s">
        <v>643</v>
      </c>
    </row>
    <row r="2693">
      <c r="A2693" s="1" t="s">
        <v>1935</v>
      </c>
      <c r="B2693" s="2">
        <f>IFERROR(__xludf.DUMMYFUNCTION("SPLIT(A2693,""_"")"),2.0160204E7)</f>
        <v>20160204</v>
      </c>
      <c r="C2693" s="2" t="str">
        <f>IFERROR(__xludf.DUMMYFUNCTION("""COMPUTED_VALUE"""),"PTEN")</f>
        <v>PTEN</v>
      </c>
      <c r="D2693" s="2" t="str">
        <f>LEFT(B2693,4)</f>
        <v>2016</v>
      </c>
      <c r="E2693" s="2" t="str">
        <f>MID(B2693,5,2)</f>
        <v>02</v>
      </c>
      <c r="F2693" s="2" t="str">
        <f>RIGHT(B2693,2)</f>
        <v>04</v>
      </c>
      <c r="G2693" s="29">
        <f>DATE(D2693,E2693,F2693)</f>
        <v>42404</v>
      </c>
    </row>
    <row r="2694" hidden="1">
      <c r="A2694" s="1" t="s">
        <v>642</v>
      </c>
    </row>
    <row r="2695" hidden="1">
      <c r="A2695" s="1" t="s">
        <v>643</v>
      </c>
    </row>
    <row r="2696">
      <c r="A2696" s="1" t="s">
        <v>1936</v>
      </c>
      <c r="B2696" s="2">
        <f>IFERROR(__xludf.DUMMYFUNCTION("SPLIT(A2696,""_"")"),2.0160204E7)</f>
        <v>20160204</v>
      </c>
      <c r="C2696" s="2" t="str">
        <f>IFERROR(__xludf.DUMMYFUNCTION("""COMPUTED_VALUE"""),"RL")</f>
        <v>RL</v>
      </c>
      <c r="D2696" s="2" t="str">
        <f>LEFT(B2696,4)</f>
        <v>2016</v>
      </c>
      <c r="E2696" s="2" t="str">
        <f>MID(B2696,5,2)</f>
        <v>02</v>
      </c>
      <c r="F2696" s="2" t="str">
        <f>RIGHT(B2696,2)</f>
        <v>04</v>
      </c>
      <c r="G2696" s="29">
        <f>DATE(D2696,E2696,F2696)</f>
        <v>42404</v>
      </c>
    </row>
    <row r="2697" hidden="1">
      <c r="A2697" s="1" t="s">
        <v>642</v>
      </c>
    </row>
    <row r="2698" hidden="1">
      <c r="A2698" s="1" t="s">
        <v>643</v>
      </c>
    </row>
    <row r="2699">
      <c r="A2699" s="1" t="s">
        <v>1937</v>
      </c>
      <c r="B2699" s="2">
        <f>IFERROR(__xludf.DUMMYFUNCTION("SPLIT(A2699,""_"")"),2.0160204E7)</f>
        <v>20160204</v>
      </c>
      <c r="C2699" s="2" t="str">
        <f>IFERROR(__xludf.DUMMYFUNCTION("""COMPUTED_VALUE"""),"TDC")</f>
        <v>TDC</v>
      </c>
      <c r="D2699" s="2" t="str">
        <f>LEFT(B2699,4)</f>
        <v>2016</v>
      </c>
      <c r="E2699" s="2" t="str">
        <f>MID(B2699,5,2)</f>
        <v>02</v>
      </c>
      <c r="F2699" s="2" t="str">
        <f>RIGHT(B2699,2)</f>
        <v>04</v>
      </c>
      <c r="G2699" s="29">
        <f>DATE(D2699,E2699,F2699)</f>
        <v>42404</v>
      </c>
    </row>
    <row r="2700" hidden="1">
      <c r="A2700" s="1" t="s">
        <v>642</v>
      </c>
    </row>
    <row r="2701" hidden="1">
      <c r="A2701" s="1" t="s">
        <v>643</v>
      </c>
    </row>
    <row r="2702">
      <c r="A2702" s="1" t="s">
        <v>1938</v>
      </c>
      <c r="B2702" s="2">
        <f>IFERROR(__xludf.DUMMYFUNCTION("SPLIT(A2702,""_"")"),2.0160204E7)</f>
        <v>20160204</v>
      </c>
      <c r="C2702" s="2" t="str">
        <f>IFERROR(__xludf.DUMMYFUNCTION("""COMPUTED_VALUE"""),"TPX")</f>
        <v>TPX</v>
      </c>
      <c r="D2702" s="2" t="str">
        <f>LEFT(B2702,4)</f>
        <v>2016</v>
      </c>
      <c r="E2702" s="2" t="str">
        <f>MID(B2702,5,2)</f>
        <v>02</v>
      </c>
      <c r="F2702" s="2" t="str">
        <f>RIGHT(B2702,2)</f>
        <v>04</v>
      </c>
      <c r="G2702" s="29">
        <f>DATE(D2702,E2702,F2702)</f>
        <v>42404</v>
      </c>
    </row>
    <row r="2703" hidden="1">
      <c r="A2703" s="1" t="s">
        <v>642</v>
      </c>
    </row>
    <row r="2704" hidden="1">
      <c r="A2704" s="1" t="s">
        <v>643</v>
      </c>
    </row>
    <row r="2705">
      <c r="A2705" s="1" t="s">
        <v>1939</v>
      </c>
      <c r="B2705" s="2">
        <f>IFERROR(__xludf.DUMMYFUNCTION("SPLIT(A2705,""_"")"),2.0160204E7)</f>
        <v>20160204</v>
      </c>
      <c r="C2705" s="2" t="str">
        <f>IFERROR(__xludf.DUMMYFUNCTION("""COMPUTED_VALUE"""),"XYL")</f>
        <v>XYL</v>
      </c>
      <c r="D2705" s="2" t="str">
        <f>LEFT(B2705,4)</f>
        <v>2016</v>
      </c>
      <c r="E2705" s="2" t="str">
        <f>MID(B2705,5,2)</f>
        <v>02</v>
      </c>
      <c r="F2705" s="2" t="str">
        <f>RIGHT(B2705,2)</f>
        <v>04</v>
      </c>
      <c r="G2705" s="29">
        <f>DATE(D2705,E2705,F2705)</f>
        <v>42404</v>
      </c>
    </row>
    <row r="2706" hidden="1">
      <c r="A2706" s="1" t="s">
        <v>642</v>
      </c>
    </row>
    <row r="2707" hidden="1">
      <c r="A2707" s="1" t="s">
        <v>643</v>
      </c>
    </row>
    <row r="2708">
      <c r="A2708" s="1" t="s">
        <v>1940</v>
      </c>
      <c r="B2708" s="2">
        <f>IFERROR(__xludf.DUMMYFUNCTION("SPLIT(A2708,""_"")"),2.0160205E7)</f>
        <v>20160205</v>
      </c>
      <c r="C2708" s="2" t="str">
        <f>IFERROR(__xludf.DUMMYFUNCTION("""COMPUTED_VALUE"""),"CME")</f>
        <v>CME</v>
      </c>
      <c r="D2708" s="2" t="str">
        <f>LEFT(B2708,4)</f>
        <v>2016</v>
      </c>
      <c r="E2708" s="2" t="str">
        <f>MID(B2708,5,2)</f>
        <v>02</v>
      </c>
      <c r="F2708" s="2" t="str">
        <f>RIGHT(B2708,2)</f>
        <v>05</v>
      </c>
      <c r="G2708" s="29">
        <f>DATE(D2708,E2708,F2708)</f>
        <v>42405</v>
      </c>
    </row>
    <row r="2709" hidden="1">
      <c r="A2709" s="1" t="s">
        <v>642</v>
      </c>
    </row>
    <row r="2710" hidden="1">
      <c r="A2710" s="1" t="s">
        <v>643</v>
      </c>
    </row>
    <row r="2711">
      <c r="A2711" s="1" t="s">
        <v>1941</v>
      </c>
      <c r="B2711" s="2">
        <f>IFERROR(__xludf.DUMMYFUNCTION("SPLIT(A2711,""_"")"),2.0160205E7)</f>
        <v>20160205</v>
      </c>
      <c r="C2711" s="2" t="str">
        <f>IFERROR(__xludf.DUMMYFUNCTION("""COMPUTED_VALUE"""),"TSN")</f>
        <v>TSN</v>
      </c>
      <c r="D2711" s="2" t="str">
        <f>LEFT(B2711,4)</f>
        <v>2016</v>
      </c>
      <c r="E2711" s="2" t="str">
        <f>MID(B2711,5,2)</f>
        <v>02</v>
      </c>
      <c r="F2711" s="2" t="str">
        <f>RIGHT(B2711,2)</f>
        <v>05</v>
      </c>
      <c r="G2711" s="29">
        <f>DATE(D2711,E2711,F2711)</f>
        <v>42405</v>
      </c>
    </row>
    <row r="2712" hidden="1">
      <c r="A2712" s="1" t="s">
        <v>642</v>
      </c>
    </row>
    <row r="2713" hidden="1">
      <c r="A2713" s="1" t="s">
        <v>643</v>
      </c>
    </row>
    <row r="2714">
      <c r="A2714" s="1" t="s">
        <v>1942</v>
      </c>
      <c r="B2714" s="2">
        <f>IFERROR(__xludf.DUMMYFUNCTION("SPLIT(A2714,""_"")"),2.0160205E7)</f>
        <v>20160205</v>
      </c>
      <c r="C2714" s="2" t="str">
        <f>IFERROR(__xludf.DUMMYFUNCTION("""COMPUTED_VALUE"""),"UFS")</f>
        <v>UFS</v>
      </c>
      <c r="D2714" s="2" t="str">
        <f>LEFT(B2714,4)</f>
        <v>2016</v>
      </c>
      <c r="E2714" s="2" t="str">
        <f>MID(B2714,5,2)</f>
        <v>02</v>
      </c>
      <c r="F2714" s="2" t="str">
        <f>RIGHT(B2714,2)</f>
        <v>05</v>
      </c>
      <c r="G2714" s="29">
        <f>DATE(D2714,E2714,F2714)</f>
        <v>42405</v>
      </c>
    </row>
    <row r="2715" hidden="1">
      <c r="A2715" s="1" t="s">
        <v>642</v>
      </c>
    </row>
    <row r="2716" hidden="1">
      <c r="A2716" s="1" t="s">
        <v>643</v>
      </c>
    </row>
    <row r="2717">
      <c r="A2717" s="1" t="s">
        <v>1943</v>
      </c>
      <c r="B2717" s="2">
        <f>IFERROR(__xludf.DUMMYFUNCTION("SPLIT(A2717,""_"")"),2.0160205E7)</f>
        <v>20160205</v>
      </c>
      <c r="C2717" s="2" t="str">
        <f>IFERROR(__xludf.DUMMYFUNCTION("""COMPUTED_VALUE"""),"WY")</f>
        <v>WY</v>
      </c>
      <c r="D2717" s="2" t="str">
        <f>LEFT(B2717,4)</f>
        <v>2016</v>
      </c>
      <c r="E2717" s="2" t="str">
        <f>MID(B2717,5,2)</f>
        <v>02</v>
      </c>
      <c r="F2717" s="2" t="str">
        <f>RIGHT(B2717,2)</f>
        <v>05</v>
      </c>
      <c r="G2717" s="29">
        <f>DATE(D2717,E2717,F2717)</f>
        <v>42405</v>
      </c>
    </row>
    <row r="2718" hidden="1">
      <c r="A2718" s="1" t="s">
        <v>642</v>
      </c>
    </row>
    <row r="2719" hidden="1">
      <c r="A2719" s="1" t="s">
        <v>643</v>
      </c>
    </row>
    <row r="2720">
      <c r="A2720" s="1" t="s">
        <v>1944</v>
      </c>
      <c r="B2720" s="2">
        <f>IFERROR(__xludf.DUMMYFUNCTION("SPLIT(A2720,""_"")"),2.0160208E7)</f>
        <v>20160208</v>
      </c>
      <c r="C2720" s="2" t="str">
        <f>IFERROR(__xludf.DUMMYFUNCTION("""COMPUTED_VALUE"""),"DO")</f>
        <v>DO</v>
      </c>
      <c r="D2720" s="2" t="str">
        <f>LEFT(B2720,4)</f>
        <v>2016</v>
      </c>
      <c r="E2720" s="2" t="str">
        <f>MID(B2720,5,2)</f>
        <v>02</v>
      </c>
      <c r="F2720" s="2" t="str">
        <f>RIGHT(B2720,2)</f>
        <v>08</v>
      </c>
      <c r="G2720" s="29">
        <f>DATE(D2720,E2720,F2720)</f>
        <v>42408</v>
      </c>
    </row>
    <row r="2721" hidden="1">
      <c r="A2721" s="1" t="s">
        <v>642</v>
      </c>
    </row>
    <row r="2722" hidden="1">
      <c r="A2722" s="1" t="s">
        <v>643</v>
      </c>
    </row>
    <row r="2723">
      <c r="A2723" s="1" t="s">
        <v>1945</v>
      </c>
      <c r="B2723" s="2">
        <f>IFERROR(__xludf.DUMMYFUNCTION("SPLIT(A2723,""_"")"),2.0160208E7)</f>
        <v>20160208</v>
      </c>
      <c r="C2723" s="2" t="str">
        <f>IFERROR(__xludf.DUMMYFUNCTION("""COMPUTED_VALUE"""),"HAS")</f>
        <v>HAS</v>
      </c>
      <c r="D2723" s="2" t="str">
        <f>LEFT(B2723,4)</f>
        <v>2016</v>
      </c>
      <c r="E2723" s="2" t="str">
        <f>MID(B2723,5,2)</f>
        <v>02</v>
      </c>
      <c r="F2723" s="2" t="str">
        <f>RIGHT(B2723,2)</f>
        <v>08</v>
      </c>
      <c r="G2723" s="29">
        <f>DATE(D2723,E2723,F2723)</f>
        <v>42408</v>
      </c>
    </row>
    <row r="2724" hidden="1">
      <c r="A2724" s="1" t="s">
        <v>642</v>
      </c>
    </row>
    <row r="2725" hidden="1">
      <c r="A2725" s="1" t="s">
        <v>643</v>
      </c>
    </row>
    <row r="2726">
      <c r="A2726" s="1" t="s">
        <v>1946</v>
      </c>
      <c r="B2726" s="2">
        <f>IFERROR(__xludf.DUMMYFUNCTION("SPLIT(A2726,""_"")"),2.0160208E7)</f>
        <v>20160208</v>
      </c>
      <c r="C2726" s="2" t="str">
        <f>IFERROR(__xludf.DUMMYFUNCTION("""COMPUTED_VALUE"""),"MOH")</f>
        <v>MOH</v>
      </c>
      <c r="D2726" s="2" t="str">
        <f>LEFT(B2726,4)</f>
        <v>2016</v>
      </c>
      <c r="E2726" s="2" t="str">
        <f>MID(B2726,5,2)</f>
        <v>02</v>
      </c>
      <c r="F2726" s="2" t="str">
        <f>RIGHT(B2726,2)</f>
        <v>08</v>
      </c>
      <c r="G2726" s="29">
        <f>DATE(D2726,E2726,F2726)</f>
        <v>42408</v>
      </c>
    </row>
    <row r="2727" hidden="1">
      <c r="A2727" s="1" t="s">
        <v>642</v>
      </c>
    </row>
    <row r="2728" hidden="1">
      <c r="A2728" s="1" t="s">
        <v>643</v>
      </c>
    </row>
    <row r="2729">
      <c r="A2729" s="1" t="s">
        <v>1947</v>
      </c>
      <c r="B2729" s="2">
        <f>IFERROR(__xludf.DUMMYFUNCTION("SPLIT(A2729,""_"")"),2.0160209E7)</f>
        <v>20160209</v>
      </c>
      <c r="C2729" s="2" t="str">
        <f>IFERROR(__xludf.DUMMYFUNCTION("""COMPUTED_VALUE"""),"AKAM")</f>
        <v>AKAM</v>
      </c>
      <c r="D2729" s="2" t="str">
        <f>LEFT(B2729,4)</f>
        <v>2016</v>
      </c>
      <c r="E2729" s="2" t="str">
        <f>MID(B2729,5,2)</f>
        <v>02</v>
      </c>
      <c r="F2729" s="2" t="str">
        <f>RIGHT(B2729,2)</f>
        <v>09</v>
      </c>
      <c r="G2729" s="29">
        <f>DATE(D2729,E2729,F2729)</f>
        <v>42409</v>
      </c>
    </row>
    <row r="2730" hidden="1">
      <c r="A2730" s="1" t="s">
        <v>642</v>
      </c>
    </row>
    <row r="2731" hidden="1">
      <c r="A2731" s="1" t="s">
        <v>643</v>
      </c>
    </row>
    <row r="2732">
      <c r="A2732" s="1" t="s">
        <v>1948</v>
      </c>
      <c r="B2732" s="2">
        <f>IFERROR(__xludf.DUMMYFUNCTION("SPLIT(A2732,""_"")"),2.0160209E7)</f>
        <v>20160209</v>
      </c>
      <c r="C2732" s="2" t="str">
        <f>IFERROR(__xludf.DUMMYFUNCTION("""COMPUTED_VALUE"""),"BHE")</f>
        <v>BHE</v>
      </c>
      <c r="D2732" s="2" t="str">
        <f>LEFT(B2732,4)</f>
        <v>2016</v>
      </c>
      <c r="E2732" s="2" t="str">
        <f>MID(B2732,5,2)</f>
        <v>02</v>
      </c>
      <c r="F2732" s="2" t="str">
        <f>RIGHT(B2732,2)</f>
        <v>09</v>
      </c>
      <c r="G2732" s="29">
        <f>DATE(D2732,E2732,F2732)</f>
        <v>42409</v>
      </c>
    </row>
    <row r="2733" hidden="1">
      <c r="A2733" s="1" t="s">
        <v>642</v>
      </c>
    </row>
    <row r="2734" hidden="1">
      <c r="A2734" s="1" t="s">
        <v>643</v>
      </c>
    </row>
    <row r="2735">
      <c r="A2735" s="1" t="s">
        <v>1949</v>
      </c>
      <c r="B2735" s="2">
        <f>IFERROR(__xludf.DUMMYFUNCTION("SPLIT(A2735,""_"")"),2.0160209E7)</f>
        <v>20160209</v>
      </c>
      <c r="C2735" s="2" t="str">
        <f>IFERROR(__xludf.DUMMYFUNCTION("""COMPUTED_VALUE"""),"CNC")</f>
        <v>CNC</v>
      </c>
      <c r="D2735" s="2" t="str">
        <f>LEFT(B2735,4)</f>
        <v>2016</v>
      </c>
      <c r="E2735" s="2" t="str">
        <f>MID(B2735,5,2)</f>
        <v>02</v>
      </c>
      <c r="F2735" s="2" t="str">
        <f>RIGHT(B2735,2)</f>
        <v>09</v>
      </c>
      <c r="G2735" s="29">
        <f>DATE(D2735,E2735,F2735)</f>
        <v>42409</v>
      </c>
    </row>
    <row r="2736" hidden="1">
      <c r="A2736" s="1" t="s">
        <v>642</v>
      </c>
    </row>
    <row r="2737" hidden="1">
      <c r="A2737" s="1" t="s">
        <v>643</v>
      </c>
    </row>
    <row r="2738">
      <c r="A2738" s="1" t="s">
        <v>1950</v>
      </c>
      <c r="B2738" s="2">
        <f>IFERROR(__xludf.DUMMYFUNCTION("SPLIT(A2738,""_"")"),2.0160209E7)</f>
        <v>20160209</v>
      </c>
      <c r="C2738" s="2" t="str">
        <f>IFERROR(__xludf.DUMMYFUNCTION("""COMPUTED_VALUE"""),"CVS")</f>
        <v>CVS</v>
      </c>
      <c r="D2738" s="2" t="str">
        <f>LEFT(B2738,4)</f>
        <v>2016</v>
      </c>
      <c r="E2738" s="2" t="str">
        <f>MID(B2738,5,2)</f>
        <v>02</v>
      </c>
      <c r="F2738" s="2" t="str">
        <f>RIGHT(B2738,2)</f>
        <v>09</v>
      </c>
      <c r="G2738" s="29">
        <f>DATE(D2738,E2738,F2738)</f>
        <v>42409</v>
      </c>
    </row>
    <row r="2739" hidden="1">
      <c r="A2739" s="1" t="s">
        <v>642</v>
      </c>
    </row>
    <row r="2740" hidden="1">
      <c r="A2740" s="1" t="s">
        <v>643</v>
      </c>
    </row>
    <row r="2741">
      <c r="A2741" s="1" t="s">
        <v>1951</v>
      </c>
      <c r="B2741" s="2">
        <f>IFERROR(__xludf.DUMMYFUNCTION("SPLIT(A2741,""_"")"),2.0160209E7)</f>
        <v>20160209</v>
      </c>
      <c r="C2741" s="2" t="str">
        <f>IFERROR(__xludf.DUMMYFUNCTION("""COMPUTED_VALUE"""),"DIS")</f>
        <v>DIS</v>
      </c>
      <c r="D2741" s="2" t="str">
        <f>LEFT(B2741,4)</f>
        <v>2016</v>
      </c>
      <c r="E2741" s="2" t="str">
        <f>MID(B2741,5,2)</f>
        <v>02</v>
      </c>
      <c r="F2741" s="2" t="str">
        <f>RIGHT(B2741,2)</f>
        <v>09</v>
      </c>
      <c r="G2741" s="29">
        <f>DATE(D2741,E2741,F2741)</f>
        <v>42409</v>
      </c>
    </row>
    <row r="2742" hidden="1">
      <c r="A2742" s="1" t="s">
        <v>642</v>
      </c>
    </row>
    <row r="2743" hidden="1">
      <c r="A2743" s="1" t="s">
        <v>643</v>
      </c>
    </row>
    <row r="2744">
      <c r="A2744" s="1" t="s">
        <v>1952</v>
      </c>
      <c r="B2744" s="2">
        <f>IFERROR(__xludf.DUMMYFUNCTION("SPLIT(A2744,""_"")"),2.0160209E7)</f>
        <v>20160209</v>
      </c>
      <c r="C2744" s="2" t="str">
        <f>IFERROR(__xludf.DUMMYFUNCTION("""COMPUTED_VALUE"""),"ESE")</f>
        <v>ESE</v>
      </c>
      <c r="D2744" s="2" t="str">
        <f>LEFT(B2744,4)</f>
        <v>2016</v>
      </c>
      <c r="E2744" s="2" t="str">
        <f>MID(B2744,5,2)</f>
        <v>02</v>
      </c>
      <c r="F2744" s="2" t="str">
        <f>RIGHT(B2744,2)</f>
        <v>09</v>
      </c>
      <c r="G2744" s="29">
        <f>DATE(D2744,E2744,F2744)</f>
        <v>42409</v>
      </c>
    </row>
    <row r="2745" hidden="1">
      <c r="A2745" s="1" t="s">
        <v>642</v>
      </c>
    </row>
    <row r="2746" hidden="1">
      <c r="A2746" s="1" t="s">
        <v>643</v>
      </c>
    </row>
    <row r="2747">
      <c r="A2747" s="1" t="s">
        <v>1953</v>
      </c>
      <c r="B2747" s="2">
        <f>IFERROR(__xludf.DUMMYFUNCTION("SPLIT(A2747,""_"")"),2.0160209E7)</f>
        <v>20160209</v>
      </c>
      <c r="C2747" s="2" t="str">
        <f>IFERROR(__xludf.DUMMYFUNCTION("""COMPUTED_VALUE"""),"GLT")</f>
        <v>GLT</v>
      </c>
      <c r="D2747" s="2" t="str">
        <f>LEFT(B2747,4)</f>
        <v>2016</v>
      </c>
      <c r="E2747" s="2" t="str">
        <f>MID(B2747,5,2)</f>
        <v>02</v>
      </c>
      <c r="F2747" s="2" t="str">
        <f>RIGHT(B2747,2)</f>
        <v>09</v>
      </c>
      <c r="G2747" s="29">
        <f>DATE(D2747,E2747,F2747)</f>
        <v>42409</v>
      </c>
    </row>
    <row r="2748" hidden="1">
      <c r="A2748" s="1" t="s">
        <v>642</v>
      </c>
    </row>
    <row r="2749" hidden="1">
      <c r="A2749" s="1" t="s">
        <v>643</v>
      </c>
    </row>
    <row r="2750">
      <c r="A2750" s="1" t="s">
        <v>1954</v>
      </c>
      <c r="B2750" s="2">
        <f>IFERROR(__xludf.DUMMYFUNCTION("SPLIT(A2750,""_"")"),2.0160209E7)</f>
        <v>20160209</v>
      </c>
      <c r="C2750" s="2" t="str">
        <f>IFERROR(__xludf.DUMMYFUNCTION("""COMPUTED_VALUE"""),"LABL")</f>
        <v>LABL</v>
      </c>
      <c r="D2750" s="2" t="str">
        <f>LEFT(B2750,4)</f>
        <v>2016</v>
      </c>
      <c r="E2750" s="2" t="str">
        <f>MID(B2750,5,2)</f>
        <v>02</v>
      </c>
      <c r="F2750" s="2" t="str">
        <f>RIGHT(B2750,2)</f>
        <v>09</v>
      </c>
      <c r="G2750" s="29">
        <f>DATE(D2750,E2750,F2750)</f>
        <v>42409</v>
      </c>
    </row>
    <row r="2751" hidden="1">
      <c r="A2751" s="1" t="s">
        <v>642</v>
      </c>
    </row>
    <row r="2752" hidden="1">
      <c r="A2752" s="1" t="s">
        <v>643</v>
      </c>
    </row>
    <row r="2753">
      <c r="A2753" s="1" t="s">
        <v>1955</v>
      </c>
      <c r="B2753" s="2">
        <f>IFERROR(__xludf.DUMMYFUNCTION("SPLIT(A2753,""_"")"),2.0160209E7)</f>
        <v>20160209</v>
      </c>
      <c r="C2753" s="2" t="str">
        <f>IFERROR(__xludf.DUMMYFUNCTION("""COMPUTED_VALUE"""),"MPAA")</f>
        <v>MPAA</v>
      </c>
      <c r="D2753" s="2" t="str">
        <f>LEFT(B2753,4)</f>
        <v>2016</v>
      </c>
      <c r="E2753" s="2" t="str">
        <f>MID(B2753,5,2)</f>
        <v>02</v>
      </c>
      <c r="F2753" s="2" t="str">
        <f>RIGHT(B2753,2)</f>
        <v>09</v>
      </c>
      <c r="G2753" s="29">
        <f>DATE(D2753,E2753,F2753)</f>
        <v>42409</v>
      </c>
    </row>
    <row r="2754" hidden="1">
      <c r="A2754" s="1" t="s">
        <v>642</v>
      </c>
    </row>
    <row r="2755" hidden="1">
      <c r="A2755" s="1" t="s">
        <v>643</v>
      </c>
    </row>
    <row r="2756">
      <c r="A2756" s="1" t="s">
        <v>1956</v>
      </c>
      <c r="B2756" s="2">
        <f>IFERROR(__xludf.DUMMYFUNCTION("SPLIT(A2756,""_"")"),2.0160209E7)</f>
        <v>20160209</v>
      </c>
      <c r="C2756" s="2" t="str">
        <f>IFERROR(__xludf.DUMMYFUNCTION("""COMPUTED_VALUE"""),"QNST")</f>
        <v>QNST</v>
      </c>
      <c r="D2756" s="2" t="str">
        <f>LEFT(B2756,4)</f>
        <v>2016</v>
      </c>
      <c r="E2756" s="2" t="str">
        <f>MID(B2756,5,2)</f>
        <v>02</v>
      </c>
      <c r="F2756" s="2" t="str">
        <f>RIGHT(B2756,2)</f>
        <v>09</v>
      </c>
      <c r="G2756" s="29">
        <f>DATE(D2756,E2756,F2756)</f>
        <v>42409</v>
      </c>
    </row>
    <row r="2757" hidden="1">
      <c r="A2757" s="1" t="s">
        <v>642</v>
      </c>
    </row>
    <row r="2758" hidden="1">
      <c r="A2758" s="1" t="s">
        <v>643</v>
      </c>
    </row>
    <row r="2759">
      <c r="A2759" s="1" t="s">
        <v>1957</v>
      </c>
      <c r="B2759" s="2">
        <f>IFERROR(__xludf.DUMMYFUNCTION("SPLIT(A2759,""_"")"),2.0160209E7)</f>
        <v>20160209</v>
      </c>
      <c r="C2759" s="2" t="str">
        <f>IFERROR(__xludf.DUMMYFUNCTION("""COMPUTED_VALUE"""),"SCSC")</f>
        <v>SCSC</v>
      </c>
      <c r="D2759" s="2" t="str">
        <f>LEFT(B2759,4)</f>
        <v>2016</v>
      </c>
      <c r="E2759" s="2" t="str">
        <f>MID(B2759,5,2)</f>
        <v>02</v>
      </c>
      <c r="F2759" s="2" t="str">
        <f>RIGHT(B2759,2)</f>
        <v>09</v>
      </c>
      <c r="G2759" s="29">
        <f>DATE(D2759,E2759,F2759)</f>
        <v>42409</v>
      </c>
    </row>
    <row r="2760" hidden="1">
      <c r="A2760" s="1" t="s">
        <v>642</v>
      </c>
    </row>
    <row r="2761" hidden="1">
      <c r="A2761" s="1" t="s">
        <v>643</v>
      </c>
    </row>
    <row r="2762">
      <c r="A2762" s="1" t="s">
        <v>1958</v>
      </c>
      <c r="B2762" s="2">
        <f>IFERROR(__xludf.DUMMYFUNCTION("SPLIT(A2762,""_"")"),2.0160209E7)</f>
        <v>20160209</v>
      </c>
      <c r="C2762" s="2" t="str">
        <f>IFERROR(__xludf.DUMMYFUNCTION("""COMPUTED_VALUE"""),"STE")</f>
        <v>STE</v>
      </c>
      <c r="D2762" s="2" t="str">
        <f>LEFT(B2762,4)</f>
        <v>2016</v>
      </c>
      <c r="E2762" s="2" t="str">
        <f>MID(B2762,5,2)</f>
        <v>02</v>
      </c>
      <c r="F2762" s="2" t="str">
        <f>RIGHT(B2762,2)</f>
        <v>09</v>
      </c>
      <c r="G2762" s="29">
        <f>DATE(D2762,E2762,F2762)</f>
        <v>42409</v>
      </c>
    </row>
    <row r="2763" hidden="1">
      <c r="A2763" s="1" t="s">
        <v>642</v>
      </c>
    </row>
    <row r="2764" hidden="1">
      <c r="A2764" s="1" t="s">
        <v>643</v>
      </c>
    </row>
    <row r="2765">
      <c r="A2765" s="1" t="s">
        <v>1959</v>
      </c>
      <c r="B2765" s="2">
        <f>IFERROR(__xludf.DUMMYFUNCTION("SPLIT(A2765,""_"")"),2.0160209E7)</f>
        <v>20160209</v>
      </c>
      <c r="C2765" s="2" t="str">
        <f>IFERROR(__xludf.DUMMYFUNCTION("""COMPUTED_VALUE"""),"TDG")</f>
        <v>TDG</v>
      </c>
      <c r="D2765" s="2" t="str">
        <f>LEFT(B2765,4)</f>
        <v>2016</v>
      </c>
      <c r="E2765" s="2" t="str">
        <f>MID(B2765,5,2)</f>
        <v>02</v>
      </c>
      <c r="F2765" s="2" t="str">
        <f>RIGHT(B2765,2)</f>
        <v>09</v>
      </c>
      <c r="G2765" s="29">
        <f>DATE(D2765,E2765,F2765)</f>
        <v>42409</v>
      </c>
    </row>
    <row r="2766" hidden="1">
      <c r="A2766" s="1" t="s">
        <v>642</v>
      </c>
    </row>
    <row r="2767" hidden="1">
      <c r="A2767" s="1" t="s">
        <v>643</v>
      </c>
    </row>
    <row r="2768">
      <c r="A2768" s="1" t="s">
        <v>1960</v>
      </c>
      <c r="B2768" s="2">
        <f>IFERROR(__xludf.DUMMYFUNCTION("SPLIT(A2768,""_"")"),2.0160209E7)</f>
        <v>20160209</v>
      </c>
      <c r="C2768" s="2" t="str">
        <f>IFERROR(__xludf.DUMMYFUNCTION("""COMPUTED_VALUE"""),"WCG")</f>
        <v>WCG</v>
      </c>
      <c r="D2768" s="2" t="str">
        <f>LEFT(B2768,4)</f>
        <v>2016</v>
      </c>
      <c r="E2768" s="2" t="str">
        <f>MID(B2768,5,2)</f>
        <v>02</v>
      </c>
      <c r="F2768" s="2" t="str">
        <f>RIGHT(B2768,2)</f>
        <v>09</v>
      </c>
      <c r="G2768" s="29">
        <f>DATE(D2768,E2768,F2768)</f>
        <v>42409</v>
      </c>
    </row>
    <row r="2769" hidden="1">
      <c r="A2769" s="1" t="s">
        <v>642</v>
      </c>
    </row>
    <row r="2770" hidden="1">
      <c r="A2770" s="1" t="s">
        <v>643</v>
      </c>
    </row>
    <row r="2771">
      <c r="A2771" s="1" t="s">
        <v>1961</v>
      </c>
      <c r="B2771" s="2">
        <f>IFERROR(__xludf.DUMMYFUNCTION("SPLIT(A2771,""_"")"),2.0160209E7)</f>
        <v>20160209</v>
      </c>
      <c r="C2771" s="2" t="str">
        <f>IFERROR(__xludf.DUMMYFUNCTION("""COMPUTED_VALUE"""),"WYND")</f>
        <v>WYND</v>
      </c>
      <c r="D2771" s="2" t="str">
        <f>LEFT(B2771,4)</f>
        <v>2016</v>
      </c>
      <c r="E2771" s="2" t="str">
        <f>MID(B2771,5,2)</f>
        <v>02</v>
      </c>
      <c r="F2771" s="2" t="str">
        <f>RIGHT(B2771,2)</f>
        <v>09</v>
      </c>
      <c r="G2771" s="29">
        <f>DATE(D2771,E2771,F2771)</f>
        <v>42409</v>
      </c>
    </row>
    <row r="2772" hidden="1">
      <c r="A2772" s="1" t="s">
        <v>642</v>
      </c>
    </row>
    <row r="2773" hidden="1">
      <c r="A2773" s="1" t="s">
        <v>643</v>
      </c>
    </row>
    <row r="2774">
      <c r="A2774" s="1" t="s">
        <v>1962</v>
      </c>
      <c r="B2774" s="2">
        <f>IFERROR(__xludf.DUMMYFUNCTION("SPLIT(A2774,""_"")"),2.016021E7)</f>
        <v>20160210</v>
      </c>
      <c r="C2774" s="2" t="str">
        <f>IFERROR(__xludf.DUMMYFUNCTION("""COMPUTED_VALUE"""),"CTL")</f>
        <v>CTL</v>
      </c>
      <c r="D2774" s="2" t="str">
        <f>LEFT(B2774,4)</f>
        <v>2016</v>
      </c>
      <c r="E2774" s="2" t="str">
        <f>MID(B2774,5,2)</f>
        <v>02</v>
      </c>
      <c r="F2774" s="2" t="str">
        <f>RIGHT(B2774,2)</f>
        <v>10</v>
      </c>
      <c r="G2774" s="29">
        <f>DATE(D2774,E2774,F2774)</f>
        <v>42410</v>
      </c>
    </row>
    <row r="2775" hidden="1">
      <c r="A2775" s="1" t="s">
        <v>642</v>
      </c>
    </row>
    <row r="2776" hidden="1">
      <c r="A2776" s="1" t="s">
        <v>643</v>
      </c>
    </row>
    <row r="2777">
      <c r="A2777" s="1" t="s">
        <v>1963</v>
      </c>
      <c r="B2777" s="2">
        <f>IFERROR(__xludf.DUMMYFUNCTION("SPLIT(A2777,""_"")"),2.016021E7)</f>
        <v>20160210</v>
      </c>
      <c r="C2777" s="2" t="str">
        <f>IFERROR(__xludf.DUMMYFUNCTION("""COMPUTED_VALUE"""),"DTE")</f>
        <v>DTE</v>
      </c>
      <c r="D2777" s="2" t="str">
        <f>LEFT(B2777,4)</f>
        <v>2016</v>
      </c>
      <c r="E2777" s="2" t="str">
        <f>MID(B2777,5,2)</f>
        <v>02</v>
      </c>
      <c r="F2777" s="2" t="str">
        <f>RIGHT(B2777,2)</f>
        <v>10</v>
      </c>
      <c r="G2777" s="29">
        <f>DATE(D2777,E2777,F2777)</f>
        <v>42410</v>
      </c>
    </row>
    <row r="2778" hidden="1">
      <c r="A2778" s="1" t="s">
        <v>642</v>
      </c>
    </row>
    <row r="2779" hidden="1">
      <c r="A2779" s="1" t="s">
        <v>643</v>
      </c>
    </row>
    <row r="2780">
      <c r="A2780" s="1" t="s">
        <v>1964</v>
      </c>
      <c r="B2780" s="2">
        <f>IFERROR(__xludf.DUMMYFUNCTION("SPLIT(A2780,""_"")"),2.016021E7)</f>
        <v>20160210</v>
      </c>
      <c r="C2780" s="2" t="str">
        <f>IFERROR(__xludf.DUMMYFUNCTION("""COMPUTED_VALUE"""),"INTL")</f>
        <v>INTL</v>
      </c>
      <c r="D2780" s="2" t="str">
        <f>LEFT(B2780,4)</f>
        <v>2016</v>
      </c>
      <c r="E2780" s="2" t="str">
        <f>MID(B2780,5,2)</f>
        <v>02</v>
      </c>
      <c r="F2780" s="2" t="str">
        <f>RIGHT(B2780,2)</f>
        <v>10</v>
      </c>
      <c r="G2780" s="29">
        <f>DATE(D2780,E2780,F2780)</f>
        <v>42410</v>
      </c>
    </row>
    <row r="2781" hidden="1">
      <c r="A2781" s="1" t="s">
        <v>642</v>
      </c>
    </row>
    <row r="2782" hidden="1">
      <c r="A2782" s="1" t="s">
        <v>643</v>
      </c>
    </row>
    <row r="2783">
      <c r="A2783" s="1" t="s">
        <v>1965</v>
      </c>
      <c r="B2783" s="2">
        <f>IFERROR(__xludf.DUMMYFUNCTION("SPLIT(A2783,""_"")"),2.016021E7)</f>
        <v>20160210</v>
      </c>
      <c r="C2783" s="2" t="str">
        <f>IFERROR(__xludf.DUMMYFUNCTION("""COMPUTED_VALUE"""),"LGND")</f>
        <v>LGND</v>
      </c>
      <c r="D2783" s="2" t="str">
        <f>LEFT(B2783,4)</f>
        <v>2016</v>
      </c>
      <c r="E2783" s="2" t="str">
        <f>MID(B2783,5,2)</f>
        <v>02</v>
      </c>
      <c r="F2783" s="2" t="str">
        <f>RIGHT(B2783,2)</f>
        <v>10</v>
      </c>
      <c r="G2783" s="29">
        <f>DATE(D2783,E2783,F2783)</f>
        <v>42410</v>
      </c>
    </row>
    <row r="2784" hidden="1">
      <c r="A2784" s="1" t="s">
        <v>642</v>
      </c>
    </row>
    <row r="2785" hidden="1">
      <c r="A2785" s="1" t="s">
        <v>643</v>
      </c>
    </row>
    <row r="2786">
      <c r="A2786" s="1" t="s">
        <v>1966</v>
      </c>
      <c r="B2786" s="2">
        <f>IFERROR(__xludf.DUMMYFUNCTION("SPLIT(A2786,""_"")"),2.016021E7)</f>
        <v>20160210</v>
      </c>
      <c r="C2786" s="2" t="str">
        <f>IFERROR(__xludf.DUMMYFUNCTION("""COMPUTED_VALUE"""),"LPSN")</f>
        <v>LPSN</v>
      </c>
      <c r="D2786" s="2" t="str">
        <f>LEFT(B2786,4)</f>
        <v>2016</v>
      </c>
      <c r="E2786" s="2" t="str">
        <f>MID(B2786,5,2)</f>
        <v>02</v>
      </c>
      <c r="F2786" s="2" t="str">
        <f>RIGHT(B2786,2)</f>
        <v>10</v>
      </c>
      <c r="G2786" s="29">
        <f>DATE(D2786,E2786,F2786)</f>
        <v>42410</v>
      </c>
    </row>
    <row r="2787" hidden="1">
      <c r="A2787" s="1" t="s">
        <v>642</v>
      </c>
    </row>
    <row r="2788" hidden="1">
      <c r="A2788" s="1" t="s">
        <v>643</v>
      </c>
    </row>
    <row r="2789">
      <c r="A2789" s="1" t="s">
        <v>1967</v>
      </c>
      <c r="B2789" s="2">
        <f>IFERROR(__xludf.DUMMYFUNCTION("SPLIT(A2789,""_"")"),2.016021E7)</f>
        <v>20160210</v>
      </c>
      <c r="C2789" s="2" t="str">
        <f>IFERROR(__xludf.DUMMYFUNCTION("""COMPUTED_VALUE"""),"MDSO")</f>
        <v>MDSO</v>
      </c>
      <c r="D2789" s="2" t="str">
        <f>LEFT(B2789,4)</f>
        <v>2016</v>
      </c>
      <c r="E2789" s="2" t="str">
        <f>MID(B2789,5,2)</f>
        <v>02</v>
      </c>
      <c r="F2789" s="2" t="str">
        <f>RIGHT(B2789,2)</f>
        <v>10</v>
      </c>
      <c r="G2789" s="29">
        <f>DATE(D2789,E2789,F2789)</f>
        <v>42410</v>
      </c>
    </row>
    <row r="2790" hidden="1">
      <c r="A2790" s="1" t="s">
        <v>642</v>
      </c>
    </row>
    <row r="2791" hidden="1">
      <c r="A2791" s="1" t="s">
        <v>643</v>
      </c>
    </row>
    <row r="2792">
      <c r="A2792" s="1" t="s">
        <v>1968</v>
      </c>
      <c r="B2792" s="2">
        <f>IFERROR(__xludf.DUMMYFUNCTION("SPLIT(A2792,""_"")"),2.016021E7)</f>
        <v>20160210</v>
      </c>
      <c r="C2792" s="2" t="str">
        <f>IFERROR(__xludf.DUMMYFUNCTION("""COMPUTED_VALUE"""),"NSIT")</f>
        <v>NSIT</v>
      </c>
      <c r="D2792" s="2" t="str">
        <f>LEFT(B2792,4)</f>
        <v>2016</v>
      </c>
      <c r="E2792" s="2" t="str">
        <f>MID(B2792,5,2)</f>
        <v>02</v>
      </c>
      <c r="F2792" s="2" t="str">
        <f>RIGHT(B2792,2)</f>
        <v>10</v>
      </c>
      <c r="G2792" s="29">
        <f>DATE(D2792,E2792,F2792)</f>
        <v>42410</v>
      </c>
    </row>
    <row r="2793" hidden="1">
      <c r="A2793" s="1" t="s">
        <v>642</v>
      </c>
    </row>
    <row r="2794" hidden="1">
      <c r="A2794" s="1" t="s">
        <v>643</v>
      </c>
    </row>
    <row r="2795">
      <c r="A2795" s="1" t="s">
        <v>1969</v>
      </c>
      <c r="B2795" s="2">
        <f>IFERROR(__xludf.DUMMYFUNCTION("SPLIT(A2795,""_"")"),2.0160211E7)</f>
        <v>20160211</v>
      </c>
      <c r="C2795" s="2" t="str">
        <f>IFERROR(__xludf.DUMMYFUNCTION("""COMPUTED_VALUE"""),"AAP")</f>
        <v>AAP</v>
      </c>
      <c r="D2795" s="2" t="str">
        <f>LEFT(B2795,4)</f>
        <v>2016</v>
      </c>
      <c r="E2795" s="2" t="str">
        <f>MID(B2795,5,2)</f>
        <v>02</v>
      </c>
      <c r="F2795" s="2" t="str">
        <f>RIGHT(B2795,2)</f>
        <v>11</v>
      </c>
      <c r="G2795" s="29">
        <f>DATE(D2795,E2795,F2795)</f>
        <v>42411</v>
      </c>
    </row>
    <row r="2796" hidden="1">
      <c r="A2796" s="1" t="s">
        <v>642</v>
      </c>
    </row>
    <row r="2797" hidden="1">
      <c r="A2797" s="1" t="s">
        <v>643</v>
      </c>
    </row>
    <row r="2798">
      <c r="A2798" s="1" t="s">
        <v>1970</v>
      </c>
      <c r="B2798" s="2">
        <f>IFERROR(__xludf.DUMMYFUNCTION("SPLIT(A2798,""_"")"),2.0160211E7)</f>
        <v>20160211</v>
      </c>
      <c r="C2798" s="2" t="str">
        <f>IFERROR(__xludf.DUMMYFUNCTION("""COMPUTED_VALUE"""),"ATVI")</f>
        <v>ATVI</v>
      </c>
      <c r="D2798" s="2" t="str">
        <f>LEFT(B2798,4)</f>
        <v>2016</v>
      </c>
      <c r="E2798" s="2" t="str">
        <f>MID(B2798,5,2)</f>
        <v>02</v>
      </c>
      <c r="F2798" s="2" t="str">
        <f>RIGHT(B2798,2)</f>
        <v>11</v>
      </c>
      <c r="G2798" s="29">
        <f>DATE(D2798,E2798,F2798)</f>
        <v>42411</v>
      </c>
    </row>
    <row r="2799" hidden="1">
      <c r="A2799" s="1" t="s">
        <v>642</v>
      </c>
    </row>
    <row r="2800" hidden="1">
      <c r="A2800" s="1" t="s">
        <v>643</v>
      </c>
    </row>
    <row r="2801">
      <c r="A2801" s="1" t="s">
        <v>1971</v>
      </c>
      <c r="B2801" s="2">
        <f>IFERROR(__xludf.DUMMYFUNCTION("SPLIT(A2801,""_"")"),2.0160211E7)</f>
        <v>20160211</v>
      </c>
      <c r="C2801" s="2" t="str">
        <f>IFERROR(__xludf.DUMMYFUNCTION("""COMPUTED_VALUE"""),"BWA")</f>
        <v>BWA</v>
      </c>
      <c r="D2801" s="2" t="str">
        <f>LEFT(B2801,4)</f>
        <v>2016</v>
      </c>
      <c r="E2801" s="2" t="str">
        <f>MID(B2801,5,2)</f>
        <v>02</v>
      </c>
      <c r="F2801" s="2" t="str">
        <f>RIGHT(B2801,2)</f>
        <v>11</v>
      </c>
      <c r="G2801" s="29">
        <f>DATE(D2801,E2801,F2801)</f>
        <v>42411</v>
      </c>
    </row>
    <row r="2802" hidden="1">
      <c r="A2802" s="1" t="s">
        <v>642</v>
      </c>
    </row>
    <row r="2803" hidden="1">
      <c r="A2803" s="1" t="s">
        <v>643</v>
      </c>
    </row>
    <row r="2804">
      <c r="A2804" s="1" t="s">
        <v>1972</v>
      </c>
      <c r="B2804" s="2">
        <f>IFERROR(__xludf.DUMMYFUNCTION("SPLIT(A2804,""_"")"),2.0160211E7)</f>
        <v>20160211</v>
      </c>
      <c r="C2804" s="2" t="str">
        <f>IFERROR(__xludf.DUMMYFUNCTION("""COMPUTED_VALUE"""),"CRAY")</f>
        <v>CRAY</v>
      </c>
      <c r="D2804" s="2" t="str">
        <f>LEFT(B2804,4)</f>
        <v>2016</v>
      </c>
      <c r="E2804" s="2" t="str">
        <f>MID(B2804,5,2)</f>
        <v>02</v>
      </c>
      <c r="F2804" s="2" t="str">
        <f>RIGHT(B2804,2)</f>
        <v>11</v>
      </c>
      <c r="G2804" s="29">
        <f>DATE(D2804,E2804,F2804)</f>
        <v>42411</v>
      </c>
    </row>
    <row r="2805" hidden="1">
      <c r="A2805" s="1" t="s">
        <v>642</v>
      </c>
    </row>
    <row r="2806" hidden="1">
      <c r="A2806" s="1" t="s">
        <v>643</v>
      </c>
    </row>
    <row r="2807">
      <c r="A2807" s="1" t="s">
        <v>1973</v>
      </c>
      <c r="B2807" s="2">
        <f>IFERROR(__xludf.DUMMYFUNCTION("SPLIT(A2807,""_"")"),2.0160211E7)</f>
        <v>20160211</v>
      </c>
      <c r="C2807" s="2" t="str">
        <f>IFERROR(__xludf.DUMMYFUNCTION("""COMPUTED_VALUE"""),"FAF")</f>
        <v>FAF</v>
      </c>
      <c r="D2807" s="2" t="str">
        <f>LEFT(B2807,4)</f>
        <v>2016</v>
      </c>
      <c r="E2807" s="2" t="str">
        <f>MID(B2807,5,2)</f>
        <v>02</v>
      </c>
      <c r="F2807" s="2" t="str">
        <f>RIGHT(B2807,2)</f>
        <v>11</v>
      </c>
      <c r="G2807" s="29">
        <f>DATE(D2807,E2807,F2807)</f>
        <v>42411</v>
      </c>
    </row>
    <row r="2808" hidden="1">
      <c r="A2808" s="1" t="s">
        <v>642</v>
      </c>
    </row>
    <row r="2809" hidden="1">
      <c r="A2809" s="1" t="s">
        <v>643</v>
      </c>
    </row>
    <row r="2810">
      <c r="A2810" s="1" t="s">
        <v>1974</v>
      </c>
      <c r="B2810" s="2">
        <f>IFERROR(__xludf.DUMMYFUNCTION("SPLIT(A2810,""_"")"),2.0160211E7)</f>
        <v>20160211</v>
      </c>
      <c r="C2810" s="2" t="str">
        <f>IFERROR(__xludf.DUMMYFUNCTION("""COMPUTED_VALUE"""),"FLO")</f>
        <v>FLO</v>
      </c>
      <c r="D2810" s="2" t="str">
        <f>LEFT(B2810,4)</f>
        <v>2016</v>
      </c>
      <c r="E2810" s="2" t="str">
        <f>MID(B2810,5,2)</f>
        <v>02</v>
      </c>
      <c r="F2810" s="2" t="str">
        <f>RIGHT(B2810,2)</f>
        <v>11</v>
      </c>
      <c r="G2810" s="29">
        <f>DATE(D2810,E2810,F2810)</f>
        <v>42411</v>
      </c>
    </row>
    <row r="2811" hidden="1">
      <c r="A2811" s="1" t="s">
        <v>642</v>
      </c>
    </row>
    <row r="2812" hidden="1">
      <c r="A2812" s="1" t="s">
        <v>643</v>
      </c>
    </row>
    <row r="2813">
      <c r="A2813" s="1" t="s">
        <v>1975</v>
      </c>
      <c r="B2813" s="2">
        <f>IFERROR(__xludf.DUMMYFUNCTION("SPLIT(A2813,""_"")"),2.0160211E7)</f>
        <v>20160211</v>
      </c>
      <c r="C2813" s="2" t="str">
        <f>IFERROR(__xludf.DUMMYFUNCTION("""COMPUTED_VALUE"""),"IVC")</f>
        <v>IVC</v>
      </c>
      <c r="D2813" s="2" t="str">
        <f>LEFT(B2813,4)</f>
        <v>2016</v>
      </c>
      <c r="E2813" s="2" t="str">
        <f>MID(B2813,5,2)</f>
        <v>02</v>
      </c>
      <c r="F2813" s="2" t="str">
        <f>RIGHT(B2813,2)</f>
        <v>11</v>
      </c>
      <c r="G2813" s="29">
        <f>DATE(D2813,E2813,F2813)</f>
        <v>42411</v>
      </c>
    </row>
    <row r="2814" hidden="1">
      <c r="A2814" s="1" t="s">
        <v>642</v>
      </c>
    </row>
    <row r="2815" hidden="1">
      <c r="A2815" s="1" t="s">
        <v>643</v>
      </c>
    </row>
    <row r="2816">
      <c r="A2816" s="1" t="s">
        <v>1976</v>
      </c>
      <c r="B2816" s="2">
        <f>IFERROR(__xludf.DUMMYFUNCTION("SPLIT(A2816,""_"")"),2.0160211E7)</f>
        <v>20160211</v>
      </c>
      <c r="C2816" s="2" t="str">
        <f>IFERROR(__xludf.DUMMYFUNCTION("""COMPUTED_VALUE"""),"LOGM")</f>
        <v>LOGM</v>
      </c>
      <c r="D2816" s="2" t="str">
        <f>LEFT(B2816,4)</f>
        <v>2016</v>
      </c>
      <c r="E2816" s="2" t="str">
        <f>MID(B2816,5,2)</f>
        <v>02</v>
      </c>
      <c r="F2816" s="2" t="str">
        <f>RIGHT(B2816,2)</f>
        <v>11</v>
      </c>
      <c r="G2816" s="29">
        <f>DATE(D2816,E2816,F2816)</f>
        <v>42411</v>
      </c>
    </row>
    <row r="2817" hidden="1">
      <c r="A2817" s="1" t="s">
        <v>642</v>
      </c>
    </row>
    <row r="2818" hidden="1">
      <c r="A2818" s="1" t="s">
        <v>643</v>
      </c>
    </row>
    <row r="2819">
      <c r="A2819" s="1" t="s">
        <v>1977</v>
      </c>
      <c r="B2819" s="2">
        <f>IFERROR(__xludf.DUMMYFUNCTION("SPLIT(A2819,""_"")"),2.0160211E7)</f>
        <v>20160211</v>
      </c>
      <c r="C2819" s="2" t="str">
        <f>IFERROR(__xludf.DUMMYFUNCTION("""COMPUTED_VALUE"""),"LPX")</f>
        <v>LPX</v>
      </c>
      <c r="D2819" s="2" t="str">
        <f>LEFT(B2819,4)</f>
        <v>2016</v>
      </c>
      <c r="E2819" s="2" t="str">
        <f>MID(B2819,5,2)</f>
        <v>02</v>
      </c>
      <c r="F2819" s="2" t="str">
        <f>RIGHT(B2819,2)</f>
        <v>11</v>
      </c>
      <c r="G2819" s="29">
        <f>DATE(D2819,E2819,F2819)</f>
        <v>42411</v>
      </c>
    </row>
    <row r="2820" hidden="1">
      <c r="A2820" s="1" t="s">
        <v>642</v>
      </c>
    </row>
    <row r="2821" hidden="1">
      <c r="A2821" s="1" t="s">
        <v>643</v>
      </c>
    </row>
    <row r="2822">
      <c r="A2822" s="1" t="s">
        <v>1978</v>
      </c>
      <c r="B2822" s="2">
        <f>IFERROR(__xludf.DUMMYFUNCTION("SPLIT(A2822,""_"")"),2.0160211E7)</f>
        <v>20160211</v>
      </c>
      <c r="C2822" s="2" t="str">
        <f>IFERROR(__xludf.DUMMYFUNCTION("""COMPUTED_VALUE"""),"NNN")</f>
        <v>NNN</v>
      </c>
      <c r="D2822" s="2" t="str">
        <f>LEFT(B2822,4)</f>
        <v>2016</v>
      </c>
      <c r="E2822" s="2" t="str">
        <f>MID(B2822,5,2)</f>
        <v>02</v>
      </c>
      <c r="F2822" s="2" t="str">
        <f>RIGHT(B2822,2)</f>
        <v>11</v>
      </c>
      <c r="G2822" s="29">
        <f>DATE(D2822,E2822,F2822)</f>
        <v>42411</v>
      </c>
    </row>
    <row r="2823" hidden="1">
      <c r="A2823" s="1" t="s">
        <v>642</v>
      </c>
    </row>
    <row r="2824" hidden="1">
      <c r="A2824" s="1" t="s">
        <v>643</v>
      </c>
    </row>
    <row r="2825">
      <c r="A2825" s="1" t="s">
        <v>1979</v>
      </c>
      <c r="B2825" s="2">
        <f>IFERROR(__xludf.DUMMYFUNCTION("SPLIT(A2825,""_"")"),2.0160211E7)</f>
        <v>20160211</v>
      </c>
      <c r="C2825" s="2" t="str">
        <f>IFERROR(__xludf.DUMMYFUNCTION("""COMPUTED_VALUE"""),"NUS")</f>
        <v>NUS</v>
      </c>
      <c r="D2825" s="2" t="str">
        <f>LEFT(B2825,4)</f>
        <v>2016</v>
      </c>
      <c r="E2825" s="2" t="str">
        <f>MID(B2825,5,2)</f>
        <v>02</v>
      </c>
      <c r="F2825" s="2" t="str">
        <f>RIGHT(B2825,2)</f>
        <v>11</v>
      </c>
      <c r="G2825" s="29">
        <f>DATE(D2825,E2825,F2825)</f>
        <v>42411</v>
      </c>
    </row>
    <row r="2826" hidden="1">
      <c r="A2826" s="1" t="s">
        <v>642</v>
      </c>
    </row>
    <row r="2827" hidden="1">
      <c r="A2827" s="1" t="s">
        <v>643</v>
      </c>
    </row>
    <row r="2828">
      <c r="A2828" s="1" t="s">
        <v>1980</v>
      </c>
      <c r="B2828" s="2">
        <f>IFERROR(__xludf.DUMMYFUNCTION("SPLIT(A2828,""_"")"),2.0160211E7)</f>
        <v>20160211</v>
      </c>
      <c r="C2828" s="2" t="str">
        <f>IFERROR(__xludf.DUMMYFUNCTION("""COMPUTED_VALUE"""),"NUVA")</f>
        <v>NUVA</v>
      </c>
      <c r="D2828" s="2" t="str">
        <f>LEFT(B2828,4)</f>
        <v>2016</v>
      </c>
      <c r="E2828" s="2" t="str">
        <f>MID(B2828,5,2)</f>
        <v>02</v>
      </c>
      <c r="F2828" s="2" t="str">
        <f>RIGHT(B2828,2)</f>
        <v>11</v>
      </c>
      <c r="G2828" s="29">
        <f>DATE(D2828,E2828,F2828)</f>
        <v>42411</v>
      </c>
    </row>
    <row r="2829" hidden="1">
      <c r="A2829" s="1" t="s">
        <v>642</v>
      </c>
    </row>
    <row r="2830" hidden="1">
      <c r="A2830" s="1" t="s">
        <v>643</v>
      </c>
    </row>
    <row r="2831">
      <c r="A2831" s="1" t="s">
        <v>1981</v>
      </c>
      <c r="B2831" s="2">
        <f>IFERROR(__xludf.DUMMYFUNCTION("SPLIT(A2831,""_"")"),2.0160211E7)</f>
        <v>20160211</v>
      </c>
      <c r="C2831" s="2" t="str">
        <f>IFERROR(__xludf.DUMMYFUNCTION("""COMPUTED_VALUE"""),"PDFS")</f>
        <v>PDFS</v>
      </c>
      <c r="D2831" s="2" t="str">
        <f>LEFT(B2831,4)</f>
        <v>2016</v>
      </c>
      <c r="E2831" s="2" t="str">
        <f>MID(B2831,5,2)</f>
        <v>02</v>
      </c>
      <c r="F2831" s="2" t="str">
        <f>RIGHT(B2831,2)</f>
        <v>11</v>
      </c>
      <c r="G2831" s="29">
        <f>DATE(D2831,E2831,F2831)</f>
        <v>42411</v>
      </c>
    </row>
    <row r="2832" hidden="1">
      <c r="A2832" s="1" t="s">
        <v>642</v>
      </c>
    </row>
    <row r="2833" hidden="1">
      <c r="A2833" s="1" t="s">
        <v>643</v>
      </c>
    </row>
    <row r="2834">
      <c r="A2834" s="1" t="s">
        <v>1982</v>
      </c>
      <c r="B2834" s="2">
        <f>IFERROR(__xludf.DUMMYFUNCTION("SPLIT(A2834,""_"")"),2.0160211E7)</f>
        <v>20160211</v>
      </c>
      <c r="C2834" s="2" t="str">
        <f>IFERROR(__xludf.DUMMYFUNCTION("""COMPUTED_VALUE"""),"SON")</f>
        <v>SON</v>
      </c>
      <c r="D2834" s="2" t="str">
        <f>LEFT(B2834,4)</f>
        <v>2016</v>
      </c>
      <c r="E2834" s="2" t="str">
        <f>MID(B2834,5,2)</f>
        <v>02</v>
      </c>
      <c r="F2834" s="2" t="str">
        <f>RIGHT(B2834,2)</f>
        <v>11</v>
      </c>
      <c r="G2834" s="29">
        <f>DATE(D2834,E2834,F2834)</f>
        <v>42411</v>
      </c>
    </row>
    <row r="2835" hidden="1">
      <c r="A2835" s="1" t="s">
        <v>642</v>
      </c>
    </row>
    <row r="2836" hidden="1">
      <c r="A2836" s="1" t="s">
        <v>643</v>
      </c>
    </row>
    <row r="2837">
      <c r="A2837" s="1" t="s">
        <v>1983</v>
      </c>
      <c r="B2837" s="2">
        <f>IFERROR(__xludf.DUMMYFUNCTION("SPLIT(A2837,""_"")"),2.0160211E7)</f>
        <v>20160211</v>
      </c>
      <c r="C2837" s="2" t="str">
        <f>IFERROR(__xludf.DUMMYFUNCTION("""COMPUTED_VALUE"""),"TRIP")</f>
        <v>TRIP</v>
      </c>
      <c r="D2837" s="2" t="str">
        <f>LEFT(B2837,4)</f>
        <v>2016</v>
      </c>
      <c r="E2837" s="2" t="str">
        <f>MID(B2837,5,2)</f>
        <v>02</v>
      </c>
      <c r="F2837" s="2" t="str">
        <f>RIGHT(B2837,2)</f>
        <v>11</v>
      </c>
      <c r="G2837" s="29">
        <f>DATE(D2837,E2837,F2837)</f>
        <v>42411</v>
      </c>
    </row>
    <row r="2838" hidden="1">
      <c r="A2838" s="1" t="s">
        <v>642</v>
      </c>
    </row>
    <row r="2839" hidden="1">
      <c r="A2839" s="1" t="s">
        <v>643</v>
      </c>
    </row>
    <row r="2840">
      <c r="A2840" s="1" t="s">
        <v>1984</v>
      </c>
      <c r="B2840" s="2">
        <f>IFERROR(__xludf.DUMMYFUNCTION("SPLIT(A2840,""_"")"),2.0160211E7)</f>
        <v>20160211</v>
      </c>
      <c r="C2840" s="2" t="str">
        <f>IFERROR(__xludf.DUMMYFUNCTION("""COMPUTED_VALUE"""),"TYPE")</f>
        <v>TYPE</v>
      </c>
      <c r="D2840" s="2" t="str">
        <f>LEFT(B2840,4)</f>
        <v>2016</v>
      </c>
      <c r="E2840" s="2" t="str">
        <f>MID(B2840,5,2)</f>
        <v>02</v>
      </c>
      <c r="F2840" s="2" t="str">
        <f>RIGHT(B2840,2)</f>
        <v>11</v>
      </c>
      <c r="G2840" s="29">
        <f>DATE(D2840,E2840,F2840)</f>
        <v>42411</v>
      </c>
    </row>
    <row r="2841" hidden="1">
      <c r="A2841" s="1" t="s">
        <v>642</v>
      </c>
    </row>
    <row r="2842" hidden="1">
      <c r="A2842" s="1" t="s">
        <v>643</v>
      </c>
    </row>
    <row r="2843">
      <c r="A2843" s="1" t="s">
        <v>1985</v>
      </c>
      <c r="B2843" s="2">
        <f>IFERROR(__xludf.DUMMYFUNCTION("SPLIT(A2843,""_"")"),2.0160211E7)</f>
        <v>20160211</v>
      </c>
      <c r="C2843" s="2" t="str">
        <f>IFERROR(__xludf.DUMMYFUNCTION("""COMPUTED_VALUE"""),"VG")</f>
        <v>VG</v>
      </c>
      <c r="D2843" s="2" t="str">
        <f>LEFT(B2843,4)</f>
        <v>2016</v>
      </c>
      <c r="E2843" s="2" t="str">
        <f>MID(B2843,5,2)</f>
        <v>02</v>
      </c>
      <c r="F2843" s="2" t="str">
        <f>RIGHT(B2843,2)</f>
        <v>11</v>
      </c>
      <c r="G2843" s="29">
        <f>DATE(D2843,E2843,F2843)</f>
        <v>42411</v>
      </c>
    </row>
    <row r="2844" hidden="1">
      <c r="A2844" s="1" t="s">
        <v>642</v>
      </c>
    </row>
    <row r="2845" hidden="1">
      <c r="A2845" s="1" t="s">
        <v>643</v>
      </c>
    </row>
    <row r="2846">
      <c r="A2846" s="1" t="s">
        <v>1986</v>
      </c>
      <c r="B2846" s="2">
        <f>IFERROR(__xludf.DUMMYFUNCTION("SPLIT(A2846,""_"")"),2.0160211E7)</f>
        <v>20160211</v>
      </c>
      <c r="C2846" s="2" t="str">
        <f>IFERROR(__xludf.DUMMYFUNCTION("""COMPUTED_VALUE"""),"VRSN")</f>
        <v>VRSN</v>
      </c>
      <c r="D2846" s="2" t="str">
        <f>LEFT(B2846,4)</f>
        <v>2016</v>
      </c>
      <c r="E2846" s="2" t="str">
        <f>MID(B2846,5,2)</f>
        <v>02</v>
      </c>
      <c r="F2846" s="2" t="str">
        <f>RIGHT(B2846,2)</f>
        <v>11</v>
      </c>
      <c r="G2846" s="29">
        <f>DATE(D2846,E2846,F2846)</f>
        <v>42411</v>
      </c>
    </row>
    <row r="2847" hidden="1">
      <c r="A2847" s="1" t="s">
        <v>642</v>
      </c>
    </row>
    <row r="2848" hidden="1">
      <c r="A2848" s="1" t="s">
        <v>643</v>
      </c>
    </row>
    <row r="2849">
      <c r="A2849" s="1" t="s">
        <v>1987</v>
      </c>
      <c r="B2849" s="2">
        <f>IFERROR(__xludf.DUMMYFUNCTION("SPLIT(A2849,""_"")"),2.0160211E7)</f>
        <v>20160211</v>
      </c>
      <c r="C2849" s="2" t="str">
        <f>IFERROR(__xludf.DUMMYFUNCTION("""COMPUTED_VALUE"""),"WWE")</f>
        <v>WWE</v>
      </c>
      <c r="D2849" s="2" t="str">
        <f>LEFT(B2849,4)</f>
        <v>2016</v>
      </c>
      <c r="E2849" s="2" t="str">
        <f>MID(B2849,5,2)</f>
        <v>02</v>
      </c>
      <c r="F2849" s="2" t="str">
        <f>RIGHT(B2849,2)</f>
        <v>11</v>
      </c>
      <c r="G2849" s="29">
        <f>DATE(D2849,E2849,F2849)</f>
        <v>42411</v>
      </c>
    </row>
    <row r="2850" hidden="1">
      <c r="A2850" s="1" t="s">
        <v>642</v>
      </c>
    </row>
    <row r="2851" hidden="1">
      <c r="A2851" s="1" t="s">
        <v>643</v>
      </c>
    </row>
    <row r="2852">
      <c r="A2852" s="1" t="s">
        <v>1988</v>
      </c>
      <c r="B2852" s="2">
        <f>IFERROR(__xludf.DUMMYFUNCTION("SPLIT(A2852,""_"")"),2.0160212E7)</f>
        <v>20160212</v>
      </c>
      <c r="C2852" s="2" t="str">
        <f>IFERROR(__xludf.DUMMYFUNCTION("""COMPUTED_VALUE"""),"AXL")</f>
        <v>AXL</v>
      </c>
      <c r="D2852" s="2" t="str">
        <f>LEFT(B2852,4)</f>
        <v>2016</v>
      </c>
      <c r="E2852" s="2" t="str">
        <f>MID(B2852,5,2)</f>
        <v>02</v>
      </c>
      <c r="F2852" s="2" t="str">
        <f>RIGHT(B2852,2)</f>
        <v>12</v>
      </c>
      <c r="G2852" s="29">
        <f>DATE(D2852,E2852,F2852)</f>
        <v>42412</v>
      </c>
    </row>
    <row r="2853" hidden="1">
      <c r="A2853" s="1" t="s">
        <v>642</v>
      </c>
    </row>
    <row r="2854" hidden="1">
      <c r="A2854" s="1" t="s">
        <v>643</v>
      </c>
    </row>
    <row r="2855">
      <c r="A2855" s="1" t="s">
        <v>1989</v>
      </c>
      <c r="B2855" s="2">
        <f>IFERROR(__xludf.DUMMYFUNCTION("SPLIT(A2855,""_"")"),2.0160212E7)</f>
        <v>20160212</v>
      </c>
      <c r="C2855" s="2" t="str">
        <f>IFERROR(__xludf.DUMMYFUNCTION("""COMPUTED_VALUE"""),"IPG")</f>
        <v>IPG</v>
      </c>
      <c r="D2855" s="2" t="str">
        <f>LEFT(B2855,4)</f>
        <v>2016</v>
      </c>
      <c r="E2855" s="2" t="str">
        <f>MID(B2855,5,2)</f>
        <v>02</v>
      </c>
      <c r="F2855" s="2" t="str">
        <f>RIGHT(B2855,2)</f>
        <v>12</v>
      </c>
      <c r="G2855" s="29">
        <f>DATE(D2855,E2855,F2855)</f>
        <v>42412</v>
      </c>
    </row>
    <row r="2856" hidden="1">
      <c r="A2856" s="1" t="s">
        <v>642</v>
      </c>
    </row>
    <row r="2857" hidden="1">
      <c r="A2857" s="1" t="s">
        <v>643</v>
      </c>
    </row>
    <row r="2858">
      <c r="A2858" s="1" t="s">
        <v>1990</v>
      </c>
      <c r="B2858" s="2">
        <f>IFERROR(__xludf.DUMMYFUNCTION("SPLIT(A2858,""_"")"),2.0160212E7)</f>
        <v>20160212</v>
      </c>
      <c r="C2858" s="2" t="str">
        <f>IFERROR(__xludf.DUMMYFUNCTION("""COMPUTED_VALUE"""),"NSP")</f>
        <v>NSP</v>
      </c>
      <c r="D2858" s="2" t="str">
        <f>LEFT(B2858,4)</f>
        <v>2016</v>
      </c>
      <c r="E2858" s="2" t="str">
        <f>MID(B2858,5,2)</f>
        <v>02</v>
      </c>
      <c r="F2858" s="2" t="str">
        <f>RIGHT(B2858,2)</f>
        <v>12</v>
      </c>
      <c r="G2858" s="29">
        <f>DATE(D2858,E2858,F2858)</f>
        <v>42412</v>
      </c>
    </row>
    <row r="2859" hidden="1">
      <c r="A2859" s="1" t="s">
        <v>642</v>
      </c>
    </row>
    <row r="2860" hidden="1">
      <c r="A2860" s="1" t="s">
        <v>643</v>
      </c>
    </row>
    <row r="2861">
      <c r="A2861" s="1" t="s">
        <v>1991</v>
      </c>
      <c r="B2861" s="2">
        <f>IFERROR(__xludf.DUMMYFUNCTION("SPLIT(A2861,""_"")"),2.0160216E7)</f>
        <v>20160216</v>
      </c>
      <c r="C2861" s="2" t="str">
        <f>IFERROR(__xludf.DUMMYFUNCTION("""COMPUTED_VALUE"""),"BYD")</f>
        <v>BYD</v>
      </c>
      <c r="D2861" s="2" t="str">
        <f>LEFT(B2861,4)</f>
        <v>2016</v>
      </c>
      <c r="E2861" s="2" t="str">
        <f>MID(B2861,5,2)</f>
        <v>02</v>
      </c>
      <c r="F2861" s="2" t="str">
        <f>RIGHT(B2861,2)</f>
        <v>16</v>
      </c>
      <c r="G2861" s="29">
        <f>DATE(D2861,E2861,F2861)</f>
        <v>42416</v>
      </c>
    </row>
    <row r="2862" hidden="1">
      <c r="A2862" s="1" t="s">
        <v>642</v>
      </c>
    </row>
    <row r="2863" hidden="1">
      <c r="A2863" s="1" t="s">
        <v>643</v>
      </c>
    </row>
    <row r="2864">
      <c r="A2864" s="1" t="s">
        <v>1992</v>
      </c>
      <c r="B2864" s="2">
        <f>IFERROR(__xludf.DUMMYFUNCTION("SPLIT(A2864,""_"")"),2.0160216E7)</f>
        <v>20160216</v>
      </c>
      <c r="C2864" s="2" t="str">
        <f>IFERROR(__xludf.DUMMYFUNCTION("""COMPUTED_VALUE"""),"CYTK")</f>
        <v>CYTK</v>
      </c>
      <c r="D2864" s="2" t="str">
        <f>LEFT(B2864,4)</f>
        <v>2016</v>
      </c>
      <c r="E2864" s="2" t="str">
        <f>MID(B2864,5,2)</f>
        <v>02</v>
      </c>
      <c r="F2864" s="2" t="str">
        <f>RIGHT(B2864,2)</f>
        <v>16</v>
      </c>
      <c r="G2864" s="29">
        <f>DATE(D2864,E2864,F2864)</f>
        <v>42416</v>
      </c>
    </row>
    <row r="2865" hidden="1">
      <c r="A2865" s="1" t="s">
        <v>642</v>
      </c>
    </row>
    <row r="2866" hidden="1">
      <c r="A2866" s="1" t="s">
        <v>643</v>
      </c>
    </row>
    <row r="2867">
      <c r="A2867" s="1" t="s">
        <v>1993</v>
      </c>
      <c r="B2867" s="2">
        <f>IFERROR(__xludf.DUMMYFUNCTION("SPLIT(A2867,""_"")"),2.0160217E7)</f>
        <v>20160217</v>
      </c>
      <c r="C2867" s="2" t="str">
        <f>IFERROR(__xludf.DUMMYFUNCTION("""COMPUTED_VALUE"""),"CLD")</f>
        <v>CLD</v>
      </c>
      <c r="D2867" s="2" t="str">
        <f>LEFT(B2867,4)</f>
        <v>2016</v>
      </c>
      <c r="E2867" s="2" t="str">
        <f>MID(B2867,5,2)</f>
        <v>02</v>
      </c>
      <c r="F2867" s="2" t="str">
        <f>RIGHT(B2867,2)</f>
        <v>17</v>
      </c>
      <c r="G2867" s="29">
        <f>DATE(D2867,E2867,F2867)</f>
        <v>42417</v>
      </c>
    </row>
    <row r="2868" hidden="1">
      <c r="A2868" s="1" t="s">
        <v>642</v>
      </c>
    </row>
    <row r="2869" hidden="1">
      <c r="A2869" s="1" t="s">
        <v>643</v>
      </c>
    </row>
    <row r="2870">
      <c r="A2870" s="1" t="s">
        <v>1994</v>
      </c>
      <c r="B2870" s="2">
        <f>IFERROR(__xludf.DUMMYFUNCTION("SPLIT(A2870,""_"")"),2.0160217E7)</f>
        <v>20160217</v>
      </c>
      <c r="C2870" s="2" t="str">
        <f>IFERROR(__xludf.DUMMYFUNCTION("""COMPUTED_VALUE"""),"EIG")</f>
        <v>EIG</v>
      </c>
      <c r="D2870" s="2" t="str">
        <f>LEFT(B2870,4)</f>
        <v>2016</v>
      </c>
      <c r="E2870" s="2" t="str">
        <f>MID(B2870,5,2)</f>
        <v>02</v>
      </c>
      <c r="F2870" s="2" t="str">
        <f>RIGHT(B2870,2)</f>
        <v>17</v>
      </c>
      <c r="G2870" s="29">
        <f>DATE(D2870,E2870,F2870)</f>
        <v>42417</v>
      </c>
    </row>
    <row r="2871" hidden="1">
      <c r="A2871" s="1" t="s">
        <v>642</v>
      </c>
    </row>
    <row r="2872" hidden="1">
      <c r="A2872" s="1" t="s">
        <v>643</v>
      </c>
    </row>
    <row r="2873">
      <c r="A2873" s="1" t="s">
        <v>1995</v>
      </c>
      <c r="B2873" s="2">
        <f>IFERROR(__xludf.DUMMYFUNCTION("SPLIT(A2873,""_"")"),2.0160217E7)</f>
        <v>20160217</v>
      </c>
      <c r="C2873" s="2" t="str">
        <f>IFERROR(__xludf.DUMMYFUNCTION("""COMPUTED_VALUE"""),"GEO")</f>
        <v>GEO</v>
      </c>
      <c r="D2873" s="2" t="str">
        <f>LEFT(B2873,4)</f>
        <v>2016</v>
      </c>
      <c r="E2873" s="2" t="str">
        <f>MID(B2873,5,2)</f>
        <v>02</v>
      </c>
      <c r="F2873" s="2" t="str">
        <f>RIGHT(B2873,2)</f>
        <v>17</v>
      </c>
      <c r="G2873" s="29">
        <f>DATE(D2873,E2873,F2873)</f>
        <v>42417</v>
      </c>
    </row>
    <row r="2874" hidden="1">
      <c r="A2874" s="1" t="s">
        <v>642</v>
      </c>
    </row>
    <row r="2875" hidden="1">
      <c r="A2875" s="1" t="s">
        <v>643</v>
      </c>
    </row>
    <row r="2876">
      <c r="A2876" s="1" t="s">
        <v>1996</v>
      </c>
      <c r="B2876" s="2">
        <f>IFERROR(__xludf.DUMMYFUNCTION("SPLIT(A2876,""_"")"),2.0160217E7)</f>
        <v>20160217</v>
      </c>
      <c r="C2876" s="2" t="str">
        <f>IFERROR(__xludf.DUMMYFUNCTION("""COMPUTED_VALUE"""),"GRMN")</f>
        <v>GRMN</v>
      </c>
      <c r="D2876" s="2" t="str">
        <f>LEFT(B2876,4)</f>
        <v>2016</v>
      </c>
      <c r="E2876" s="2" t="str">
        <f>MID(B2876,5,2)</f>
        <v>02</v>
      </c>
      <c r="F2876" s="2" t="str">
        <f>RIGHT(B2876,2)</f>
        <v>17</v>
      </c>
      <c r="G2876" s="29">
        <f>DATE(D2876,E2876,F2876)</f>
        <v>42417</v>
      </c>
    </row>
    <row r="2877" hidden="1">
      <c r="A2877" s="1" t="s">
        <v>642</v>
      </c>
    </row>
    <row r="2878" hidden="1">
      <c r="A2878" s="1" t="s">
        <v>643</v>
      </c>
    </row>
    <row r="2879">
      <c r="A2879" s="1" t="s">
        <v>1997</v>
      </c>
      <c r="B2879" s="2">
        <f>IFERROR(__xludf.DUMMYFUNCTION("SPLIT(A2879,""_"")"),2.0160217E7)</f>
        <v>20160217</v>
      </c>
      <c r="C2879" s="2" t="str">
        <f>IFERROR(__xludf.DUMMYFUNCTION("""COMPUTED_VALUE"""),"HST")</f>
        <v>HST</v>
      </c>
      <c r="D2879" s="2" t="str">
        <f>LEFT(B2879,4)</f>
        <v>2016</v>
      </c>
      <c r="E2879" s="2" t="str">
        <f>MID(B2879,5,2)</f>
        <v>02</v>
      </c>
      <c r="F2879" s="2" t="str">
        <f>RIGHT(B2879,2)</f>
        <v>17</v>
      </c>
      <c r="G2879" s="29">
        <f>DATE(D2879,E2879,F2879)</f>
        <v>42417</v>
      </c>
    </row>
    <row r="2880" hidden="1">
      <c r="A2880" s="1" t="s">
        <v>642</v>
      </c>
    </row>
    <row r="2881" hidden="1">
      <c r="A2881" s="1" t="s">
        <v>643</v>
      </c>
    </row>
    <row r="2882">
      <c r="A2882" s="1" t="s">
        <v>1998</v>
      </c>
      <c r="B2882" s="2">
        <f>IFERROR(__xludf.DUMMYFUNCTION("SPLIT(A2882,""_"")"),2.0160217E7)</f>
        <v>20160217</v>
      </c>
      <c r="C2882" s="2" t="str">
        <f>IFERROR(__xludf.DUMMYFUNCTION("""COMPUTED_VALUE"""),"MANT")</f>
        <v>MANT</v>
      </c>
      <c r="D2882" s="2" t="str">
        <f>LEFT(B2882,4)</f>
        <v>2016</v>
      </c>
      <c r="E2882" s="2" t="str">
        <f>MID(B2882,5,2)</f>
        <v>02</v>
      </c>
      <c r="F2882" s="2" t="str">
        <f>RIGHT(B2882,2)</f>
        <v>17</v>
      </c>
      <c r="G2882" s="29">
        <f>DATE(D2882,E2882,F2882)</f>
        <v>42417</v>
      </c>
    </row>
    <row r="2883" hidden="1">
      <c r="A2883" s="1" t="s">
        <v>642</v>
      </c>
    </row>
    <row r="2884" hidden="1">
      <c r="A2884" s="1" t="s">
        <v>643</v>
      </c>
    </row>
    <row r="2885">
      <c r="A2885" s="1" t="s">
        <v>1999</v>
      </c>
      <c r="B2885" s="2">
        <f>IFERROR(__xludf.DUMMYFUNCTION("SPLIT(A2885,""_"")"),2.0160217E7)</f>
        <v>20160217</v>
      </c>
      <c r="C2885" s="2" t="str">
        <f>IFERROR(__xludf.DUMMYFUNCTION("""COMPUTED_VALUE"""),"SNPS")</f>
        <v>SNPS</v>
      </c>
      <c r="D2885" s="2" t="str">
        <f>LEFT(B2885,4)</f>
        <v>2016</v>
      </c>
      <c r="E2885" s="2" t="str">
        <f>MID(B2885,5,2)</f>
        <v>02</v>
      </c>
      <c r="F2885" s="2" t="str">
        <f>RIGHT(B2885,2)</f>
        <v>17</v>
      </c>
      <c r="G2885" s="29">
        <f>DATE(D2885,E2885,F2885)</f>
        <v>42417</v>
      </c>
    </row>
    <row r="2886" hidden="1">
      <c r="A2886" s="1" t="s">
        <v>642</v>
      </c>
    </row>
    <row r="2887" hidden="1">
      <c r="A2887" s="1" t="s">
        <v>643</v>
      </c>
    </row>
    <row r="2888">
      <c r="A2888" s="1" t="s">
        <v>2000</v>
      </c>
      <c r="B2888" s="2">
        <f>IFERROR(__xludf.DUMMYFUNCTION("SPLIT(A2888,""_"")"),2.0160218E7)</f>
        <v>20160218</v>
      </c>
      <c r="C2888" s="2" t="str">
        <f>IFERROR(__xludf.DUMMYFUNCTION("""COMPUTED_VALUE"""),"AAN")</f>
        <v>AAN</v>
      </c>
      <c r="D2888" s="2" t="str">
        <f>LEFT(B2888,4)</f>
        <v>2016</v>
      </c>
      <c r="E2888" s="2" t="str">
        <f>MID(B2888,5,2)</f>
        <v>02</v>
      </c>
      <c r="F2888" s="2" t="str">
        <f>RIGHT(B2888,2)</f>
        <v>18</v>
      </c>
      <c r="G2888" s="29">
        <f>DATE(D2888,E2888,F2888)</f>
        <v>42418</v>
      </c>
    </row>
    <row r="2889" hidden="1">
      <c r="A2889" s="1" t="s">
        <v>642</v>
      </c>
    </row>
    <row r="2890" hidden="1">
      <c r="A2890" s="1" t="s">
        <v>643</v>
      </c>
    </row>
    <row r="2891">
      <c r="A2891" s="1" t="s">
        <v>2001</v>
      </c>
      <c r="B2891" s="2">
        <f>IFERROR(__xludf.DUMMYFUNCTION("SPLIT(A2891,""_"")"),2.0160218E7)</f>
        <v>20160218</v>
      </c>
      <c r="C2891" s="2" t="str">
        <f>IFERROR(__xludf.DUMMYFUNCTION("""COMPUTED_VALUE"""),"CBB")</f>
        <v>CBB</v>
      </c>
      <c r="D2891" s="2" t="str">
        <f>LEFT(B2891,4)</f>
        <v>2016</v>
      </c>
      <c r="E2891" s="2" t="str">
        <f>MID(B2891,5,2)</f>
        <v>02</v>
      </c>
      <c r="F2891" s="2" t="str">
        <f>RIGHT(B2891,2)</f>
        <v>18</v>
      </c>
      <c r="G2891" s="29">
        <f>DATE(D2891,E2891,F2891)</f>
        <v>42418</v>
      </c>
    </row>
    <row r="2892" hidden="1">
      <c r="A2892" s="1" t="s">
        <v>642</v>
      </c>
    </row>
    <row r="2893" hidden="1">
      <c r="A2893" s="1" t="s">
        <v>643</v>
      </c>
    </row>
    <row r="2894">
      <c r="A2894" s="1" t="s">
        <v>2002</v>
      </c>
      <c r="B2894" s="2">
        <f>IFERROR(__xludf.DUMMYFUNCTION("SPLIT(A2894,""_"")"),2.0160218E7)</f>
        <v>20160218</v>
      </c>
      <c r="C2894" s="2" t="str">
        <f>IFERROR(__xludf.DUMMYFUNCTION("""COMPUTED_VALUE"""),"DAN")</f>
        <v>DAN</v>
      </c>
      <c r="D2894" s="2" t="str">
        <f>LEFT(B2894,4)</f>
        <v>2016</v>
      </c>
      <c r="E2894" s="2" t="str">
        <f>MID(B2894,5,2)</f>
        <v>02</v>
      </c>
      <c r="F2894" s="2" t="str">
        <f>RIGHT(B2894,2)</f>
        <v>18</v>
      </c>
      <c r="G2894" s="29">
        <f>DATE(D2894,E2894,F2894)</f>
        <v>42418</v>
      </c>
    </row>
    <row r="2895" hidden="1">
      <c r="A2895" s="1" t="s">
        <v>642</v>
      </c>
    </row>
    <row r="2896" hidden="1">
      <c r="A2896" s="1" t="s">
        <v>643</v>
      </c>
    </row>
    <row r="2897">
      <c r="A2897" s="1" t="s">
        <v>2003</v>
      </c>
      <c r="B2897" s="2">
        <f>IFERROR(__xludf.DUMMYFUNCTION("SPLIT(A2897,""_"")"),2.0160218E7)</f>
        <v>20160218</v>
      </c>
      <c r="C2897" s="2" t="str">
        <f>IFERROR(__xludf.DUMMYFUNCTION("""COMPUTED_VALUE"""),"DISH")</f>
        <v>DISH</v>
      </c>
      <c r="D2897" s="2" t="str">
        <f>LEFT(B2897,4)</f>
        <v>2016</v>
      </c>
      <c r="E2897" s="2" t="str">
        <f>MID(B2897,5,2)</f>
        <v>02</v>
      </c>
      <c r="F2897" s="2" t="str">
        <f>RIGHT(B2897,2)</f>
        <v>18</v>
      </c>
      <c r="G2897" s="29">
        <f>DATE(D2897,E2897,F2897)</f>
        <v>42418</v>
      </c>
    </row>
    <row r="2898" hidden="1">
      <c r="A2898" s="1" t="s">
        <v>642</v>
      </c>
    </row>
    <row r="2899" hidden="1">
      <c r="A2899" s="1" t="s">
        <v>643</v>
      </c>
    </row>
    <row r="2900">
      <c r="A2900" s="1" t="s">
        <v>2004</v>
      </c>
      <c r="B2900" s="2">
        <f>IFERROR(__xludf.DUMMYFUNCTION("SPLIT(A2900,""_"")"),2.0160218E7)</f>
        <v>20160218</v>
      </c>
      <c r="C2900" s="2" t="str">
        <f>IFERROR(__xludf.DUMMYFUNCTION("""COMPUTED_VALUE"""),"IDCC")</f>
        <v>IDCC</v>
      </c>
      <c r="D2900" s="2" t="str">
        <f>LEFT(B2900,4)</f>
        <v>2016</v>
      </c>
      <c r="E2900" s="2" t="str">
        <f>MID(B2900,5,2)</f>
        <v>02</v>
      </c>
      <c r="F2900" s="2" t="str">
        <f>RIGHT(B2900,2)</f>
        <v>18</v>
      </c>
      <c r="G2900" s="29">
        <f>DATE(D2900,E2900,F2900)</f>
        <v>42418</v>
      </c>
    </row>
    <row r="2901" hidden="1">
      <c r="A2901" s="1" t="s">
        <v>642</v>
      </c>
    </row>
    <row r="2902" hidden="1">
      <c r="A2902" s="1" t="s">
        <v>643</v>
      </c>
    </row>
    <row r="2903">
      <c r="A2903" s="1" t="s">
        <v>2005</v>
      </c>
      <c r="B2903" s="2">
        <f>IFERROR(__xludf.DUMMYFUNCTION("SPLIT(A2903,""_"")"),2.0160218E7)</f>
        <v>20160218</v>
      </c>
      <c r="C2903" s="2" t="str">
        <f>IFERROR(__xludf.DUMMYFUNCTION("""COMPUTED_VALUE"""),"LH")</f>
        <v>LH</v>
      </c>
      <c r="D2903" s="2" t="str">
        <f>LEFT(B2903,4)</f>
        <v>2016</v>
      </c>
      <c r="E2903" s="2" t="str">
        <f>MID(B2903,5,2)</f>
        <v>02</v>
      </c>
      <c r="F2903" s="2" t="str">
        <f>RIGHT(B2903,2)</f>
        <v>18</v>
      </c>
      <c r="G2903" s="29">
        <f>DATE(D2903,E2903,F2903)</f>
        <v>42418</v>
      </c>
    </row>
    <row r="2904" hidden="1">
      <c r="A2904" s="1" t="s">
        <v>642</v>
      </c>
    </row>
    <row r="2905" hidden="1">
      <c r="A2905" s="1" t="s">
        <v>643</v>
      </c>
    </row>
    <row r="2906">
      <c r="A2906" s="1" t="s">
        <v>2006</v>
      </c>
      <c r="B2906" s="2">
        <f>IFERROR(__xludf.DUMMYFUNCTION("SPLIT(A2906,""_"")"),2.0160218E7)</f>
        <v>20160218</v>
      </c>
      <c r="C2906" s="2" t="str">
        <f>IFERROR(__xludf.DUMMYFUNCTION("""COMPUTED_VALUE"""),"NI")</f>
        <v>NI</v>
      </c>
      <c r="D2906" s="2" t="str">
        <f>LEFT(B2906,4)</f>
        <v>2016</v>
      </c>
      <c r="E2906" s="2" t="str">
        <f>MID(B2906,5,2)</f>
        <v>02</v>
      </c>
      <c r="F2906" s="2" t="str">
        <f>RIGHT(B2906,2)</f>
        <v>18</v>
      </c>
      <c r="G2906" s="29">
        <f>DATE(D2906,E2906,F2906)</f>
        <v>42418</v>
      </c>
    </row>
    <row r="2907" hidden="1">
      <c r="A2907" s="1" t="s">
        <v>642</v>
      </c>
    </row>
    <row r="2908" hidden="1">
      <c r="A2908" s="1" t="s">
        <v>643</v>
      </c>
    </row>
    <row r="2909">
      <c r="A2909" s="1" t="s">
        <v>2007</v>
      </c>
      <c r="B2909" s="2">
        <f>IFERROR(__xludf.DUMMYFUNCTION("SPLIT(A2909,""_"")"),2.0160218E7)</f>
        <v>20160218</v>
      </c>
      <c r="C2909" s="2" t="str">
        <f>IFERROR(__xludf.DUMMYFUNCTION("""COMPUTED_VALUE"""),"PCG")</f>
        <v>PCG</v>
      </c>
      <c r="D2909" s="2" t="str">
        <f>LEFT(B2909,4)</f>
        <v>2016</v>
      </c>
      <c r="E2909" s="2" t="str">
        <f>MID(B2909,5,2)</f>
        <v>02</v>
      </c>
      <c r="F2909" s="2" t="str">
        <f>RIGHT(B2909,2)</f>
        <v>18</v>
      </c>
      <c r="G2909" s="29">
        <f>DATE(D2909,E2909,F2909)</f>
        <v>42418</v>
      </c>
    </row>
    <row r="2910" hidden="1">
      <c r="A2910" s="1" t="s">
        <v>642</v>
      </c>
    </row>
    <row r="2911" hidden="1">
      <c r="A2911" s="1" t="s">
        <v>643</v>
      </c>
    </row>
    <row r="2912">
      <c r="A2912" s="1" t="s">
        <v>2008</v>
      </c>
      <c r="B2912" s="2">
        <f>IFERROR(__xludf.DUMMYFUNCTION("SPLIT(A2912,""_"")"),2.0160218E7)</f>
        <v>20160218</v>
      </c>
      <c r="C2912" s="2" t="str">
        <f>IFERROR(__xludf.DUMMYFUNCTION("""COMPUTED_VALUE"""),"POOL")</f>
        <v>POOL</v>
      </c>
      <c r="D2912" s="2" t="str">
        <f>LEFT(B2912,4)</f>
        <v>2016</v>
      </c>
      <c r="E2912" s="2" t="str">
        <f>MID(B2912,5,2)</f>
        <v>02</v>
      </c>
      <c r="F2912" s="2" t="str">
        <f>RIGHT(B2912,2)</f>
        <v>18</v>
      </c>
      <c r="G2912" s="29">
        <f>DATE(D2912,E2912,F2912)</f>
        <v>42418</v>
      </c>
    </row>
    <row r="2913" hidden="1">
      <c r="A2913" s="1" t="s">
        <v>642</v>
      </c>
    </row>
    <row r="2914" hidden="1">
      <c r="A2914" s="1" t="s">
        <v>643</v>
      </c>
    </row>
    <row r="2915">
      <c r="A2915" s="1" t="s">
        <v>2009</v>
      </c>
      <c r="B2915" s="2">
        <f>IFERROR(__xludf.DUMMYFUNCTION("SPLIT(A2915,""_"")"),2.0160218E7)</f>
        <v>20160218</v>
      </c>
      <c r="C2915" s="2" t="str">
        <f>IFERROR(__xludf.DUMMYFUNCTION("""COMPUTED_VALUE"""),"SAM")</f>
        <v>SAM</v>
      </c>
      <c r="D2915" s="2" t="str">
        <f>LEFT(B2915,4)</f>
        <v>2016</v>
      </c>
      <c r="E2915" s="2" t="str">
        <f>MID(B2915,5,2)</f>
        <v>02</v>
      </c>
      <c r="F2915" s="2" t="str">
        <f>RIGHT(B2915,2)</f>
        <v>18</v>
      </c>
      <c r="G2915" s="29">
        <f>DATE(D2915,E2915,F2915)</f>
        <v>42418</v>
      </c>
    </row>
    <row r="2916" hidden="1">
      <c r="A2916" s="1" t="s">
        <v>642</v>
      </c>
    </row>
    <row r="2917" hidden="1">
      <c r="A2917" s="1" t="s">
        <v>643</v>
      </c>
    </row>
    <row r="2918">
      <c r="A2918" s="1" t="s">
        <v>2010</v>
      </c>
      <c r="B2918" s="2">
        <f>IFERROR(__xludf.DUMMYFUNCTION("SPLIT(A2918,""_"")"),2.0160218E7)</f>
        <v>20160218</v>
      </c>
      <c r="C2918" s="2" t="str">
        <f>IFERROR(__xludf.DUMMYFUNCTION("""COMPUTED_VALUE"""),"UFCS")</f>
        <v>UFCS</v>
      </c>
      <c r="D2918" s="2" t="str">
        <f>LEFT(B2918,4)</f>
        <v>2016</v>
      </c>
      <c r="E2918" s="2" t="str">
        <f>MID(B2918,5,2)</f>
        <v>02</v>
      </c>
      <c r="F2918" s="2" t="str">
        <f>RIGHT(B2918,2)</f>
        <v>18</v>
      </c>
      <c r="G2918" s="29">
        <f>DATE(D2918,E2918,F2918)</f>
        <v>42418</v>
      </c>
    </row>
    <row r="2919" hidden="1">
      <c r="A2919" s="1" t="s">
        <v>642</v>
      </c>
    </row>
    <row r="2920" hidden="1">
      <c r="A2920" s="1" t="s">
        <v>643</v>
      </c>
    </row>
    <row r="2921">
      <c r="A2921" s="1" t="s">
        <v>2011</v>
      </c>
      <c r="B2921" s="2">
        <f>IFERROR(__xludf.DUMMYFUNCTION("SPLIT(A2921,""_"")"),2.0160219E7)</f>
        <v>20160219</v>
      </c>
      <c r="C2921" s="2" t="str">
        <f>IFERROR(__xludf.DUMMYFUNCTION("""COMPUTED_VALUE"""),"CIR")</f>
        <v>CIR</v>
      </c>
      <c r="D2921" s="2" t="str">
        <f>LEFT(B2921,4)</f>
        <v>2016</v>
      </c>
      <c r="E2921" s="2" t="str">
        <f>MID(B2921,5,2)</f>
        <v>02</v>
      </c>
      <c r="F2921" s="2" t="str">
        <f>RIGHT(B2921,2)</f>
        <v>19</v>
      </c>
      <c r="G2921" s="29">
        <f>DATE(D2921,E2921,F2921)</f>
        <v>42419</v>
      </c>
    </row>
    <row r="2922" hidden="1">
      <c r="A2922" s="1" t="s">
        <v>642</v>
      </c>
    </row>
    <row r="2923" hidden="1">
      <c r="A2923" s="1" t="s">
        <v>643</v>
      </c>
    </row>
    <row r="2924">
      <c r="A2924" s="1" t="s">
        <v>2012</v>
      </c>
      <c r="B2924" s="2">
        <f>IFERROR(__xludf.DUMMYFUNCTION("SPLIT(A2924,""_"")"),2.0160219E7)</f>
        <v>20160219</v>
      </c>
      <c r="C2924" s="2" t="str">
        <f>IFERROR(__xludf.DUMMYFUNCTION("""COMPUTED_VALUE"""),"COG")</f>
        <v>COG</v>
      </c>
      <c r="D2924" s="2" t="str">
        <f>LEFT(B2924,4)</f>
        <v>2016</v>
      </c>
      <c r="E2924" s="2" t="str">
        <f>MID(B2924,5,2)</f>
        <v>02</v>
      </c>
      <c r="F2924" s="2" t="str">
        <f>RIGHT(B2924,2)</f>
        <v>19</v>
      </c>
      <c r="G2924" s="29">
        <f>DATE(D2924,E2924,F2924)</f>
        <v>42419</v>
      </c>
    </row>
    <row r="2925" hidden="1">
      <c r="A2925" s="1" t="s">
        <v>642</v>
      </c>
    </row>
    <row r="2926" hidden="1">
      <c r="A2926" s="1" t="s">
        <v>643</v>
      </c>
    </row>
    <row r="2927">
      <c r="A2927" s="1" t="s">
        <v>2013</v>
      </c>
      <c r="B2927" s="2">
        <f>IFERROR(__xludf.DUMMYFUNCTION("SPLIT(A2927,""_"")"),2.0160219E7)</f>
        <v>20160219</v>
      </c>
      <c r="C2927" s="2" t="str">
        <f>IFERROR(__xludf.DUMMYFUNCTION("""COMPUTED_VALUE"""),"DE")</f>
        <v>DE</v>
      </c>
      <c r="D2927" s="2" t="str">
        <f>LEFT(B2927,4)</f>
        <v>2016</v>
      </c>
      <c r="E2927" s="2" t="str">
        <f>MID(B2927,5,2)</f>
        <v>02</v>
      </c>
      <c r="F2927" s="2" t="str">
        <f>RIGHT(B2927,2)</f>
        <v>19</v>
      </c>
      <c r="G2927" s="29">
        <f>DATE(D2927,E2927,F2927)</f>
        <v>42419</v>
      </c>
    </row>
    <row r="2928" hidden="1">
      <c r="A2928" s="1" t="s">
        <v>642</v>
      </c>
    </row>
    <row r="2929" hidden="1">
      <c r="A2929" s="1" t="s">
        <v>643</v>
      </c>
    </row>
    <row r="2930">
      <c r="A2930" s="1" t="s">
        <v>2014</v>
      </c>
      <c r="B2930" s="2">
        <f>IFERROR(__xludf.DUMMYFUNCTION("SPLIT(A2930,""_"")"),2.0160219E7)</f>
        <v>20160219</v>
      </c>
      <c r="C2930" s="2" t="str">
        <f>IFERROR(__xludf.DUMMYFUNCTION("""COMPUTED_VALUE"""),"PNW")</f>
        <v>PNW</v>
      </c>
      <c r="D2930" s="2" t="str">
        <f>LEFT(B2930,4)</f>
        <v>2016</v>
      </c>
      <c r="E2930" s="2" t="str">
        <f>MID(B2930,5,2)</f>
        <v>02</v>
      </c>
      <c r="F2930" s="2" t="str">
        <f>RIGHT(B2930,2)</f>
        <v>19</v>
      </c>
      <c r="G2930" s="29">
        <f>DATE(D2930,E2930,F2930)</f>
        <v>42419</v>
      </c>
    </row>
    <row r="2931" hidden="1">
      <c r="A2931" s="1" t="s">
        <v>642</v>
      </c>
    </row>
    <row r="2932" hidden="1">
      <c r="A2932" s="1" t="s">
        <v>643</v>
      </c>
    </row>
    <row r="2933">
      <c r="A2933" s="1" t="s">
        <v>2015</v>
      </c>
      <c r="B2933" s="2">
        <f>IFERROR(__xludf.DUMMYFUNCTION("SPLIT(A2933,""_"")"),2.0160219E7)</f>
        <v>20160219</v>
      </c>
      <c r="C2933" s="2" t="str">
        <f>IFERROR(__xludf.DUMMYFUNCTION("""COMPUTED_VALUE"""),"VFC")</f>
        <v>VFC</v>
      </c>
      <c r="D2933" s="2" t="str">
        <f>LEFT(B2933,4)</f>
        <v>2016</v>
      </c>
      <c r="E2933" s="2" t="str">
        <f>MID(B2933,5,2)</f>
        <v>02</v>
      </c>
      <c r="F2933" s="2" t="str">
        <f>RIGHT(B2933,2)</f>
        <v>19</v>
      </c>
      <c r="G2933" s="29">
        <f>DATE(D2933,E2933,F2933)</f>
        <v>42419</v>
      </c>
    </row>
    <row r="2934" hidden="1">
      <c r="A2934" s="1" t="s">
        <v>642</v>
      </c>
    </row>
    <row r="2935" hidden="1">
      <c r="A2935" s="1" t="s">
        <v>643</v>
      </c>
    </row>
    <row r="2936">
      <c r="A2936" s="1" t="s">
        <v>2016</v>
      </c>
      <c r="B2936" s="2">
        <f>IFERROR(__xludf.DUMMYFUNCTION("SPLIT(A2936,""_"")"),2.0160222E7)</f>
        <v>20160222</v>
      </c>
      <c r="C2936" s="2" t="str">
        <f>IFERROR(__xludf.DUMMYFUNCTION("""COMPUTED_VALUE"""),"AGN")</f>
        <v>AGN</v>
      </c>
      <c r="D2936" s="2" t="str">
        <f>LEFT(B2936,4)</f>
        <v>2016</v>
      </c>
      <c r="E2936" s="2" t="str">
        <f>MID(B2936,5,2)</f>
        <v>02</v>
      </c>
      <c r="F2936" s="2" t="str">
        <f>RIGHT(B2936,2)</f>
        <v>22</v>
      </c>
      <c r="G2936" s="29">
        <f>DATE(D2936,E2936,F2936)</f>
        <v>42422</v>
      </c>
    </row>
    <row r="2937" hidden="1">
      <c r="A2937" s="1" t="s">
        <v>642</v>
      </c>
    </row>
    <row r="2938" hidden="1">
      <c r="A2938" s="1" t="s">
        <v>643</v>
      </c>
    </row>
    <row r="2939">
      <c r="A2939" s="1" t="s">
        <v>2017</v>
      </c>
      <c r="B2939" s="2">
        <f>IFERROR(__xludf.DUMMYFUNCTION("SPLIT(A2939,""_"")"),2.0160222E7)</f>
        <v>20160222</v>
      </c>
      <c r="C2939" s="2" t="str">
        <f>IFERROR(__xludf.DUMMYFUNCTION("""COMPUTED_VALUE"""),"EDR")</f>
        <v>EDR</v>
      </c>
      <c r="D2939" s="2" t="str">
        <f>LEFT(B2939,4)</f>
        <v>2016</v>
      </c>
      <c r="E2939" s="2" t="str">
        <f>MID(B2939,5,2)</f>
        <v>02</v>
      </c>
      <c r="F2939" s="2" t="str">
        <f>RIGHT(B2939,2)</f>
        <v>22</v>
      </c>
      <c r="G2939" s="29">
        <f>DATE(D2939,E2939,F2939)</f>
        <v>42422</v>
      </c>
    </row>
    <row r="2940" hidden="1">
      <c r="A2940" s="1" t="s">
        <v>642</v>
      </c>
    </row>
    <row r="2941" hidden="1">
      <c r="A2941" s="1" t="s">
        <v>643</v>
      </c>
    </row>
    <row r="2942">
      <c r="A2942" s="1" t="s">
        <v>2018</v>
      </c>
      <c r="B2942" s="2">
        <f>IFERROR(__xludf.DUMMYFUNCTION("SPLIT(A2942,""_"")"),2.0160222E7)</f>
        <v>20160222</v>
      </c>
      <c r="C2942" s="2" t="str">
        <f>IFERROR(__xludf.DUMMYFUNCTION("""COMPUTED_VALUE"""),"MSI")</f>
        <v>MSI</v>
      </c>
      <c r="D2942" s="2" t="str">
        <f>LEFT(B2942,4)</f>
        <v>2016</v>
      </c>
      <c r="E2942" s="2" t="str">
        <f>MID(B2942,5,2)</f>
        <v>02</v>
      </c>
      <c r="F2942" s="2" t="str">
        <f>RIGHT(B2942,2)</f>
        <v>22</v>
      </c>
      <c r="G2942" s="29">
        <f>DATE(D2942,E2942,F2942)</f>
        <v>42422</v>
      </c>
    </row>
    <row r="2943" hidden="1">
      <c r="A2943" s="1" t="s">
        <v>642</v>
      </c>
    </row>
    <row r="2944" hidden="1">
      <c r="A2944" s="1" t="s">
        <v>643</v>
      </c>
    </row>
    <row r="2945">
      <c r="A2945" s="1" t="s">
        <v>2019</v>
      </c>
      <c r="B2945" s="2">
        <f>IFERROR(__xludf.DUMMYFUNCTION("SPLIT(A2945,""_"")"),2.0160223E7)</f>
        <v>20160223</v>
      </c>
      <c r="C2945" s="2" t="str">
        <f>IFERROR(__xludf.DUMMYFUNCTION("""COMPUTED_VALUE"""),"DAKT")</f>
        <v>DAKT</v>
      </c>
      <c r="D2945" s="2" t="str">
        <f>LEFT(B2945,4)</f>
        <v>2016</v>
      </c>
      <c r="E2945" s="2" t="str">
        <f>MID(B2945,5,2)</f>
        <v>02</v>
      </c>
      <c r="F2945" s="2" t="str">
        <f>RIGHT(B2945,2)</f>
        <v>23</v>
      </c>
      <c r="G2945" s="29">
        <f>DATE(D2945,E2945,F2945)</f>
        <v>42423</v>
      </c>
    </row>
    <row r="2946" hidden="1">
      <c r="A2946" s="1" t="s">
        <v>642</v>
      </c>
    </row>
    <row r="2947" hidden="1">
      <c r="A2947" s="1" t="s">
        <v>643</v>
      </c>
    </row>
    <row r="2948">
      <c r="A2948" s="1" t="s">
        <v>2020</v>
      </c>
      <c r="B2948" s="2">
        <f>IFERROR(__xludf.DUMMYFUNCTION("SPLIT(A2948,""_"")"),2.0160223E7)</f>
        <v>20160223</v>
      </c>
      <c r="C2948" s="2" t="str">
        <f>IFERROR(__xludf.DUMMYFUNCTION("""COMPUTED_VALUE"""),"DRH")</f>
        <v>DRH</v>
      </c>
      <c r="D2948" s="2" t="str">
        <f>LEFT(B2948,4)</f>
        <v>2016</v>
      </c>
      <c r="E2948" s="2" t="str">
        <f>MID(B2948,5,2)</f>
        <v>02</v>
      </c>
      <c r="F2948" s="2" t="str">
        <f>RIGHT(B2948,2)</f>
        <v>23</v>
      </c>
      <c r="G2948" s="29">
        <f>DATE(D2948,E2948,F2948)</f>
        <v>42423</v>
      </c>
    </row>
    <row r="2949" hidden="1">
      <c r="A2949" s="1" t="s">
        <v>642</v>
      </c>
    </row>
    <row r="2950" hidden="1">
      <c r="A2950" s="1" t="s">
        <v>643</v>
      </c>
    </row>
    <row r="2951">
      <c r="A2951" s="1" t="s">
        <v>2021</v>
      </c>
      <c r="B2951" s="2">
        <f>IFERROR(__xludf.DUMMYFUNCTION("SPLIT(A2951,""_"")"),2.0160223E7)</f>
        <v>20160223</v>
      </c>
      <c r="C2951" s="2" t="str">
        <f>IFERROR(__xludf.DUMMYFUNCTION("""COMPUTED_VALUE"""),"FSLR")</f>
        <v>FSLR</v>
      </c>
      <c r="D2951" s="2" t="str">
        <f>LEFT(B2951,4)</f>
        <v>2016</v>
      </c>
      <c r="E2951" s="2" t="str">
        <f>MID(B2951,5,2)</f>
        <v>02</v>
      </c>
      <c r="F2951" s="2" t="str">
        <f>RIGHT(B2951,2)</f>
        <v>23</v>
      </c>
      <c r="G2951" s="29">
        <f>DATE(D2951,E2951,F2951)</f>
        <v>42423</v>
      </c>
    </row>
    <row r="2952" hidden="1">
      <c r="A2952" s="1" t="s">
        <v>642</v>
      </c>
    </row>
    <row r="2953" hidden="1">
      <c r="A2953" s="1" t="s">
        <v>643</v>
      </c>
    </row>
    <row r="2954">
      <c r="A2954" s="1" t="s">
        <v>2022</v>
      </c>
      <c r="B2954" s="2">
        <f>IFERROR(__xludf.DUMMYFUNCTION("SPLIT(A2954,""_"")"),2.0160223E7)</f>
        <v>20160223</v>
      </c>
      <c r="C2954" s="2" t="str">
        <f>IFERROR(__xludf.DUMMYFUNCTION("""COMPUTED_VALUE"""),"LAMR")</f>
        <v>LAMR</v>
      </c>
      <c r="D2954" s="2" t="str">
        <f>LEFT(B2954,4)</f>
        <v>2016</v>
      </c>
      <c r="E2954" s="2" t="str">
        <f>MID(B2954,5,2)</f>
        <v>02</v>
      </c>
      <c r="F2954" s="2" t="str">
        <f>RIGHT(B2954,2)</f>
        <v>23</v>
      </c>
      <c r="G2954" s="29">
        <f>DATE(D2954,E2954,F2954)</f>
        <v>42423</v>
      </c>
    </row>
    <row r="2955" hidden="1">
      <c r="A2955" s="1" t="s">
        <v>642</v>
      </c>
    </row>
    <row r="2956" hidden="1">
      <c r="A2956" s="1" t="s">
        <v>643</v>
      </c>
    </row>
    <row r="2957">
      <c r="A2957" s="1" t="s">
        <v>2023</v>
      </c>
      <c r="B2957" s="2">
        <f>IFERROR(__xludf.DUMMYFUNCTION("SPLIT(A2957,""_"")"),2.0160223E7)</f>
        <v>20160223</v>
      </c>
      <c r="C2957" s="2" t="str">
        <f>IFERROR(__xludf.DUMMYFUNCTION("""COMPUTED_VALUE"""),"LXP")</f>
        <v>LXP</v>
      </c>
      <c r="D2957" s="2" t="str">
        <f>LEFT(B2957,4)</f>
        <v>2016</v>
      </c>
      <c r="E2957" s="2" t="str">
        <f>MID(B2957,5,2)</f>
        <v>02</v>
      </c>
      <c r="F2957" s="2" t="str">
        <f>RIGHT(B2957,2)</f>
        <v>23</v>
      </c>
      <c r="G2957" s="29">
        <f>DATE(D2957,E2957,F2957)</f>
        <v>42423</v>
      </c>
    </row>
    <row r="2958" hidden="1">
      <c r="A2958" s="1" t="s">
        <v>642</v>
      </c>
    </row>
    <row r="2959" hidden="1">
      <c r="A2959" s="1" t="s">
        <v>643</v>
      </c>
    </row>
    <row r="2960">
      <c r="A2960" s="1" t="s">
        <v>2024</v>
      </c>
      <c r="B2960" s="2">
        <f>IFERROR(__xludf.DUMMYFUNCTION("SPLIT(A2960,""_"")"),2.0160223E7)</f>
        <v>20160223</v>
      </c>
      <c r="C2960" s="2" t="str">
        <f>IFERROR(__xludf.DUMMYFUNCTION("""COMPUTED_VALUE"""),"M")</f>
        <v>M</v>
      </c>
      <c r="D2960" s="2" t="str">
        <f>LEFT(B2960,4)</f>
        <v>2016</v>
      </c>
      <c r="E2960" s="2" t="str">
        <f>MID(B2960,5,2)</f>
        <v>02</v>
      </c>
      <c r="F2960" s="2" t="str">
        <f>RIGHT(B2960,2)</f>
        <v>23</v>
      </c>
      <c r="G2960" s="29">
        <f>DATE(D2960,E2960,F2960)</f>
        <v>42423</v>
      </c>
    </row>
    <row r="2961" hidden="1">
      <c r="A2961" s="1" t="s">
        <v>642</v>
      </c>
    </row>
    <row r="2962" hidden="1">
      <c r="A2962" s="1" t="s">
        <v>643</v>
      </c>
    </row>
    <row r="2963">
      <c r="A2963" s="1" t="s">
        <v>2025</v>
      </c>
      <c r="B2963" s="2">
        <f>IFERROR(__xludf.DUMMYFUNCTION("SPLIT(A2963,""_"")"),2.0160223E7)</f>
        <v>20160223</v>
      </c>
      <c r="C2963" s="2" t="str">
        <f>IFERROR(__xludf.DUMMYFUNCTION("""COMPUTED_VALUE"""),"SF")</f>
        <v>SF</v>
      </c>
      <c r="D2963" s="2" t="str">
        <f>LEFT(B2963,4)</f>
        <v>2016</v>
      </c>
      <c r="E2963" s="2" t="str">
        <f>MID(B2963,5,2)</f>
        <v>02</v>
      </c>
      <c r="F2963" s="2" t="str">
        <f>RIGHT(B2963,2)</f>
        <v>23</v>
      </c>
      <c r="G2963" s="29">
        <f>DATE(D2963,E2963,F2963)</f>
        <v>42423</v>
      </c>
    </row>
    <row r="2964" hidden="1">
      <c r="A2964" s="1" t="s">
        <v>642</v>
      </c>
    </row>
    <row r="2965" hidden="1">
      <c r="A2965" s="1" t="s">
        <v>643</v>
      </c>
    </row>
    <row r="2966">
      <c r="A2966" s="1" t="s">
        <v>2026</v>
      </c>
      <c r="B2966" s="2">
        <f>IFERROR(__xludf.DUMMYFUNCTION("SPLIT(A2966,""_"")"),2.0160223E7)</f>
        <v>20160223</v>
      </c>
      <c r="C2966" s="2" t="str">
        <f>IFERROR(__xludf.DUMMYFUNCTION("""COMPUTED_VALUE"""),"TOL")</f>
        <v>TOL</v>
      </c>
      <c r="D2966" s="2" t="str">
        <f>LEFT(B2966,4)</f>
        <v>2016</v>
      </c>
      <c r="E2966" s="2" t="str">
        <f>MID(B2966,5,2)</f>
        <v>02</v>
      </c>
      <c r="F2966" s="2" t="str">
        <f>RIGHT(B2966,2)</f>
        <v>23</v>
      </c>
      <c r="G2966" s="29">
        <f>DATE(D2966,E2966,F2966)</f>
        <v>42423</v>
      </c>
    </row>
    <row r="2967" hidden="1">
      <c r="A2967" s="1" t="s">
        <v>642</v>
      </c>
    </row>
    <row r="2968" hidden="1">
      <c r="A2968" s="1" t="s">
        <v>643</v>
      </c>
    </row>
    <row r="2969">
      <c r="A2969" s="1" t="s">
        <v>2027</v>
      </c>
      <c r="B2969" s="2">
        <f>IFERROR(__xludf.DUMMYFUNCTION("SPLIT(A2969,""_"")"),2.0160223E7)</f>
        <v>20160223</v>
      </c>
      <c r="C2969" s="2" t="str">
        <f>IFERROR(__xludf.DUMMYFUNCTION("""COMPUTED_VALUE"""),"TREX")</f>
        <v>TREX</v>
      </c>
      <c r="D2969" s="2" t="str">
        <f>LEFT(B2969,4)</f>
        <v>2016</v>
      </c>
      <c r="E2969" s="2" t="str">
        <f>MID(B2969,5,2)</f>
        <v>02</v>
      </c>
      <c r="F2969" s="2" t="str">
        <f>RIGHT(B2969,2)</f>
        <v>23</v>
      </c>
      <c r="G2969" s="29">
        <f>DATE(D2969,E2969,F2969)</f>
        <v>42423</v>
      </c>
    </row>
    <row r="2970" hidden="1">
      <c r="A2970" s="1" t="s">
        <v>642</v>
      </c>
    </row>
    <row r="2971" hidden="1">
      <c r="A2971" s="1" t="s">
        <v>643</v>
      </c>
    </row>
    <row r="2972">
      <c r="A2972" s="1" t="s">
        <v>2028</v>
      </c>
      <c r="B2972" s="2">
        <f>IFERROR(__xludf.DUMMYFUNCTION("SPLIT(A2972,""_"")"),2.0160224E7)</f>
        <v>20160224</v>
      </c>
      <c r="C2972" s="2" t="str">
        <f>IFERROR(__xludf.DUMMYFUNCTION("""COMPUTED_VALUE"""),"CHK")</f>
        <v>CHK</v>
      </c>
      <c r="D2972" s="2" t="str">
        <f>LEFT(B2972,4)</f>
        <v>2016</v>
      </c>
      <c r="E2972" s="2" t="str">
        <f>MID(B2972,5,2)</f>
        <v>02</v>
      </c>
      <c r="F2972" s="2" t="str">
        <f>RIGHT(B2972,2)</f>
        <v>24</v>
      </c>
      <c r="G2972" s="29">
        <f>DATE(D2972,E2972,F2972)</f>
        <v>42424</v>
      </c>
    </row>
    <row r="2973" hidden="1">
      <c r="A2973" s="1" t="s">
        <v>642</v>
      </c>
    </row>
    <row r="2974" hidden="1">
      <c r="A2974" s="1" t="s">
        <v>643</v>
      </c>
    </row>
    <row r="2975">
      <c r="A2975" s="1" t="s">
        <v>2029</v>
      </c>
      <c r="B2975" s="2">
        <f>IFERROR(__xludf.DUMMYFUNCTION("SPLIT(A2975,""_"")"),2.0160224E7)</f>
        <v>20160224</v>
      </c>
      <c r="C2975" s="2" t="str">
        <f>IFERROR(__xludf.DUMMYFUNCTION("""COMPUTED_VALUE"""),"CLDT")</f>
        <v>CLDT</v>
      </c>
      <c r="D2975" s="2" t="str">
        <f>LEFT(B2975,4)</f>
        <v>2016</v>
      </c>
      <c r="E2975" s="2" t="str">
        <f>MID(B2975,5,2)</f>
        <v>02</v>
      </c>
      <c r="F2975" s="2" t="str">
        <f>RIGHT(B2975,2)</f>
        <v>24</v>
      </c>
      <c r="G2975" s="29">
        <f>DATE(D2975,E2975,F2975)</f>
        <v>42424</v>
      </c>
    </row>
    <row r="2976" hidden="1">
      <c r="A2976" s="1" t="s">
        <v>642</v>
      </c>
    </row>
    <row r="2977" hidden="1">
      <c r="A2977" s="1" t="s">
        <v>643</v>
      </c>
    </row>
    <row r="2978">
      <c r="A2978" s="1" t="s">
        <v>2030</v>
      </c>
      <c r="B2978" s="2">
        <f>IFERROR(__xludf.DUMMYFUNCTION("SPLIT(A2978,""_"")"),2.0160224E7)</f>
        <v>20160224</v>
      </c>
      <c r="C2978" s="2" t="str">
        <f>IFERROR(__xludf.DUMMYFUNCTION("""COMPUTED_VALUE"""),"CNK")</f>
        <v>CNK</v>
      </c>
      <c r="D2978" s="2" t="str">
        <f>LEFT(B2978,4)</f>
        <v>2016</v>
      </c>
      <c r="E2978" s="2" t="str">
        <f>MID(B2978,5,2)</f>
        <v>02</v>
      </c>
      <c r="F2978" s="2" t="str">
        <f>RIGHT(B2978,2)</f>
        <v>24</v>
      </c>
      <c r="G2978" s="29">
        <f>DATE(D2978,E2978,F2978)</f>
        <v>42424</v>
      </c>
    </row>
    <row r="2979" hidden="1">
      <c r="A2979" s="1" t="s">
        <v>642</v>
      </c>
    </row>
    <row r="2980" hidden="1">
      <c r="A2980" s="1" t="s">
        <v>643</v>
      </c>
    </row>
    <row r="2981">
      <c r="A2981" s="1" t="s">
        <v>2031</v>
      </c>
      <c r="B2981" s="2">
        <f>IFERROR(__xludf.DUMMYFUNCTION("SPLIT(A2981,""_"")"),2.0160224E7)</f>
        <v>20160224</v>
      </c>
      <c r="C2981" s="2" t="str">
        <f>IFERROR(__xludf.DUMMYFUNCTION("""COMPUTED_VALUE"""),"CRM")</f>
        <v>CRM</v>
      </c>
      <c r="D2981" s="2" t="str">
        <f>LEFT(B2981,4)</f>
        <v>2016</v>
      </c>
      <c r="E2981" s="2" t="str">
        <f>MID(B2981,5,2)</f>
        <v>02</v>
      </c>
      <c r="F2981" s="2" t="str">
        <f>RIGHT(B2981,2)</f>
        <v>24</v>
      </c>
      <c r="G2981" s="29">
        <f>DATE(D2981,E2981,F2981)</f>
        <v>42424</v>
      </c>
    </row>
    <row r="2982" hidden="1">
      <c r="A2982" s="1" t="s">
        <v>642</v>
      </c>
    </row>
    <row r="2983" hidden="1">
      <c r="A2983" s="1" t="s">
        <v>643</v>
      </c>
    </row>
    <row r="2984">
      <c r="A2984" s="1" t="s">
        <v>2032</v>
      </c>
      <c r="B2984" s="2">
        <f>IFERROR(__xludf.DUMMYFUNCTION("SPLIT(A2984,""_"")"),2.0160224E7)</f>
        <v>20160224</v>
      </c>
      <c r="C2984" s="2" t="str">
        <f>IFERROR(__xludf.DUMMYFUNCTION("""COMPUTED_VALUE"""),"DIN")</f>
        <v>DIN</v>
      </c>
      <c r="D2984" s="2" t="str">
        <f>LEFT(B2984,4)</f>
        <v>2016</v>
      </c>
      <c r="E2984" s="2" t="str">
        <f>MID(B2984,5,2)</f>
        <v>02</v>
      </c>
      <c r="F2984" s="2" t="str">
        <f>RIGHT(B2984,2)</f>
        <v>24</v>
      </c>
      <c r="G2984" s="29">
        <f>DATE(D2984,E2984,F2984)</f>
        <v>42424</v>
      </c>
    </row>
    <row r="2985" hidden="1">
      <c r="A2985" s="1" t="s">
        <v>642</v>
      </c>
    </row>
    <row r="2986" hidden="1">
      <c r="A2986" s="1" t="s">
        <v>643</v>
      </c>
    </row>
    <row r="2987">
      <c r="A2987" s="1" t="s">
        <v>2033</v>
      </c>
      <c r="B2987" s="2">
        <f>IFERROR(__xludf.DUMMYFUNCTION("SPLIT(A2987,""_"")"),2.0160224E7)</f>
        <v>20160224</v>
      </c>
      <c r="C2987" s="2" t="str">
        <f>IFERROR(__xludf.DUMMYFUNCTION("""COMPUTED_VALUE"""),"EV")</f>
        <v>EV</v>
      </c>
      <c r="D2987" s="2" t="str">
        <f>LEFT(B2987,4)</f>
        <v>2016</v>
      </c>
      <c r="E2987" s="2" t="str">
        <f>MID(B2987,5,2)</f>
        <v>02</v>
      </c>
      <c r="F2987" s="2" t="str">
        <f>RIGHT(B2987,2)</f>
        <v>24</v>
      </c>
      <c r="G2987" s="29">
        <f>DATE(D2987,E2987,F2987)</f>
        <v>42424</v>
      </c>
    </row>
    <row r="2988" hidden="1">
      <c r="A2988" s="1" t="s">
        <v>642</v>
      </c>
    </row>
    <row r="2989" hidden="1">
      <c r="A2989" s="1" t="s">
        <v>643</v>
      </c>
    </row>
    <row r="2990">
      <c r="A2990" s="1" t="s">
        <v>2034</v>
      </c>
      <c r="B2990" s="2">
        <f>IFERROR(__xludf.DUMMYFUNCTION("SPLIT(A2990,""_"")"),2.0160224E7)</f>
        <v>20160224</v>
      </c>
      <c r="C2990" s="2" t="str">
        <f>IFERROR(__xludf.DUMMYFUNCTION("""COMPUTED_VALUE"""),"FARO")</f>
        <v>FARO</v>
      </c>
      <c r="D2990" s="2" t="str">
        <f>LEFT(B2990,4)</f>
        <v>2016</v>
      </c>
      <c r="E2990" s="2" t="str">
        <f>MID(B2990,5,2)</f>
        <v>02</v>
      </c>
      <c r="F2990" s="2" t="str">
        <f>RIGHT(B2990,2)</f>
        <v>24</v>
      </c>
      <c r="G2990" s="29">
        <f>DATE(D2990,E2990,F2990)</f>
        <v>42424</v>
      </c>
    </row>
    <row r="2991" hidden="1">
      <c r="A2991" s="1" t="s">
        <v>642</v>
      </c>
    </row>
    <row r="2992" hidden="1">
      <c r="A2992" s="1" t="s">
        <v>643</v>
      </c>
    </row>
    <row r="2993">
      <c r="A2993" s="1" t="s">
        <v>2035</v>
      </c>
      <c r="B2993" s="2">
        <f>IFERROR(__xludf.DUMMYFUNCTION("SPLIT(A2993,""_"")"),2.0160224E7)</f>
        <v>20160224</v>
      </c>
      <c r="C2993" s="2" t="str">
        <f>IFERROR(__xludf.DUMMYFUNCTION("""COMPUTED_VALUE"""),"HFC")</f>
        <v>HFC</v>
      </c>
      <c r="D2993" s="2" t="str">
        <f>LEFT(B2993,4)</f>
        <v>2016</v>
      </c>
      <c r="E2993" s="2" t="str">
        <f>MID(B2993,5,2)</f>
        <v>02</v>
      </c>
      <c r="F2993" s="2" t="str">
        <f>RIGHT(B2993,2)</f>
        <v>24</v>
      </c>
      <c r="G2993" s="29">
        <f>DATE(D2993,E2993,F2993)</f>
        <v>42424</v>
      </c>
    </row>
    <row r="2994" hidden="1">
      <c r="A2994" s="1" t="s">
        <v>642</v>
      </c>
    </row>
    <row r="2995" hidden="1">
      <c r="A2995" s="1" t="s">
        <v>643</v>
      </c>
    </row>
    <row r="2996">
      <c r="A2996" s="1" t="s">
        <v>2036</v>
      </c>
      <c r="B2996" s="2">
        <f>IFERROR(__xludf.DUMMYFUNCTION("SPLIT(A2996,""_"")"),2.0160224E7)</f>
        <v>20160224</v>
      </c>
      <c r="C2996" s="2" t="str">
        <f>IFERROR(__xludf.DUMMYFUNCTION("""COMPUTED_VALUE"""),"SSTK")</f>
        <v>SSTK</v>
      </c>
      <c r="D2996" s="2" t="str">
        <f>LEFT(B2996,4)</f>
        <v>2016</v>
      </c>
      <c r="E2996" s="2" t="str">
        <f>MID(B2996,5,2)</f>
        <v>02</v>
      </c>
      <c r="F2996" s="2" t="str">
        <f>RIGHT(B2996,2)</f>
        <v>24</v>
      </c>
      <c r="G2996" s="29">
        <f>DATE(D2996,E2996,F2996)</f>
        <v>42424</v>
      </c>
    </row>
    <row r="2997" hidden="1">
      <c r="A2997" s="1" t="s">
        <v>642</v>
      </c>
    </row>
    <row r="2998">
      <c r="A2998" s="1"/>
    </row>
    <row r="2999">
      <c r="A2999" s="1"/>
    </row>
    <row r="3000">
      <c r="A3000" s="1"/>
    </row>
    <row r="3001">
      <c r="A3001" s="1"/>
    </row>
    <row r="3002">
      <c r="A3002" s="1"/>
    </row>
    <row r="3003">
      <c r="A3003" s="1"/>
    </row>
    <row r="3004">
      <c r="A3004" s="1"/>
    </row>
    <row r="3005">
      <c r="A3005" s="1"/>
    </row>
    <row r="3006">
      <c r="A3006" s="1"/>
    </row>
    <row r="3007">
      <c r="A3007" s="1"/>
    </row>
    <row r="3008">
      <c r="A3008" s="1"/>
    </row>
    <row r="3009">
      <c r="A3009" s="1"/>
    </row>
    <row r="3010">
      <c r="A3010" s="1"/>
    </row>
    <row r="3011">
      <c r="A3011" s="1"/>
    </row>
    <row r="3012">
      <c r="A3012" s="1"/>
    </row>
    <row r="3013">
      <c r="A3013" s="1"/>
    </row>
    <row r="3014">
      <c r="A3014" s="1"/>
    </row>
    <row r="3015">
      <c r="A3015" s="1"/>
    </row>
    <row r="3016">
      <c r="A3016" s="1"/>
    </row>
    <row r="3017">
      <c r="A3017" s="1"/>
    </row>
    <row r="3018">
      <c r="A3018" s="1"/>
    </row>
    <row r="3019">
      <c r="A3019" s="1"/>
    </row>
    <row r="3020">
      <c r="A3020" s="1"/>
    </row>
    <row r="3021">
      <c r="A3021" s="1"/>
    </row>
    <row r="3022">
      <c r="A3022" s="1"/>
    </row>
    <row r="3023">
      <c r="A3023" s="1"/>
    </row>
    <row r="3024">
      <c r="A3024" s="1"/>
    </row>
    <row r="3025">
      <c r="A3025" s="1"/>
    </row>
    <row r="3026">
      <c r="A3026" s="1"/>
    </row>
    <row r="3027">
      <c r="A3027" s="1"/>
    </row>
    <row r="3028">
      <c r="A3028" s="1"/>
    </row>
    <row r="3029">
      <c r="A3029" s="1"/>
    </row>
    <row r="3030">
      <c r="A3030" s="1"/>
    </row>
    <row r="3031">
      <c r="A3031" s="1"/>
    </row>
    <row r="3032">
      <c r="A3032" s="1"/>
    </row>
    <row r="3033">
      <c r="A3033" s="1"/>
    </row>
    <row r="3034">
      <c r="A3034" s="1"/>
    </row>
    <row r="3035">
      <c r="A3035" s="1"/>
    </row>
    <row r="3036">
      <c r="A3036" s="1"/>
    </row>
    <row r="3037">
      <c r="A3037" s="1"/>
    </row>
    <row r="3038">
      <c r="A3038" s="1"/>
    </row>
    <row r="3039">
      <c r="A3039" s="1"/>
    </row>
    <row r="3040">
      <c r="A3040" s="1"/>
    </row>
    <row r="3041">
      <c r="A3041" s="1"/>
    </row>
    <row r="3042">
      <c r="A3042" s="1"/>
    </row>
    <row r="3043">
      <c r="A3043" s="1"/>
    </row>
    <row r="3044">
      <c r="A3044" s="1"/>
    </row>
    <row r="3045">
      <c r="A3045" s="1"/>
    </row>
    <row r="3046">
      <c r="A3046" s="1"/>
    </row>
    <row r="3047">
      <c r="A3047" s="1"/>
    </row>
    <row r="3048">
      <c r="A3048" s="1"/>
    </row>
    <row r="3049">
      <c r="A3049" s="1"/>
    </row>
    <row r="3050">
      <c r="A3050" s="1"/>
    </row>
    <row r="3051">
      <c r="A3051" s="1"/>
    </row>
    <row r="3052">
      <c r="A3052" s="1"/>
    </row>
    <row r="3053">
      <c r="A3053" s="1"/>
    </row>
    <row r="3054">
      <c r="A3054" s="1"/>
    </row>
    <row r="3055">
      <c r="A3055" s="1"/>
    </row>
    <row r="3056">
      <c r="A3056" s="1"/>
    </row>
    <row r="3057">
      <c r="A3057" s="1"/>
    </row>
    <row r="3058">
      <c r="A3058" s="1"/>
    </row>
    <row r="3059">
      <c r="A3059" s="1"/>
    </row>
    <row r="3060">
      <c r="A3060" s="1"/>
    </row>
    <row r="3061">
      <c r="A3061" s="1"/>
    </row>
    <row r="3062">
      <c r="A3062" s="1"/>
    </row>
    <row r="3063">
      <c r="A3063" s="1"/>
    </row>
    <row r="3064">
      <c r="A3064" s="1"/>
    </row>
    <row r="3065">
      <c r="A3065" s="1"/>
    </row>
    <row r="3066">
      <c r="A3066" s="1"/>
    </row>
    <row r="3067">
      <c r="A3067" s="1"/>
    </row>
    <row r="3068">
      <c r="A3068" s="1"/>
    </row>
    <row r="3069">
      <c r="A3069" s="1"/>
    </row>
    <row r="3070">
      <c r="A3070" s="1"/>
    </row>
    <row r="3071">
      <c r="A3071" s="1"/>
    </row>
    <row r="3072">
      <c r="A3072" s="1"/>
    </row>
    <row r="3073">
      <c r="A3073" s="1"/>
    </row>
    <row r="3074">
      <c r="A3074" s="1"/>
    </row>
    <row r="3075">
      <c r="A3075" s="1"/>
    </row>
    <row r="3076">
      <c r="A3076" s="1"/>
    </row>
    <row r="3077">
      <c r="A3077" s="1"/>
    </row>
    <row r="3078">
      <c r="A3078" s="1"/>
    </row>
    <row r="3079">
      <c r="A3079" s="1"/>
    </row>
    <row r="3080">
      <c r="A3080" s="1"/>
    </row>
    <row r="3081">
      <c r="A3081" s="1"/>
    </row>
    <row r="3082">
      <c r="A3082" s="1"/>
    </row>
    <row r="3083">
      <c r="A3083" s="1"/>
    </row>
    <row r="3084">
      <c r="A3084" s="1"/>
    </row>
    <row r="3085">
      <c r="A3085" s="1"/>
    </row>
    <row r="3086">
      <c r="A3086" s="1"/>
    </row>
    <row r="3087">
      <c r="A3087" s="1"/>
    </row>
    <row r="3088">
      <c r="A3088" s="1"/>
    </row>
    <row r="3089">
      <c r="A3089" s="1"/>
    </row>
    <row r="3090">
      <c r="A3090" s="1"/>
    </row>
    <row r="3091">
      <c r="A3091" s="1"/>
    </row>
    <row r="3092">
      <c r="A3092" s="1"/>
    </row>
    <row r="3093">
      <c r="A3093" s="1"/>
    </row>
    <row r="3094">
      <c r="A3094" s="1"/>
    </row>
    <row r="3095">
      <c r="A3095" s="1"/>
    </row>
    <row r="3096">
      <c r="A3096" s="1"/>
    </row>
    <row r="3097">
      <c r="A3097" s="1"/>
    </row>
    <row r="3098">
      <c r="A3098" s="1"/>
    </row>
    <row r="3099">
      <c r="A3099" s="1"/>
    </row>
    <row r="3100">
      <c r="A3100" s="1"/>
    </row>
    <row r="3101">
      <c r="A3101" s="1"/>
    </row>
    <row r="3102">
      <c r="A3102" s="1"/>
    </row>
    <row r="3103">
      <c r="A3103" s="1"/>
    </row>
    <row r="3104">
      <c r="A3104" s="1"/>
    </row>
    <row r="3105">
      <c r="A3105" s="1"/>
    </row>
    <row r="3106">
      <c r="A3106" s="1"/>
    </row>
    <row r="3107">
      <c r="A3107" s="1"/>
    </row>
    <row r="3108">
      <c r="A3108" s="1"/>
    </row>
    <row r="3109">
      <c r="A3109" s="1"/>
    </row>
    <row r="3110">
      <c r="A3110" s="1"/>
    </row>
    <row r="3111">
      <c r="A3111" s="1"/>
    </row>
    <row r="3112">
      <c r="A3112" s="1"/>
    </row>
    <row r="3113">
      <c r="A3113" s="1"/>
    </row>
    <row r="3114">
      <c r="A3114" s="1"/>
    </row>
    <row r="3115">
      <c r="A3115" s="1"/>
    </row>
    <row r="3116">
      <c r="A3116" s="1"/>
    </row>
    <row r="3117">
      <c r="A3117" s="1"/>
    </row>
    <row r="3118">
      <c r="A3118" s="1"/>
    </row>
    <row r="3119">
      <c r="A3119" s="1"/>
    </row>
    <row r="3120">
      <c r="A3120" s="1"/>
    </row>
    <row r="3121">
      <c r="A3121" s="1"/>
    </row>
    <row r="3122">
      <c r="A3122" s="1"/>
    </row>
    <row r="3123">
      <c r="A3123" s="1"/>
    </row>
    <row r="3124">
      <c r="A3124" s="1"/>
    </row>
    <row r="3125">
      <c r="A3125" s="1"/>
    </row>
    <row r="3126">
      <c r="A3126" s="1"/>
    </row>
    <row r="3127">
      <c r="A3127" s="1"/>
    </row>
    <row r="3128">
      <c r="A3128" s="1"/>
    </row>
    <row r="3129">
      <c r="A3129" s="1"/>
    </row>
    <row r="3130">
      <c r="A3130" s="1"/>
    </row>
    <row r="3131">
      <c r="A3131" s="1"/>
    </row>
    <row r="3132">
      <c r="A3132" s="1"/>
    </row>
    <row r="3133">
      <c r="A3133" s="1"/>
    </row>
    <row r="3134">
      <c r="A3134" s="1"/>
    </row>
    <row r="3135">
      <c r="A3135" s="1"/>
    </row>
    <row r="3136">
      <c r="A3136" s="1"/>
    </row>
    <row r="3137">
      <c r="A3137" s="1"/>
    </row>
    <row r="3138">
      <c r="A3138" s="1"/>
    </row>
    <row r="3139">
      <c r="A3139" s="1"/>
    </row>
    <row r="3140">
      <c r="A3140" s="1"/>
    </row>
    <row r="3141">
      <c r="A3141" s="1"/>
    </row>
    <row r="3142">
      <c r="A3142" s="1"/>
    </row>
    <row r="3143">
      <c r="A3143" s="1"/>
    </row>
    <row r="3144">
      <c r="A3144" s="1"/>
    </row>
    <row r="3145">
      <c r="A3145" s="1"/>
    </row>
    <row r="3146">
      <c r="A3146" s="1"/>
    </row>
    <row r="3147">
      <c r="A3147" s="1"/>
    </row>
    <row r="3148">
      <c r="A3148" s="1"/>
    </row>
    <row r="3149">
      <c r="A3149" s="1"/>
    </row>
    <row r="3150">
      <c r="A3150" s="1"/>
    </row>
    <row r="3151">
      <c r="A3151" s="1"/>
    </row>
    <row r="3152">
      <c r="A3152" s="1"/>
    </row>
    <row r="3153">
      <c r="A3153" s="1"/>
    </row>
    <row r="3154">
      <c r="A3154" s="1"/>
    </row>
    <row r="3155">
      <c r="A3155" s="1"/>
    </row>
    <row r="3156">
      <c r="A3156" s="1"/>
    </row>
    <row r="3157">
      <c r="A3157" s="1"/>
    </row>
    <row r="3158">
      <c r="A3158" s="1"/>
    </row>
    <row r="3159">
      <c r="A3159" s="1"/>
    </row>
    <row r="3160">
      <c r="A3160" s="1"/>
    </row>
    <row r="3161">
      <c r="A3161" s="1"/>
    </row>
    <row r="3162">
      <c r="A3162" s="1"/>
    </row>
    <row r="3163">
      <c r="A3163" s="1"/>
    </row>
    <row r="3164">
      <c r="A3164" s="1"/>
    </row>
    <row r="3165">
      <c r="A3165" s="1"/>
    </row>
    <row r="3166">
      <c r="A3166" s="1"/>
    </row>
    <row r="3167">
      <c r="A3167" s="1"/>
    </row>
    <row r="3168">
      <c r="A3168" s="1"/>
    </row>
    <row r="3169">
      <c r="A3169" s="1"/>
    </row>
    <row r="3170">
      <c r="A3170" s="1"/>
    </row>
    <row r="3171">
      <c r="A3171" s="1"/>
    </row>
    <row r="3172">
      <c r="A3172" s="1"/>
    </row>
    <row r="3173">
      <c r="A3173" s="1"/>
    </row>
    <row r="3174">
      <c r="A3174" s="1"/>
    </row>
    <row r="3175">
      <c r="A3175" s="1"/>
    </row>
    <row r="3176">
      <c r="A3176" s="1"/>
    </row>
    <row r="3177">
      <c r="A3177" s="1"/>
    </row>
    <row r="3178">
      <c r="A3178" s="1"/>
    </row>
    <row r="3179">
      <c r="A3179" s="1"/>
    </row>
    <row r="3180">
      <c r="A3180" s="1"/>
    </row>
    <row r="3181">
      <c r="A3181" s="1"/>
    </row>
    <row r="3182">
      <c r="A3182" s="1"/>
    </row>
    <row r="3183">
      <c r="A3183" s="1"/>
    </row>
    <row r="3184">
      <c r="A3184" s="1"/>
    </row>
    <row r="3185">
      <c r="A3185" s="1"/>
    </row>
    <row r="3186">
      <c r="A3186" s="1"/>
    </row>
    <row r="3187">
      <c r="A3187" s="1"/>
    </row>
    <row r="3188">
      <c r="A3188" s="1"/>
    </row>
    <row r="3189">
      <c r="A3189" s="1"/>
    </row>
    <row r="3190">
      <c r="A3190" s="1"/>
    </row>
    <row r="3191">
      <c r="A3191" s="1"/>
    </row>
    <row r="3192">
      <c r="A3192" s="1"/>
    </row>
    <row r="3193">
      <c r="A3193" s="1"/>
    </row>
    <row r="3194">
      <c r="A3194" s="1"/>
    </row>
    <row r="3195">
      <c r="A3195" s="1"/>
    </row>
    <row r="3196">
      <c r="A3196" s="1"/>
    </row>
    <row r="3197">
      <c r="A3197" s="1"/>
    </row>
    <row r="3198">
      <c r="A3198" s="1"/>
    </row>
    <row r="3199">
      <c r="A3199" s="1"/>
    </row>
    <row r="3200">
      <c r="A3200" s="1"/>
    </row>
    <row r="3201">
      <c r="A3201" s="1"/>
    </row>
    <row r="3202">
      <c r="A3202" s="1"/>
    </row>
    <row r="3203">
      <c r="A3203" s="1"/>
    </row>
    <row r="3204">
      <c r="A3204" s="1"/>
    </row>
    <row r="3205">
      <c r="A3205" s="1"/>
    </row>
    <row r="3206">
      <c r="A3206" s="1"/>
    </row>
    <row r="3207">
      <c r="A3207" s="1"/>
    </row>
    <row r="3208">
      <c r="A3208" s="1"/>
    </row>
    <row r="3209">
      <c r="A3209" s="1"/>
    </row>
    <row r="3210">
      <c r="A3210" s="1"/>
    </row>
    <row r="3211">
      <c r="A3211" s="1"/>
    </row>
    <row r="3212">
      <c r="A3212" s="1"/>
    </row>
    <row r="3213">
      <c r="A3213" s="1"/>
    </row>
    <row r="3214">
      <c r="A3214" s="1"/>
    </row>
    <row r="3215">
      <c r="A3215" s="1"/>
    </row>
    <row r="3216">
      <c r="A3216" s="1"/>
    </row>
    <row r="3217">
      <c r="A3217" s="1"/>
    </row>
    <row r="3218">
      <c r="A3218" s="1"/>
    </row>
    <row r="3219">
      <c r="A3219" s="1"/>
    </row>
    <row r="3220">
      <c r="A3220" s="1"/>
    </row>
    <row r="3221">
      <c r="A3221" s="1"/>
    </row>
    <row r="3222">
      <c r="A3222" s="1"/>
    </row>
    <row r="3223">
      <c r="A3223" s="1"/>
    </row>
    <row r="3224">
      <c r="A3224" s="1"/>
    </row>
    <row r="3225">
      <c r="A3225" s="1"/>
    </row>
    <row r="3226">
      <c r="A3226" s="1"/>
    </row>
    <row r="3227">
      <c r="A3227" s="1"/>
    </row>
    <row r="3228">
      <c r="A3228" s="1"/>
    </row>
    <row r="3229">
      <c r="A3229" s="1"/>
    </row>
    <row r="3230">
      <c r="A3230" s="1"/>
    </row>
    <row r="3231">
      <c r="A3231" s="1"/>
    </row>
    <row r="3232">
      <c r="A3232" s="1"/>
    </row>
    <row r="3233">
      <c r="A3233" s="1"/>
    </row>
    <row r="3234">
      <c r="A3234" s="1"/>
    </row>
    <row r="3235">
      <c r="A3235" s="1"/>
    </row>
    <row r="3236">
      <c r="A3236" s="1"/>
    </row>
    <row r="3237">
      <c r="A3237" s="1"/>
    </row>
    <row r="3238">
      <c r="A3238" s="1"/>
    </row>
    <row r="3239">
      <c r="A3239" s="1"/>
    </row>
    <row r="3240">
      <c r="A3240" s="1"/>
    </row>
    <row r="3241">
      <c r="A3241" s="1"/>
    </row>
    <row r="3242">
      <c r="A3242" s="1"/>
    </row>
    <row r="3243">
      <c r="A3243" s="1"/>
    </row>
    <row r="3244">
      <c r="A3244" s="1"/>
    </row>
    <row r="3245">
      <c r="A3245" s="1"/>
    </row>
    <row r="3246">
      <c r="A3246" s="1"/>
    </row>
    <row r="3247">
      <c r="A3247" s="1"/>
    </row>
    <row r="3248">
      <c r="A3248" s="1"/>
    </row>
    <row r="3249">
      <c r="A3249" s="1"/>
    </row>
    <row r="3250">
      <c r="A3250" s="1"/>
    </row>
    <row r="3251">
      <c r="A3251" s="1"/>
    </row>
    <row r="3252">
      <c r="A3252" s="1"/>
    </row>
    <row r="3253">
      <c r="A3253" s="1"/>
    </row>
    <row r="3254">
      <c r="A3254" s="1"/>
    </row>
    <row r="3255">
      <c r="A3255" s="1"/>
    </row>
    <row r="3256">
      <c r="A3256" s="1"/>
    </row>
    <row r="3257">
      <c r="A3257" s="1"/>
    </row>
    <row r="3258">
      <c r="A3258" s="1"/>
    </row>
    <row r="3259">
      <c r="A3259" s="1"/>
    </row>
    <row r="3260">
      <c r="A3260" s="1"/>
    </row>
    <row r="3261">
      <c r="A3261" s="1"/>
    </row>
    <row r="3262">
      <c r="A3262" s="1"/>
    </row>
    <row r="3263">
      <c r="A3263" s="1"/>
    </row>
    <row r="3264">
      <c r="A3264" s="1"/>
    </row>
    <row r="3265">
      <c r="A3265" s="1"/>
    </row>
    <row r="3266">
      <c r="A3266" s="1"/>
    </row>
    <row r="3267">
      <c r="A3267" s="1"/>
    </row>
    <row r="3268">
      <c r="A3268" s="1"/>
    </row>
    <row r="3269">
      <c r="A3269" s="1"/>
    </row>
    <row r="3270">
      <c r="A3270" s="1"/>
    </row>
    <row r="3271">
      <c r="A3271" s="1"/>
    </row>
    <row r="3272">
      <c r="A3272" s="1"/>
    </row>
    <row r="3273">
      <c r="A3273" s="1"/>
    </row>
    <row r="3274">
      <c r="A3274" s="1"/>
    </row>
    <row r="3275">
      <c r="A3275" s="1"/>
    </row>
    <row r="3276">
      <c r="A3276" s="1"/>
    </row>
    <row r="3277">
      <c r="A3277" s="1"/>
    </row>
    <row r="3278">
      <c r="A3278" s="1"/>
    </row>
    <row r="3279">
      <c r="A3279" s="1"/>
    </row>
    <row r="3280">
      <c r="A3280" s="1"/>
    </row>
    <row r="3281">
      <c r="A3281" s="1"/>
    </row>
    <row r="3282">
      <c r="A3282" s="1"/>
    </row>
    <row r="3283">
      <c r="A3283" s="1"/>
    </row>
    <row r="3284">
      <c r="A3284" s="1"/>
    </row>
    <row r="3285">
      <c r="A3285" s="1"/>
    </row>
    <row r="3286">
      <c r="A3286" s="1"/>
    </row>
    <row r="3287">
      <c r="A3287" s="1"/>
    </row>
    <row r="3288">
      <c r="A3288" s="1"/>
    </row>
    <row r="3289">
      <c r="A3289" s="1"/>
    </row>
    <row r="3290">
      <c r="A3290" s="1"/>
    </row>
    <row r="3291">
      <c r="A3291" s="1"/>
    </row>
    <row r="3292">
      <c r="A3292" s="1"/>
    </row>
    <row r="3293">
      <c r="A3293" s="1"/>
    </row>
    <row r="3294">
      <c r="A3294" s="1"/>
    </row>
    <row r="3295">
      <c r="A3295" s="1"/>
    </row>
    <row r="3296">
      <c r="A3296" s="1"/>
    </row>
    <row r="3297">
      <c r="A3297" s="1"/>
    </row>
    <row r="3298">
      <c r="A3298" s="1"/>
    </row>
    <row r="3299">
      <c r="A3299" s="1"/>
    </row>
    <row r="3300">
      <c r="A3300" s="1"/>
    </row>
    <row r="3301">
      <c r="A3301" s="1"/>
    </row>
    <row r="3302">
      <c r="A3302" s="1"/>
    </row>
    <row r="3303">
      <c r="A3303" s="1"/>
    </row>
    <row r="3304">
      <c r="A3304" s="1"/>
    </row>
    <row r="3305">
      <c r="A3305" s="1"/>
    </row>
    <row r="3306">
      <c r="A3306" s="1"/>
    </row>
    <row r="3307">
      <c r="A3307" s="1"/>
    </row>
    <row r="3308">
      <c r="A3308" s="1"/>
    </row>
    <row r="3309">
      <c r="A3309" s="1"/>
    </row>
    <row r="3310">
      <c r="A3310" s="1"/>
    </row>
    <row r="3311">
      <c r="A3311" s="1"/>
    </row>
    <row r="3312">
      <c r="A3312" s="1"/>
    </row>
    <row r="3313">
      <c r="A3313" s="1"/>
    </row>
    <row r="3314">
      <c r="A3314" s="1"/>
    </row>
    <row r="3315">
      <c r="A3315" s="1"/>
    </row>
    <row r="3316">
      <c r="A3316" s="1"/>
    </row>
    <row r="3317">
      <c r="A3317" s="1"/>
    </row>
    <row r="3318">
      <c r="A3318" s="1"/>
    </row>
    <row r="3319">
      <c r="A3319" s="1"/>
    </row>
    <row r="3320">
      <c r="A3320" s="1"/>
    </row>
    <row r="3321">
      <c r="A3321" s="1"/>
    </row>
    <row r="3322">
      <c r="A3322" s="1"/>
    </row>
    <row r="3323">
      <c r="A3323" s="1"/>
    </row>
    <row r="3324">
      <c r="A3324" s="1"/>
    </row>
    <row r="3325">
      <c r="A3325" s="1"/>
    </row>
    <row r="3326">
      <c r="A3326" s="1"/>
    </row>
    <row r="3327">
      <c r="A3327" s="1"/>
    </row>
    <row r="3328">
      <c r="A3328" s="1"/>
    </row>
    <row r="3329">
      <c r="A3329" s="1"/>
    </row>
    <row r="3330">
      <c r="A3330" s="1"/>
    </row>
    <row r="3331">
      <c r="A3331" s="1"/>
    </row>
    <row r="3332">
      <c r="A3332" s="1"/>
    </row>
    <row r="3333">
      <c r="A3333" s="1"/>
    </row>
    <row r="3334">
      <c r="A3334" s="1"/>
    </row>
    <row r="3335">
      <c r="A3335" s="1"/>
    </row>
    <row r="3336">
      <c r="A3336" s="1"/>
    </row>
    <row r="3337">
      <c r="A3337" s="1"/>
    </row>
    <row r="3338">
      <c r="A3338" s="1"/>
    </row>
    <row r="3339">
      <c r="A3339" s="1"/>
    </row>
    <row r="3340">
      <c r="A3340" s="1"/>
    </row>
    <row r="3341">
      <c r="A3341" s="1"/>
    </row>
    <row r="3342">
      <c r="A3342" s="1"/>
    </row>
    <row r="3343">
      <c r="A3343" s="1"/>
    </row>
    <row r="3344">
      <c r="A3344" s="1"/>
    </row>
    <row r="3345">
      <c r="A3345" s="1"/>
    </row>
    <row r="3346">
      <c r="A3346" s="1"/>
    </row>
    <row r="3347">
      <c r="A3347" s="1"/>
    </row>
    <row r="3348">
      <c r="A3348" s="1"/>
    </row>
    <row r="3349">
      <c r="A3349" s="1"/>
    </row>
    <row r="3350">
      <c r="A3350" s="1"/>
    </row>
    <row r="3351">
      <c r="A3351" s="1"/>
    </row>
    <row r="3352">
      <c r="A3352" s="1"/>
    </row>
    <row r="3353">
      <c r="A3353" s="1"/>
    </row>
    <row r="3354">
      <c r="A3354" s="1"/>
    </row>
    <row r="3355">
      <c r="A3355" s="1"/>
    </row>
    <row r="3356">
      <c r="A3356" s="1"/>
    </row>
    <row r="3357">
      <c r="A3357" s="1"/>
    </row>
    <row r="3358">
      <c r="A3358" s="1"/>
    </row>
    <row r="3359">
      <c r="A3359" s="1"/>
    </row>
    <row r="3360">
      <c r="A3360" s="1"/>
    </row>
    <row r="3361">
      <c r="A3361" s="1"/>
    </row>
    <row r="3362">
      <c r="A3362" s="1"/>
    </row>
    <row r="3363">
      <c r="A3363" s="1"/>
    </row>
    <row r="3364">
      <c r="A3364" s="1"/>
    </row>
    <row r="3365">
      <c r="A3365" s="1"/>
    </row>
    <row r="3366">
      <c r="A3366" s="1"/>
    </row>
    <row r="3367">
      <c r="A3367" s="1"/>
    </row>
    <row r="3368">
      <c r="A3368" s="1"/>
    </row>
    <row r="3369">
      <c r="A3369" s="1"/>
    </row>
    <row r="3370">
      <c r="A3370" s="1"/>
    </row>
    <row r="3371">
      <c r="A3371" s="1"/>
    </row>
    <row r="3372">
      <c r="A3372" s="1"/>
    </row>
    <row r="3373">
      <c r="A3373" s="1"/>
    </row>
    <row r="3374">
      <c r="A3374" s="1"/>
    </row>
    <row r="3375">
      <c r="A3375" s="1"/>
    </row>
    <row r="3376">
      <c r="A3376" s="1"/>
    </row>
    <row r="3377">
      <c r="A3377" s="1"/>
    </row>
    <row r="3378">
      <c r="A3378" s="1"/>
    </row>
    <row r="3379">
      <c r="A3379" s="1"/>
    </row>
    <row r="3380">
      <c r="A3380" s="1"/>
    </row>
    <row r="3381">
      <c r="A3381" s="1"/>
    </row>
    <row r="3382">
      <c r="A3382" s="1"/>
    </row>
    <row r="3383">
      <c r="A3383" s="1"/>
    </row>
    <row r="3384">
      <c r="A3384" s="1"/>
    </row>
    <row r="3385">
      <c r="A3385" s="1"/>
    </row>
    <row r="3386">
      <c r="A3386" s="1"/>
    </row>
    <row r="3387">
      <c r="A3387" s="1"/>
    </row>
    <row r="3388">
      <c r="A3388" s="1"/>
    </row>
    <row r="3389">
      <c r="A3389" s="1"/>
    </row>
    <row r="3390">
      <c r="A3390" s="1"/>
    </row>
    <row r="3391">
      <c r="A3391" s="1"/>
    </row>
    <row r="3392">
      <c r="A3392" s="1"/>
    </row>
    <row r="3393">
      <c r="A3393" s="1"/>
    </row>
    <row r="3394">
      <c r="A3394" s="1"/>
    </row>
    <row r="3395">
      <c r="A3395" s="1"/>
    </row>
    <row r="3396">
      <c r="A3396" s="1"/>
    </row>
    <row r="3397">
      <c r="A3397" s="1"/>
    </row>
    <row r="3398">
      <c r="A3398" s="1"/>
    </row>
    <row r="3399">
      <c r="A3399" s="1"/>
    </row>
    <row r="3400">
      <c r="A3400" s="1"/>
    </row>
    <row r="3401">
      <c r="A3401" s="1"/>
    </row>
    <row r="3402">
      <c r="A3402" s="1"/>
    </row>
    <row r="3403">
      <c r="A3403" s="1"/>
    </row>
    <row r="3404">
      <c r="A3404" s="1"/>
    </row>
    <row r="3405">
      <c r="A3405" s="1"/>
    </row>
    <row r="3406">
      <c r="A3406" s="1"/>
    </row>
    <row r="3407">
      <c r="A3407" s="1"/>
    </row>
    <row r="3408">
      <c r="A3408" s="1"/>
    </row>
    <row r="3409">
      <c r="A3409" s="1"/>
    </row>
    <row r="3410">
      <c r="A3410" s="1"/>
    </row>
    <row r="3411">
      <c r="A3411" s="1"/>
    </row>
    <row r="3412">
      <c r="A3412" s="1"/>
    </row>
    <row r="3413">
      <c r="A3413" s="1"/>
    </row>
    <row r="3414">
      <c r="A3414" s="1"/>
    </row>
    <row r="3415">
      <c r="A3415" s="1"/>
    </row>
    <row r="3416">
      <c r="A3416" s="1"/>
    </row>
    <row r="3417">
      <c r="A3417" s="1"/>
    </row>
    <row r="3418">
      <c r="A3418" s="1"/>
    </row>
    <row r="3419">
      <c r="A3419" s="1"/>
    </row>
    <row r="3420">
      <c r="A3420" s="1"/>
    </row>
    <row r="3421">
      <c r="A3421" s="1"/>
    </row>
    <row r="3422">
      <c r="A3422" s="1"/>
    </row>
    <row r="3423">
      <c r="A3423" s="1"/>
    </row>
    <row r="3424">
      <c r="A3424" s="1"/>
    </row>
    <row r="3425">
      <c r="A3425" s="1"/>
    </row>
    <row r="3426">
      <c r="A3426" s="1"/>
    </row>
    <row r="3427">
      <c r="A3427" s="1"/>
    </row>
    <row r="3428">
      <c r="A3428" s="1"/>
    </row>
    <row r="3429">
      <c r="A3429" s="1"/>
    </row>
    <row r="3430">
      <c r="A3430" s="1"/>
    </row>
    <row r="3431">
      <c r="A3431" s="1"/>
    </row>
    <row r="3432">
      <c r="A3432" s="1"/>
    </row>
    <row r="3433">
      <c r="A3433" s="1"/>
    </row>
    <row r="3434">
      <c r="A3434" s="1"/>
    </row>
    <row r="3435">
      <c r="A3435" s="1"/>
    </row>
    <row r="3436">
      <c r="A3436" s="1"/>
    </row>
    <row r="3437">
      <c r="A3437" s="1"/>
    </row>
    <row r="3438">
      <c r="A3438" s="1"/>
    </row>
    <row r="3439">
      <c r="A3439" s="1"/>
    </row>
    <row r="3440">
      <c r="A3440" s="1"/>
    </row>
    <row r="3441">
      <c r="A3441" s="1"/>
    </row>
    <row r="3442">
      <c r="A3442" s="1"/>
    </row>
    <row r="3443">
      <c r="A3443" s="1"/>
    </row>
    <row r="3444">
      <c r="A3444" s="1"/>
    </row>
    <row r="3445">
      <c r="A3445" s="1"/>
    </row>
    <row r="3446">
      <c r="A3446" s="1"/>
    </row>
    <row r="3447">
      <c r="A3447" s="1"/>
    </row>
    <row r="3448">
      <c r="A3448" s="1"/>
    </row>
    <row r="3449">
      <c r="A3449" s="1"/>
    </row>
    <row r="3450">
      <c r="A3450" s="1"/>
    </row>
    <row r="3451">
      <c r="A3451" s="1"/>
    </row>
    <row r="3452">
      <c r="A3452" s="1"/>
    </row>
    <row r="3453">
      <c r="A3453" s="1"/>
    </row>
    <row r="3454">
      <c r="A3454" s="1"/>
    </row>
    <row r="3455">
      <c r="A3455" s="1"/>
    </row>
    <row r="3456">
      <c r="A3456" s="1"/>
    </row>
    <row r="3457">
      <c r="A3457" s="1"/>
    </row>
    <row r="3458">
      <c r="A3458" s="1"/>
    </row>
    <row r="3459">
      <c r="A3459" s="1"/>
    </row>
    <row r="3460">
      <c r="A3460" s="1"/>
    </row>
    <row r="3461">
      <c r="A3461" s="1"/>
    </row>
    <row r="3462">
      <c r="A3462" s="1"/>
    </row>
    <row r="3463">
      <c r="A3463" s="1"/>
    </row>
    <row r="3464">
      <c r="A3464" s="1"/>
    </row>
    <row r="3465">
      <c r="A3465" s="1"/>
    </row>
    <row r="3466">
      <c r="A3466" s="1"/>
    </row>
    <row r="3467">
      <c r="A3467" s="1"/>
    </row>
    <row r="3468">
      <c r="A3468" s="1"/>
    </row>
    <row r="3469">
      <c r="A3469" s="1"/>
    </row>
    <row r="3470">
      <c r="A3470" s="1"/>
    </row>
    <row r="3471">
      <c r="A3471" s="1"/>
    </row>
    <row r="3472">
      <c r="A3472" s="1"/>
    </row>
    <row r="3473">
      <c r="A3473" s="1"/>
    </row>
    <row r="3474">
      <c r="A3474" s="1"/>
    </row>
    <row r="3475">
      <c r="A3475" s="1"/>
    </row>
    <row r="3476">
      <c r="A3476" s="1"/>
    </row>
    <row r="3477">
      <c r="A3477" s="1"/>
    </row>
    <row r="3478">
      <c r="A3478" s="1"/>
    </row>
    <row r="3479">
      <c r="A3479" s="1"/>
    </row>
    <row r="3480">
      <c r="A3480" s="1"/>
    </row>
    <row r="3481">
      <c r="A3481" s="1"/>
    </row>
    <row r="3482">
      <c r="A3482" s="1"/>
    </row>
    <row r="3483">
      <c r="A3483" s="1"/>
    </row>
    <row r="3484">
      <c r="A3484" s="1"/>
    </row>
    <row r="3485">
      <c r="A3485" s="1"/>
    </row>
    <row r="3486">
      <c r="A3486" s="1"/>
    </row>
    <row r="3487">
      <c r="A3487" s="1"/>
    </row>
    <row r="3488">
      <c r="A3488" s="1"/>
    </row>
    <row r="3489">
      <c r="A3489" s="1"/>
    </row>
    <row r="3490">
      <c r="A3490" s="1"/>
    </row>
    <row r="3491">
      <c r="A3491" s="1"/>
    </row>
    <row r="3492">
      <c r="A3492" s="1"/>
    </row>
    <row r="3493">
      <c r="A3493" s="1"/>
    </row>
    <row r="3494">
      <c r="A3494" s="1"/>
    </row>
    <row r="3495">
      <c r="A3495" s="1"/>
    </row>
    <row r="3496">
      <c r="A3496" s="1"/>
    </row>
    <row r="3497">
      <c r="A3497" s="1"/>
    </row>
    <row r="3498">
      <c r="A3498" s="1"/>
    </row>
    <row r="3499">
      <c r="A3499" s="1"/>
    </row>
    <row r="3500">
      <c r="A3500" s="1"/>
    </row>
    <row r="3501">
      <c r="A3501" s="1"/>
    </row>
    <row r="3502">
      <c r="A3502" s="1"/>
    </row>
    <row r="3503">
      <c r="A3503" s="1"/>
    </row>
    <row r="3504">
      <c r="A3504" s="1"/>
    </row>
    <row r="3505">
      <c r="A3505" s="1"/>
    </row>
    <row r="3506">
      <c r="A3506" s="1"/>
    </row>
    <row r="3507">
      <c r="A3507" s="1"/>
    </row>
    <row r="3508">
      <c r="A3508" s="1"/>
    </row>
    <row r="3509">
      <c r="A3509" s="1"/>
    </row>
    <row r="3510">
      <c r="A3510" s="1"/>
    </row>
    <row r="3511">
      <c r="A3511" s="1"/>
    </row>
    <row r="3512">
      <c r="A3512" s="1"/>
    </row>
    <row r="3513">
      <c r="A3513" s="1"/>
    </row>
    <row r="3514">
      <c r="A3514" s="1"/>
    </row>
    <row r="3515">
      <c r="A3515" s="1"/>
    </row>
    <row r="3516">
      <c r="A3516" s="1"/>
    </row>
    <row r="3517">
      <c r="A3517" s="1"/>
    </row>
    <row r="3518">
      <c r="A3518" s="1"/>
    </row>
    <row r="3519">
      <c r="A3519" s="1"/>
    </row>
    <row r="3520">
      <c r="A3520" s="1"/>
    </row>
    <row r="3521">
      <c r="A3521" s="1"/>
    </row>
    <row r="3522">
      <c r="A3522" s="1"/>
    </row>
    <row r="3523">
      <c r="A3523" s="1"/>
    </row>
    <row r="3524">
      <c r="A3524" s="1"/>
    </row>
    <row r="3525">
      <c r="A3525" s="1"/>
    </row>
    <row r="3526">
      <c r="A3526" s="1"/>
    </row>
    <row r="3527">
      <c r="A3527" s="1"/>
    </row>
    <row r="3528">
      <c r="A3528" s="1"/>
    </row>
    <row r="3529">
      <c r="A3529" s="1"/>
    </row>
    <row r="3530">
      <c r="A3530" s="1"/>
    </row>
    <row r="3531">
      <c r="A3531" s="1"/>
    </row>
    <row r="3532">
      <c r="A3532" s="1"/>
    </row>
    <row r="3533">
      <c r="A3533" s="1"/>
    </row>
    <row r="3534">
      <c r="A3534" s="1"/>
    </row>
    <row r="3535">
      <c r="A3535" s="1"/>
    </row>
    <row r="3536">
      <c r="A3536" s="1"/>
    </row>
    <row r="3537">
      <c r="A3537" s="1"/>
    </row>
    <row r="3538">
      <c r="A3538" s="1"/>
    </row>
    <row r="3539">
      <c r="A3539" s="1"/>
    </row>
    <row r="3540">
      <c r="A3540" s="1"/>
    </row>
    <row r="3541">
      <c r="A3541" s="1"/>
    </row>
    <row r="3542">
      <c r="A3542" s="1"/>
    </row>
    <row r="3543">
      <c r="A3543" s="1"/>
    </row>
    <row r="3544">
      <c r="A3544" s="1"/>
    </row>
    <row r="3545">
      <c r="A3545" s="1"/>
    </row>
    <row r="3546">
      <c r="A3546" s="1"/>
    </row>
    <row r="3547">
      <c r="A3547" s="1"/>
    </row>
    <row r="3548">
      <c r="A3548" s="1"/>
    </row>
    <row r="3549">
      <c r="A3549" s="1"/>
    </row>
    <row r="3550">
      <c r="A3550" s="1"/>
    </row>
    <row r="3551">
      <c r="A3551" s="1"/>
    </row>
    <row r="3552">
      <c r="A3552" s="1"/>
    </row>
    <row r="3553">
      <c r="A3553" s="1"/>
    </row>
    <row r="3554">
      <c r="A3554" s="1"/>
    </row>
    <row r="3555">
      <c r="A3555" s="1"/>
    </row>
    <row r="3556">
      <c r="A3556" s="1"/>
    </row>
    <row r="3557">
      <c r="A3557" s="1"/>
    </row>
    <row r="3558">
      <c r="A3558" s="1"/>
    </row>
    <row r="3559">
      <c r="A3559" s="1"/>
    </row>
    <row r="3560">
      <c r="A3560" s="1"/>
    </row>
    <row r="3561">
      <c r="A3561" s="1"/>
    </row>
    <row r="3562">
      <c r="A3562" s="1"/>
    </row>
    <row r="3563">
      <c r="A3563" s="1"/>
    </row>
    <row r="3564">
      <c r="A3564" s="1"/>
    </row>
    <row r="3565">
      <c r="A3565" s="1"/>
    </row>
    <row r="3566">
      <c r="A3566" s="1"/>
    </row>
    <row r="3567">
      <c r="A3567" s="1"/>
    </row>
    <row r="3568">
      <c r="A3568" s="1"/>
    </row>
    <row r="3569">
      <c r="A3569" s="1"/>
    </row>
    <row r="3570">
      <c r="A3570" s="1"/>
    </row>
    <row r="3571">
      <c r="A3571" s="1"/>
    </row>
    <row r="3572">
      <c r="A3572" s="1"/>
    </row>
    <row r="3573">
      <c r="A3573" s="1"/>
    </row>
    <row r="3574">
      <c r="A3574" s="1"/>
    </row>
    <row r="3575">
      <c r="A3575" s="1"/>
    </row>
    <row r="3576">
      <c r="A3576" s="1"/>
    </row>
    <row r="3577">
      <c r="A3577" s="1"/>
    </row>
    <row r="3578">
      <c r="A3578" s="1"/>
    </row>
    <row r="3579">
      <c r="A3579" s="1"/>
    </row>
    <row r="3580">
      <c r="A3580" s="1"/>
    </row>
    <row r="3581">
      <c r="A3581" s="1"/>
    </row>
    <row r="3582">
      <c r="A3582" s="1"/>
    </row>
    <row r="3583">
      <c r="A3583" s="1"/>
    </row>
    <row r="3584">
      <c r="A3584" s="1"/>
    </row>
    <row r="3585">
      <c r="A3585" s="1"/>
    </row>
    <row r="3586">
      <c r="A3586" s="1"/>
    </row>
    <row r="3587">
      <c r="A3587" s="1"/>
    </row>
    <row r="3588">
      <c r="A3588" s="1"/>
    </row>
    <row r="3589">
      <c r="A3589" s="1"/>
    </row>
    <row r="3590">
      <c r="A3590" s="1"/>
    </row>
    <row r="3591">
      <c r="A3591" s="1"/>
    </row>
    <row r="3592">
      <c r="A3592" s="1"/>
    </row>
    <row r="3593">
      <c r="A3593" s="1"/>
    </row>
    <row r="3594">
      <c r="A3594" s="1"/>
    </row>
    <row r="3595">
      <c r="A3595" s="1"/>
    </row>
    <row r="3596">
      <c r="A3596" s="1"/>
    </row>
    <row r="3597">
      <c r="A3597" s="1"/>
    </row>
    <row r="3598">
      <c r="A3598" s="1"/>
    </row>
    <row r="3599">
      <c r="A3599" s="1"/>
    </row>
    <row r="3600">
      <c r="A3600" s="1"/>
    </row>
    <row r="3601">
      <c r="A3601" s="1"/>
    </row>
    <row r="3602">
      <c r="A3602" s="1"/>
    </row>
    <row r="3603">
      <c r="A3603" s="1"/>
    </row>
    <row r="3604">
      <c r="A3604" s="1"/>
    </row>
    <row r="3605">
      <c r="A3605" s="1"/>
    </row>
    <row r="3606">
      <c r="A3606" s="1"/>
    </row>
    <row r="3607">
      <c r="A3607" s="1"/>
    </row>
    <row r="3608">
      <c r="A3608" s="1"/>
    </row>
    <row r="3609">
      <c r="A3609" s="1"/>
    </row>
    <row r="3610">
      <c r="A3610" s="1"/>
    </row>
    <row r="3611">
      <c r="A3611" s="1"/>
    </row>
    <row r="3612">
      <c r="A3612" s="1"/>
    </row>
    <row r="3613">
      <c r="A3613" s="1"/>
    </row>
    <row r="3614">
      <c r="A3614" s="1"/>
    </row>
    <row r="3615">
      <c r="A3615" s="1"/>
    </row>
    <row r="3616">
      <c r="A3616" s="1"/>
    </row>
    <row r="3617">
      <c r="A3617" s="1"/>
    </row>
    <row r="3618">
      <c r="A3618" s="1"/>
    </row>
    <row r="3619">
      <c r="A3619" s="1"/>
    </row>
    <row r="3620">
      <c r="A3620" s="1"/>
    </row>
    <row r="3621">
      <c r="A3621" s="1"/>
    </row>
    <row r="3622">
      <c r="A3622" s="1"/>
    </row>
    <row r="3623">
      <c r="A3623" s="1"/>
    </row>
    <row r="3624">
      <c r="A3624" s="1"/>
    </row>
    <row r="3625">
      <c r="A3625" s="1"/>
    </row>
    <row r="3626">
      <c r="A3626" s="1"/>
    </row>
    <row r="3627">
      <c r="A3627" s="1"/>
    </row>
    <row r="3628">
      <c r="A3628" s="1"/>
    </row>
    <row r="3629">
      <c r="A3629" s="1"/>
    </row>
    <row r="3630">
      <c r="A3630" s="1"/>
    </row>
    <row r="3631">
      <c r="A3631" s="1"/>
    </row>
    <row r="3632">
      <c r="A3632" s="1"/>
    </row>
    <row r="3633">
      <c r="A3633" s="1"/>
    </row>
    <row r="3634">
      <c r="A3634" s="1"/>
    </row>
    <row r="3635">
      <c r="A3635" s="1"/>
    </row>
    <row r="3636">
      <c r="A3636" s="1"/>
    </row>
    <row r="3637">
      <c r="A3637" s="1"/>
    </row>
    <row r="3638">
      <c r="A3638" s="1"/>
    </row>
    <row r="3639">
      <c r="A3639" s="1"/>
    </row>
    <row r="3640">
      <c r="A3640" s="1"/>
    </row>
    <row r="3641">
      <c r="A3641" s="1"/>
    </row>
    <row r="3642">
      <c r="A3642" s="1"/>
    </row>
    <row r="3643">
      <c r="A3643" s="1"/>
    </row>
    <row r="3644">
      <c r="A3644" s="1"/>
    </row>
    <row r="3645">
      <c r="A3645" s="1"/>
    </row>
    <row r="3646">
      <c r="A3646" s="1"/>
    </row>
    <row r="3647">
      <c r="A3647" s="1"/>
    </row>
    <row r="3648">
      <c r="A3648" s="1"/>
    </row>
    <row r="3649">
      <c r="A3649" s="1"/>
    </row>
    <row r="3650">
      <c r="A3650" s="1"/>
    </row>
    <row r="3651">
      <c r="A3651" s="1"/>
    </row>
    <row r="3652">
      <c r="A3652" s="1"/>
    </row>
    <row r="3653">
      <c r="A3653" s="1"/>
    </row>
    <row r="3654">
      <c r="A3654" s="1"/>
    </row>
    <row r="3655">
      <c r="A3655" s="1"/>
    </row>
    <row r="3656">
      <c r="A3656" s="1"/>
    </row>
    <row r="3657">
      <c r="A3657" s="1"/>
    </row>
    <row r="3658">
      <c r="A3658" s="1"/>
    </row>
    <row r="3659">
      <c r="A3659" s="1"/>
    </row>
    <row r="3660">
      <c r="A3660" s="1"/>
    </row>
    <row r="3661">
      <c r="A3661" s="1"/>
    </row>
    <row r="3662">
      <c r="A3662" s="1"/>
    </row>
    <row r="3663">
      <c r="A3663" s="1"/>
    </row>
    <row r="3664">
      <c r="A3664" s="1"/>
    </row>
    <row r="3665">
      <c r="A3665" s="1"/>
    </row>
    <row r="3666">
      <c r="A3666" s="1"/>
    </row>
    <row r="3667">
      <c r="A3667" s="1"/>
    </row>
    <row r="3668">
      <c r="A3668" s="1"/>
    </row>
    <row r="3669">
      <c r="A3669" s="1"/>
    </row>
    <row r="3670">
      <c r="A3670" s="1"/>
    </row>
    <row r="3671">
      <c r="A3671" s="1"/>
    </row>
    <row r="3672">
      <c r="A3672" s="1"/>
    </row>
    <row r="3673">
      <c r="A3673" s="1"/>
    </row>
    <row r="3674">
      <c r="A3674" s="1"/>
    </row>
    <row r="3675">
      <c r="A3675" s="1"/>
    </row>
    <row r="3676">
      <c r="A3676" s="1"/>
    </row>
    <row r="3677">
      <c r="A3677" s="1"/>
    </row>
    <row r="3678">
      <c r="A3678" s="1"/>
    </row>
    <row r="3679">
      <c r="A3679" s="1"/>
    </row>
    <row r="3680">
      <c r="A3680" s="1"/>
    </row>
    <row r="3681">
      <c r="A3681" s="1"/>
    </row>
    <row r="3682">
      <c r="A3682" s="1"/>
    </row>
    <row r="3683">
      <c r="A3683" s="1"/>
    </row>
    <row r="3684">
      <c r="A3684" s="1"/>
    </row>
    <row r="3685">
      <c r="A3685" s="1"/>
    </row>
    <row r="3686">
      <c r="A3686" s="1"/>
    </row>
    <row r="3687">
      <c r="A3687" s="1"/>
    </row>
    <row r="3688">
      <c r="A3688" s="1"/>
    </row>
    <row r="3689">
      <c r="A3689" s="1"/>
    </row>
    <row r="3690">
      <c r="A3690" s="1"/>
    </row>
    <row r="3691">
      <c r="A3691" s="1"/>
    </row>
    <row r="3692">
      <c r="A3692" s="1"/>
    </row>
    <row r="3693">
      <c r="A3693" s="1"/>
    </row>
    <row r="3694">
      <c r="A3694" s="1"/>
    </row>
    <row r="3695">
      <c r="A3695" s="1"/>
    </row>
    <row r="3696">
      <c r="A3696" s="1"/>
    </row>
    <row r="3697">
      <c r="A3697" s="1"/>
    </row>
    <row r="3698">
      <c r="A3698" s="1"/>
    </row>
    <row r="3699">
      <c r="A3699" s="1"/>
    </row>
    <row r="3700">
      <c r="A3700" s="1"/>
    </row>
    <row r="3701">
      <c r="A3701" s="1"/>
    </row>
    <row r="3702">
      <c r="A3702" s="1"/>
    </row>
    <row r="3703">
      <c r="A3703" s="1"/>
    </row>
    <row r="3704">
      <c r="A3704" s="1"/>
    </row>
    <row r="3705">
      <c r="A3705" s="1"/>
    </row>
    <row r="3706">
      <c r="A3706" s="1"/>
    </row>
    <row r="3707">
      <c r="A3707" s="1"/>
    </row>
    <row r="3708">
      <c r="A3708" s="1"/>
    </row>
    <row r="3709">
      <c r="A3709" s="1"/>
    </row>
    <row r="3710">
      <c r="A3710" s="1"/>
    </row>
    <row r="3711">
      <c r="A3711" s="1"/>
    </row>
    <row r="3712">
      <c r="A3712" s="1"/>
    </row>
    <row r="3713">
      <c r="A3713" s="1"/>
    </row>
    <row r="3714">
      <c r="A3714" s="1"/>
    </row>
    <row r="3715">
      <c r="A3715" s="1"/>
    </row>
    <row r="3716">
      <c r="A3716" s="1"/>
    </row>
    <row r="3717">
      <c r="A3717" s="1"/>
    </row>
    <row r="3718">
      <c r="A3718" s="1"/>
    </row>
    <row r="3719">
      <c r="A3719" s="1"/>
    </row>
    <row r="3720">
      <c r="A3720" s="1"/>
    </row>
    <row r="3721">
      <c r="A3721" s="1"/>
    </row>
    <row r="3722">
      <c r="A3722" s="1"/>
    </row>
    <row r="3723">
      <c r="A3723" s="1"/>
    </row>
    <row r="3724">
      <c r="A3724" s="1"/>
    </row>
    <row r="3725">
      <c r="A3725" s="1"/>
    </row>
    <row r="3726">
      <c r="A3726" s="1"/>
    </row>
    <row r="3727">
      <c r="A3727" s="1"/>
    </row>
    <row r="3728">
      <c r="A3728" s="1"/>
    </row>
    <row r="3729">
      <c r="A3729" s="1"/>
    </row>
    <row r="3730">
      <c r="A3730" s="1"/>
    </row>
    <row r="3731">
      <c r="A3731" s="1"/>
    </row>
    <row r="3732">
      <c r="A3732" s="1"/>
    </row>
    <row r="3733">
      <c r="A3733" s="1"/>
    </row>
    <row r="3734">
      <c r="A3734" s="1"/>
    </row>
    <row r="3735">
      <c r="A3735" s="1"/>
    </row>
    <row r="3736">
      <c r="A3736" s="1"/>
    </row>
    <row r="3737">
      <c r="A3737" s="1"/>
    </row>
    <row r="3738">
      <c r="A3738" s="1"/>
    </row>
    <row r="3739">
      <c r="A3739" s="1"/>
    </row>
    <row r="3740">
      <c r="A3740" s="1"/>
    </row>
    <row r="3741">
      <c r="A3741" s="1"/>
    </row>
    <row r="3742">
      <c r="A3742" s="1"/>
    </row>
    <row r="3743">
      <c r="A3743" s="1"/>
    </row>
    <row r="3744">
      <c r="A3744" s="1"/>
    </row>
    <row r="3745">
      <c r="A3745" s="1"/>
    </row>
    <row r="3746">
      <c r="A3746" s="1"/>
    </row>
    <row r="3747">
      <c r="A3747" s="1"/>
    </row>
    <row r="3748">
      <c r="A3748" s="1"/>
    </row>
    <row r="3749">
      <c r="A3749" s="1"/>
    </row>
    <row r="3750">
      <c r="A3750" s="1"/>
    </row>
    <row r="3751">
      <c r="A3751" s="1"/>
    </row>
    <row r="3752">
      <c r="A3752" s="1"/>
    </row>
    <row r="3753">
      <c r="A3753" s="1"/>
    </row>
    <row r="3754">
      <c r="A3754" s="1"/>
    </row>
    <row r="3755">
      <c r="A3755" s="1"/>
    </row>
    <row r="3756">
      <c r="A3756" s="1"/>
    </row>
    <row r="3757">
      <c r="A3757" s="1"/>
    </row>
    <row r="3758">
      <c r="A3758" s="1"/>
    </row>
    <row r="3759">
      <c r="A3759" s="1"/>
    </row>
    <row r="3760">
      <c r="A3760" s="1"/>
    </row>
    <row r="3761">
      <c r="A3761" s="1"/>
    </row>
    <row r="3762">
      <c r="A3762" s="1"/>
    </row>
    <row r="3763">
      <c r="A3763" s="1"/>
    </row>
    <row r="3764">
      <c r="A3764" s="1"/>
    </row>
    <row r="3765">
      <c r="A3765" s="1"/>
    </row>
    <row r="3766">
      <c r="A3766" s="1"/>
    </row>
    <row r="3767">
      <c r="A3767" s="1"/>
    </row>
    <row r="3768">
      <c r="A3768" s="1"/>
    </row>
    <row r="3769">
      <c r="A3769" s="1"/>
    </row>
    <row r="3770">
      <c r="A3770" s="1"/>
    </row>
    <row r="3771">
      <c r="A3771" s="1"/>
    </row>
    <row r="3772">
      <c r="A3772" s="1"/>
    </row>
    <row r="3773">
      <c r="A3773" s="1"/>
    </row>
    <row r="3774">
      <c r="A3774" s="1"/>
    </row>
    <row r="3775">
      <c r="A3775" s="1"/>
    </row>
    <row r="3776">
      <c r="A3776" s="1"/>
    </row>
    <row r="3777">
      <c r="A3777" s="1"/>
    </row>
    <row r="3778">
      <c r="A3778" s="1"/>
    </row>
    <row r="3779">
      <c r="A3779" s="1"/>
    </row>
    <row r="3780">
      <c r="A3780" s="1"/>
    </row>
    <row r="3781">
      <c r="A3781" s="1"/>
    </row>
    <row r="3782">
      <c r="A3782" s="1"/>
    </row>
    <row r="3783">
      <c r="A3783" s="1"/>
    </row>
    <row r="3784">
      <c r="A3784" s="1"/>
    </row>
    <row r="3785">
      <c r="A3785" s="1"/>
    </row>
    <row r="3786">
      <c r="A3786" s="1"/>
    </row>
    <row r="3787">
      <c r="A3787" s="1"/>
    </row>
    <row r="3788">
      <c r="A3788" s="1"/>
    </row>
    <row r="3789">
      <c r="A3789" s="1"/>
    </row>
    <row r="3790">
      <c r="A3790" s="1"/>
    </row>
    <row r="3791">
      <c r="A3791" s="1"/>
    </row>
    <row r="3792">
      <c r="A3792" s="1"/>
    </row>
    <row r="3793">
      <c r="A3793" s="1"/>
    </row>
    <row r="3794">
      <c r="A3794" s="1"/>
    </row>
    <row r="3795">
      <c r="A3795" s="1"/>
    </row>
    <row r="3796">
      <c r="A3796" s="1"/>
    </row>
    <row r="3797">
      <c r="A3797" s="1"/>
    </row>
    <row r="3798">
      <c r="A3798" s="1"/>
    </row>
    <row r="3799">
      <c r="A3799" s="1"/>
    </row>
    <row r="3800">
      <c r="A3800" s="1"/>
    </row>
    <row r="3801">
      <c r="A3801" s="1"/>
    </row>
    <row r="3802">
      <c r="A3802" s="1"/>
    </row>
    <row r="3803">
      <c r="A3803" s="1"/>
    </row>
    <row r="3804">
      <c r="A3804" s="1"/>
    </row>
    <row r="3805">
      <c r="A3805" s="1"/>
    </row>
    <row r="3806">
      <c r="A3806" s="1"/>
    </row>
    <row r="3807">
      <c r="A3807" s="1"/>
    </row>
    <row r="3808">
      <c r="A3808" s="1"/>
    </row>
    <row r="3809">
      <c r="A3809" s="1"/>
    </row>
    <row r="3810">
      <c r="A3810" s="1"/>
    </row>
    <row r="3811">
      <c r="A3811" s="1"/>
    </row>
    <row r="3812">
      <c r="A3812" s="1"/>
    </row>
    <row r="3813">
      <c r="A3813" s="1"/>
    </row>
    <row r="3814">
      <c r="A3814" s="1"/>
    </row>
    <row r="3815">
      <c r="A3815" s="1"/>
    </row>
    <row r="3816">
      <c r="A3816" s="1"/>
    </row>
    <row r="3817">
      <c r="A3817" s="1"/>
    </row>
    <row r="3818">
      <c r="A3818" s="1"/>
    </row>
    <row r="3819">
      <c r="A3819" s="1"/>
    </row>
    <row r="3820">
      <c r="A3820" s="1"/>
    </row>
    <row r="3821">
      <c r="A3821" s="1"/>
    </row>
    <row r="3822">
      <c r="A3822" s="1"/>
    </row>
    <row r="3823">
      <c r="A3823" s="1"/>
    </row>
    <row r="3824">
      <c r="A3824" s="1"/>
    </row>
    <row r="3825">
      <c r="A3825" s="1"/>
    </row>
    <row r="3826">
      <c r="A3826" s="1"/>
    </row>
    <row r="3827">
      <c r="A3827" s="1"/>
    </row>
    <row r="3828">
      <c r="A3828" s="1"/>
    </row>
    <row r="3829">
      <c r="A3829" s="1"/>
    </row>
    <row r="3830">
      <c r="A3830" s="1"/>
    </row>
    <row r="3831">
      <c r="A3831" s="1"/>
    </row>
    <row r="3832">
      <c r="A3832" s="1"/>
    </row>
    <row r="3833">
      <c r="A3833" s="1"/>
    </row>
    <row r="3834">
      <c r="A3834" s="1"/>
    </row>
    <row r="3835">
      <c r="A3835" s="1"/>
    </row>
    <row r="3836">
      <c r="A3836" s="1"/>
    </row>
    <row r="3837">
      <c r="A3837" s="1"/>
    </row>
    <row r="3838">
      <c r="A3838" s="1"/>
    </row>
    <row r="3839">
      <c r="A3839" s="1"/>
    </row>
    <row r="3840">
      <c r="A3840" s="1"/>
    </row>
    <row r="3841">
      <c r="A3841" s="1"/>
    </row>
    <row r="3842">
      <c r="A3842" s="1"/>
    </row>
    <row r="3843">
      <c r="A3843" s="1"/>
    </row>
    <row r="3844">
      <c r="A3844" s="1"/>
    </row>
    <row r="3845">
      <c r="A3845" s="1"/>
    </row>
    <row r="3846">
      <c r="A3846" s="1"/>
    </row>
    <row r="3847">
      <c r="A3847" s="1"/>
    </row>
    <row r="3848">
      <c r="A3848" s="1"/>
    </row>
    <row r="3849">
      <c r="A3849" s="1"/>
    </row>
    <row r="3850">
      <c r="A3850" s="1"/>
    </row>
    <row r="3851">
      <c r="A3851" s="1"/>
    </row>
    <row r="3852">
      <c r="A3852" s="1"/>
    </row>
    <row r="3853">
      <c r="A3853" s="1"/>
    </row>
    <row r="3854">
      <c r="A3854" s="1"/>
    </row>
    <row r="3855">
      <c r="A3855" s="1"/>
    </row>
    <row r="3856">
      <c r="A3856" s="1"/>
    </row>
    <row r="3857">
      <c r="A3857" s="1"/>
    </row>
    <row r="3858">
      <c r="A3858" s="1"/>
    </row>
    <row r="3859">
      <c r="A3859" s="1"/>
    </row>
    <row r="3860">
      <c r="A3860" s="1"/>
    </row>
    <row r="3861">
      <c r="A3861" s="1"/>
    </row>
    <row r="3862">
      <c r="A3862" s="1"/>
    </row>
    <row r="3863">
      <c r="A3863" s="1"/>
    </row>
    <row r="3864">
      <c r="A3864" s="1"/>
    </row>
    <row r="3865">
      <c r="A3865" s="1"/>
    </row>
    <row r="3866">
      <c r="A3866" s="1"/>
    </row>
    <row r="3867">
      <c r="A3867" s="1"/>
    </row>
    <row r="3868">
      <c r="A3868" s="1"/>
    </row>
    <row r="3869">
      <c r="A3869" s="1"/>
    </row>
    <row r="3870">
      <c r="A3870" s="1"/>
    </row>
    <row r="3871">
      <c r="A3871" s="1"/>
    </row>
    <row r="3872">
      <c r="A3872" s="1"/>
    </row>
    <row r="3873">
      <c r="A3873" s="1"/>
    </row>
    <row r="3874">
      <c r="A3874" s="1"/>
    </row>
    <row r="3875">
      <c r="A3875" s="1"/>
    </row>
    <row r="3876">
      <c r="A3876" s="1"/>
    </row>
    <row r="3877">
      <c r="A3877" s="1"/>
    </row>
    <row r="3878">
      <c r="A3878" s="1"/>
    </row>
    <row r="3879">
      <c r="A3879" s="1"/>
    </row>
    <row r="3880">
      <c r="A3880" s="1"/>
    </row>
    <row r="3881">
      <c r="A3881" s="1"/>
    </row>
    <row r="3882">
      <c r="A3882" s="1"/>
    </row>
    <row r="3883">
      <c r="A3883" s="1"/>
    </row>
    <row r="3884">
      <c r="A3884" s="1"/>
    </row>
    <row r="3885">
      <c r="A3885" s="1"/>
    </row>
    <row r="3886">
      <c r="A3886" s="1"/>
    </row>
    <row r="3887">
      <c r="A3887" s="1"/>
    </row>
    <row r="3888">
      <c r="A3888" s="1"/>
    </row>
    <row r="3889">
      <c r="A3889" s="1"/>
    </row>
    <row r="3890">
      <c r="A3890" s="1"/>
    </row>
    <row r="3891">
      <c r="A3891" s="1"/>
    </row>
    <row r="3892">
      <c r="A3892" s="1"/>
    </row>
    <row r="3893">
      <c r="A3893" s="1"/>
    </row>
    <row r="3894">
      <c r="A3894" s="1"/>
    </row>
    <row r="3895">
      <c r="A3895" s="1"/>
    </row>
    <row r="3896">
      <c r="A3896" s="1"/>
    </row>
    <row r="3897">
      <c r="A3897" s="1"/>
    </row>
    <row r="3898">
      <c r="A3898" s="1"/>
    </row>
    <row r="3899">
      <c r="A3899" s="1"/>
    </row>
    <row r="3900">
      <c r="A3900" s="1"/>
    </row>
    <row r="3901">
      <c r="A3901" s="1"/>
    </row>
    <row r="3902">
      <c r="A3902" s="1"/>
    </row>
    <row r="3903">
      <c r="A3903" s="1"/>
    </row>
    <row r="3904">
      <c r="A3904" s="1"/>
    </row>
    <row r="3905">
      <c r="A3905" s="1"/>
    </row>
    <row r="3906">
      <c r="A3906" s="1"/>
    </row>
    <row r="3907">
      <c r="A3907" s="1"/>
    </row>
    <row r="3908">
      <c r="A3908" s="1"/>
    </row>
    <row r="3909">
      <c r="A3909" s="1"/>
    </row>
    <row r="3910">
      <c r="A3910" s="1"/>
    </row>
    <row r="3911">
      <c r="A3911" s="1"/>
    </row>
    <row r="3912">
      <c r="A3912" s="1"/>
    </row>
    <row r="3913">
      <c r="A3913" s="1"/>
    </row>
    <row r="3914">
      <c r="A3914" s="1"/>
    </row>
    <row r="3915">
      <c r="A3915" s="1"/>
    </row>
    <row r="3916">
      <c r="A3916" s="1"/>
    </row>
    <row r="3917">
      <c r="A3917" s="1"/>
    </row>
    <row r="3918">
      <c r="A3918" s="1"/>
    </row>
    <row r="3919">
      <c r="A3919" s="1"/>
    </row>
    <row r="3920">
      <c r="A3920" s="1"/>
    </row>
    <row r="3921">
      <c r="A3921" s="1"/>
    </row>
    <row r="3922">
      <c r="A3922" s="1"/>
    </row>
    <row r="3923">
      <c r="A3923" s="1"/>
    </row>
    <row r="3924">
      <c r="A3924" s="1"/>
    </row>
    <row r="3925">
      <c r="A3925" s="1"/>
    </row>
    <row r="3926">
      <c r="A3926" s="1"/>
    </row>
    <row r="3927">
      <c r="A3927" s="1"/>
    </row>
    <row r="3928">
      <c r="A3928" s="1"/>
    </row>
    <row r="3929">
      <c r="A3929" s="1"/>
    </row>
    <row r="3930">
      <c r="A3930" s="1"/>
    </row>
    <row r="3931">
      <c r="A3931" s="1"/>
    </row>
    <row r="3932">
      <c r="A3932" s="1"/>
    </row>
    <row r="3933">
      <c r="A3933" s="1"/>
    </row>
    <row r="3934">
      <c r="A3934" s="1"/>
    </row>
    <row r="3935">
      <c r="A3935" s="1"/>
    </row>
    <row r="3936">
      <c r="A3936" s="1"/>
    </row>
    <row r="3937">
      <c r="A3937" s="1"/>
    </row>
    <row r="3938">
      <c r="A3938" s="1"/>
    </row>
    <row r="3939">
      <c r="A3939" s="1"/>
    </row>
    <row r="3940">
      <c r="A3940" s="1"/>
    </row>
    <row r="3941">
      <c r="A3941" s="1"/>
    </row>
    <row r="3942">
      <c r="A3942" s="1"/>
    </row>
    <row r="3943">
      <c r="A3943" s="1"/>
    </row>
    <row r="3944">
      <c r="A3944" s="1"/>
    </row>
    <row r="3945">
      <c r="A3945" s="1"/>
    </row>
    <row r="3946">
      <c r="A3946" s="1"/>
    </row>
    <row r="3947">
      <c r="A3947" s="1"/>
    </row>
    <row r="3948">
      <c r="A3948" s="1"/>
    </row>
    <row r="3949">
      <c r="A3949" s="1"/>
    </row>
    <row r="3950">
      <c r="A3950" s="1"/>
    </row>
    <row r="3951">
      <c r="A3951" s="1"/>
    </row>
    <row r="3952">
      <c r="A3952" s="1"/>
    </row>
    <row r="3953">
      <c r="A3953" s="1"/>
    </row>
    <row r="3954">
      <c r="A3954" s="1"/>
    </row>
    <row r="3955">
      <c r="A3955" s="1"/>
    </row>
    <row r="3956">
      <c r="A3956" s="1"/>
    </row>
    <row r="3957">
      <c r="A3957" s="1"/>
    </row>
    <row r="3958">
      <c r="A3958" s="1"/>
    </row>
    <row r="3959">
      <c r="A3959" s="1"/>
    </row>
    <row r="3960">
      <c r="A3960" s="1"/>
    </row>
    <row r="3961">
      <c r="A3961" s="1"/>
    </row>
    <row r="3962">
      <c r="A3962" s="1"/>
    </row>
    <row r="3963">
      <c r="A3963" s="1"/>
    </row>
    <row r="3964">
      <c r="A3964" s="1"/>
    </row>
    <row r="3965">
      <c r="A3965" s="1"/>
    </row>
    <row r="3966">
      <c r="A3966" s="1"/>
    </row>
    <row r="3967">
      <c r="A3967" s="1"/>
    </row>
    <row r="3968">
      <c r="A3968" s="1"/>
    </row>
    <row r="3969">
      <c r="A3969" s="1"/>
    </row>
    <row r="3970">
      <c r="A3970" s="1"/>
    </row>
    <row r="3971">
      <c r="A3971" s="1"/>
    </row>
    <row r="3972">
      <c r="A3972" s="1"/>
    </row>
    <row r="3973">
      <c r="A3973" s="1"/>
    </row>
    <row r="3974">
      <c r="A3974" s="1"/>
    </row>
    <row r="3975">
      <c r="A3975" s="1"/>
    </row>
    <row r="3976">
      <c r="A3976" s="1"/>
    </row>
    <row r="3977">
      <c r="A3977" s="1"/>
    </row>
    <row r="3978">
      <c r="A3978" s="1"/>
    </row>
    <row r="3979">
      <c r="A3979" s="1"/>
    </row>
    <row r="3980">
      <c r="A3980" s="1"/>
    </row>
    <row r="3981">
      <c r="A3981" s="1"/>
    </row>
    <row r="3982">
      <c r="A3982" s="1"/>
    </row>
    <row r="3983">
      <c r="A3983" s="1"/>
    </row>
    <row r="3984">
      <c r="A3984" s="1"/>
    </row>
    <row r="3985">
      <c r="A3985" s="1"/>
    </row>
    <row r="3986">
      <c r="A3986" s="1"/>
    </row>
    <row r="3987">
      <c r="A3987" s="1"/>
    </row>
    <row r="3988">
      <c r="A3988" s="1"/>
    </row>
    <row r="3989">
      <c r="A3989" s="1"/>
    </row>
    <row r="3990">
      <c r="A3990" s="1"/>
    </row>
    <row r="3991">
      <c r="A3991" s="1"/>
    </row>
    <row r="3992">
      <c r="A3992" s="1"/>
    </row>
    <row r="3993">
      <c r="A3993" s="1"/>
    </row>
    <row r="3994">
      <c r="A3994" s="1"/>
    </row>
    <row r="3995">
      <c r="A3995" s="1"/>
    </row>
    <row r="3996">
      <c r="A3996" s="1"/>
    </row>
    <row r="3997">
      <c r="A3997" s="1"/>
    </row>
  </sheetData>
  <autoFilter ref="$A$1:$A$2997">
    <filterColumn colId="0">
      <filters>
        <filter val="20150507_BKNG"/>
        <filter val="20150422_AN"/>
        <filter val="20150723_KMB"/>
        <filter val="20150226_GPS"/>
        <filter val="20151022_MHO"/>
        <filter val="20150720_EFII"/>
        <filter val="20150805_ACXM"/>
        <filter val="20151104_AGYS"/>
        <filter val="20150430_PKI"/>
        <filter val="20160205_WY"/>
        <filter val="20160115_RF"/>
        <filter val="20160106_RECN"/>
        <filter val="20151030_STX"/>
        <filter val="20160204_OMCL"/>
        <filter val="20150422_BA"/>
        <filter val="20160126_DHR"/>
        <filter val="20160223_LXP"/>
        <filter val="20150821_FL"/>
        <filter val="20151105_ENDP"/>
        <filter val="20150519_VSAT"/>
        <filter val="20150819_NTAP"/>
        <filter val="20151029_CRI"/>
        <filter val="20151105_AAWW"/>
        <filter val="20160128_FTNT"/>
        <filter val="20150429_LL"/>
        <filter val="20150302_MDR"/>
        <filter val="20150805_CTSH"/>
        <filter val="20150505_HCA"/>
        <filter val="20150716_IIIN"/>
        <filter val="20150423_HAFC"/>
        <filter val="20150707_MSM"/>
        <filter val="20150507_CNSL"/>
        <filter val="20150729_NOC"/>
        <filter val="20150723_MSCC"/>
        <filter val="20150714_FAST"/>
        <filter val="20150728_AKAM"/>
        <filter val="20151103_SRE"/>
        <filter val="20151027_CLD"/>
        <filter val="20150428_MRCY"/>
        <filter val="20150303_NX"/>
        <filter val="20151109_AMG"/>
        <filter val="20150430_APD"/>
        <filter val="20160105_CMC"/>
        <filter val="20151020_DOV"/>
        <filter val="20150422_TUP"/>
        <filter val="20150727_ROP"/>
        <filter val="20151021_SEIC"/>
        <filter val="20150731_FE"/>
        <filter val="20150430_CRR"/>
        <filter val="20151123_GME"/>
        <filter val="20150724_VFC"/>
        <filter val="20160203_EXPO"/>
        <filter val="20150805_MSI"/>
        <filter val="20150921_RHT"/>
        <filter val="20160203_POL"/>
        <filter val="20150730_SWK"/>
        <filter val="20150422_SEIC"/>
        <filter val="20150723_AMZN"/>
        <filter val="20150716_ANGO"/>
        <filter val="20151022_SXT"/>
        <filter val="20151020_WWW"/>
        <filter val="20150722_TSCO"/>
        <filter val="20150428_LOGM"/>
        <filter val="20150619_KMX"/>
        <filter val="20150716_GS"/>
        <filter val="20160203_POWL"/>
        <filter val="20150924_SCHL"/>
        <filter val="20150421_AMGN"/>
        <filter val="20151023_B"/>
        <filter val="20150723_MMM"/>
        <filter val="20151029_TPX"/>
        <filter val="20160218_POOL"/>
        <filter val="20150722_FTNT"/>
        <filter val="20160224_EV"/>
        <filter val="20151103_MDCO"/>
        <filter val="20150805_ECHO"/>
        <filter val="20151216_JBL"/>
        <filter val="20160210_LGND"/>
        <filter val="20160122_COL"/>
        <filter val="20151015_KEY"/>
        <filter val="20150429_EQIX"/>
        <filter val="20150721_SNV"/>
        <filter val="20151124_CPB"/>
        <filter val="20150506_VECO"/>
        <filter val="20151104_DVN"/>
        <filter val="20160202_PNR"/>
        <filter val="20150501_PEG"/>
        <filter val="20150423_AVT"/>
        <filter val="20151027_AKAM"/>
        <filter val="20151022_SYK"/>
        <filter val="20160128_HSY"/>
        <filter val="20150723_ORI"/>
        <filter val="20150428_WWW"/>
        <filter val="20160119_WWD"/>
        <filter val="20150429_HF"/>
        <filter val="20151022_MMM"/>
        <filter val="20150728_LMAT"/>
        <filter val="20150423_FAF"/>
        <filter val="20150729_FCF"/>
        <filter val="20151028_CMC"/>
        <filter val="20160126_MRCY"/>
        <filter val="20160203_AVY"/>
        <filter val="20150430_COP"/>
        <filter val="20151208_AZO"/>
        <filter val="20160224_DIN"/>
        <filter val="20160115_WFC"/>
        <filter val="20150430_XYL"/>
        <filter val="20150506_HFC"/>
        <filter val="20151028_AIT"/>
        <filter val="20160201_ROP"/>
        <filter val="20150226_ADSK"/>
        <filter val="20150421_ABG"/>
        <filter val="20150420_CBU"/>
        <filter val="20160127_DFS"/>
        <filter val="20150727_POL"/>
        <filter val="20151217_APOG"/>
        <filter val="20151027_PCH"/>
        <filter val="20151020_UTX"/>
        <filter val="20150428_MAS"/>
        <filter val="20151029_COLB"/>
        <filter val="20150423_SRCL"/>
        <filter val="20151105_IPCC"/>
        <filter val="20160201_PLT"/>
        <filter val="20150427_WRB"/>
        <filter val="20151110_SRDX"/>
        <filter val="20150423_CMS"/>
        <filter val="20151028_VLO"/>
        <filter val="20160126_DOV"/>
        <filter val="20150521_TTC"/>
        <filter val="20151001_CAMP"/>
        <filter val="20151125_DE"/>
        <filter val="20151001_PRGS"/>
        <filter val="20151104_PZZA"/>
        <filter val="20160119_FHN"/>
        <filter val="20151022_SKX"/>
        <filter val="20150527_MOV"/>
        <filter val="20150422_PCH"/>
        <filter val="20150422_XLNX"/>
        <filter val="20150727_HAE"/>
        <filter val="20160127_MDP"/>
        <filter val="20160211_ATVI"/>
        <filter val="20150624_MON"/>
        <filter val="20160209_QNST"/>
        <filter val="20151022_MSFT"/>
        <filter val="20150422_MPWR"/>
        <filter val="20150506_LAMR"/>
        <filter val="20150721_WSO"/>
        <filter val="20160128_KEM"/>
        <filter val="20150429_BEN"/>
        <filter val="20151105_CNSL"/>
        <filter val="20150227_RDC"/>
        <filter val="20151029_SCSC"/>
        <filter val="20160203_FBHS"/>
        <filter val="20150717_GWW"/>
        <filter val="20150501_GWR"/>
        <filter val="20150505_NWN"/>
        <filter val="20151029_CMS"/>
        <filter val="20150423_RMD"/>
        <filter val="20151022_UNP"/>
        <filter val="20151109_CIR"/>
        <filter val="20160209_STE"/>
        <filter val="20151015_USB"/>
        <filter val="20151023_OFG"/>
        <filter val="20151105_TRIP"/>
        <filter val="20160205_UFS"/>
        <filter val="20150818_ATGE"/>
        <filter val="20160219_VFC"/>
        <filter val="20150423_PII"/>
        <filter val="20150924_BBBY"/>
        <filter val="20160202_ACLS"/>
        <filter val="20150421_STBA"/>
        <filter val="20150422_TMO"/>
        <filter val="20160203_JLL"/>
        <filter val="20150428_AKAM"/>
        <filter val="20150521_ROST"/>
        <filter val="20150423_COL"/>
        <filter val="20151027_ABAX"/>
        <filter val="20150430_CHSP"/>
        <filter val="20151028_ADP"/>
        <filter val="20151028_NSIT"/>
        <filter val="20150430_LLL"/>
        <filter val="20150805_ANSS"/>
        <filter val="20151029_PES"/>
        <filter val="20150820_GPS"/>
        <filter val="20150716_PM"/>
        <filter val="20150803_MCY"/>
        <filter val="20150326_SCHL"/>
        <filter val="20150422_SNBR"/>
        <filter val="20150430_CYTK"/>
        <filter val="20150422_CLW"/>
        <filter val="20160127_MCK"/>
        <filter val="20150723_SCHL"/>
        <filter val="20151021_CA"/>
        <filter val="20151023_STT"/>
        <filter val="20151022_AMZN"/>
        <filter val="20150423_LSTR"/>
        <filter val="20150506_DDD"/>
        <filter val="20160127_PYPL"/>
        <filter val="20150505_ACLS"/>
        <filter val="20160209_SCSC"/>
        <filter val="20160115_PNC"/>
        <filter val="20150505_CVLT"/>
        <filter val="20160125_DHI"/>
        <filter val="20151022_BJRI"/>
        <filter val="20151210_ADBE"/>
        <filter val="20150501_CTB"/>
        <filter val="20151030_CL"/>
        <filter val="20151026_MSTR"/>
        <filter val="20151105_MTD"/>
        <filter val="20160129_STX"/>
        <filter val="20150721_IBKR"/>
        <filter val="20160211_IVC"/>
        <filter val="20150813_KSS"/>
        <filter val="20150806_TAP"/>
        <filter val="20151022_POOL"/>
        <filter val="20150401_MU"/>
        <filter val="20150505_CRAY"/>
        <filter val="20150514_PERY"/>
        <filter val="20160121_SIVB"/>
        <filter val="20160127_EFII"/>
        <filter val="20151029_PBI"/>
        <filter val="20150608_UNFI"/>
        <filter val="20160126_IIVI"/>
        <filter val="20150501_CBOE"/>
        <filter val="20151014_XLNX"/>
        <filter val="20150422_LAD"/>
        <filter val="20160107_PKE"/>
        <filter val="20151028_VRTX"/>
        <filter val="20151105_EBS"/>
        <filter val="20160119_MS"/>
        <filter val="20150608_HRB"/>
        <filter val="20150430_ARW"/>
        <filter val="20160217_GEO"/>
        <filter val="20150331_MOV"/>
        <filter val="20151123_TSN"/>
        <filter val="20160209_LABL"/>
        <filter val="20151023_SSD"/>
        <filter val="20150421_CMG"/>
        <filter val="20160218_IDCC"/>
        <filter val="20150514_JWN"/>
        <filter val="20151022_BMS"/>
        <filter val="20150519_HD"/>
        <filter val="20150730_ADP"/>
        <filter val="20150729_BEN"/>
        <filter val="20150731_PFS"/>
        <filter val="20150731_VRTS"/>
        <filter val="20150505_MYGN"/>
        <filter val="20150423_PTEN"/>
        <filter val="20160217_SNPS"/>
        <filter val="20150818_ADI"/>
        <filter val="20151105_SSTK"/>
        <filter val="20150506_VSI"/>
        <filter val="20150305_ESL"/>
        <filter val="20151124_MOV"/>
        <filter val="20151030_UFS"/>
        <filter val="20160218_SAM"/>
        <filter val="20160128_WDC"/>
        <filter val="20150806_CUB"/>
        <filter val="20160129_NWL"/>
        <filter val="20150504_CEVA"/>
        <filter val="20150716_UFPI"/>
        <filter val="20150420_LII"/>
        <filter val="20160211_TYPE"/>
        <filter val="20151208_ALOG"/>
        <filter val="20151029_WMB"/>
        <filter val="20151028_ASGN"/>
        <filter val="20150730_MDLZ"/>
        <filter val="20160209_AKAM"/>
        <filter val="20151022_CBU"/>
        <filter val="20150514_JACK"/>
        <filter val="20150730_IDXX"/>
        <filter val="20160107_BBBY"/>
        <filter val="20150313_BKE"/>
        <filter val="20160224_FARO"/>
        <filter val="20150529_BIG"/>
        <filter val="20151106_MHK"/>
        <filter val="20151109_ILG"/>
        <filter val="20150504_L"/>
        <filter val="20151105_SJI"/>
        <filter val="20150226_ECPG"/>
        <filter val="20151203_MDT"/>
        <filter val="20151030_NWL"/>
        <filter val="20150421_RF"/>
        <filter val="20151105_ICUI"/>
        <filter val="20151103_FIS"/>
        <filter val="20160202_FISV"/>
        <filter val="20150724_SPG"/>
        <filter val="20150729_CYTK"/>
        <filter val="20160224_HFC"/>
        <filter val="20150508_EBIX"/>
        <filter val="20151028_XRAY"/>
        <filter val="20150423_HSY"/>
        <filter val="20151105_TTWO"/>
        <filter val="20150226_IRDM"/>
        <filter val="20150820_PERY"/>
        <filter val="20160128_AVT"/>
        <filter val="20150731_WY"/>
        <filter val="20160211_NUS"/>
        <filter val="20160126_TSS"/>
        <filter val="20150521_HPQ"/>
        <filter val="20150430_GEO"/>
        <filter val="20160127_TXN"/>
        <filter val="20150604_COO"/>
        <filter val="20150423_NTGR"/>
        <filter val="20160128_LLL"/>
        <filter val="20150724_B"/>
        <filter val="20160127_TXT"/>
        <filter val="20150810_TTWO"/>
        <filter val="20160128_NOC"/>
        <filter val="20150226_ANSS"/>
        <filter val="20150724_OFG"/>
        <filter val="20151015_WYNN"/>
        <filter val="20160211_LPX"/>
        <filter val="20151029_BC"/>
        <filter val="20160120_EAT"/>
        <filter val="20150828_BIG"/>
        <filter val="20151022_IVC"/>
        <filter val="20160204_ODFL"/>
        <filter val="20160120_KMI"/>
        <filter val="20151022_SPSC"/>
        <filter val="20151103_NWN"/>
        <filter val="20150505_MDCO"/>
        <filter val="20151105_HRC"/>
        <filter val="20150911_BRC"/>
        <filter val="20150507_SPPI"/>
        <filter val="20160128_HCA"/>
        <filter val="20150701_STZ"/>
        <filter val="20150226_ORN"/>
        <filter val="20160126_AKS"/>
        <filter val="20150428_NATI"/>
        <filter val="20160126_GWW"/>
        <filter val="20150506_CRZO"/>
        <filter val="20150805_CTL"/>
        <filter val="20151118_LOW"/>
        <filter val="20160126_PII"/>
        <filter val="20151105_DIS"/>
        <filter val="20150506_CLH"/>
        <filter val="20150428_CRUS"/>
        <filter val="20150424_SPG"/>
        <filter val="20160223_FSLR"/>
        <filter val="20150423_MSFT"/>
        <filter val="20160210_MDSO"/>
        <filter val="20160128_FICO"/>
        <filter val="20150507_CNK"/>
        <filter val="20160128_NDAQ"/>
        <filter val="20150724_FLIR"/>
        <filter val="20160204_POWI"/>
        <filter val="20151027_SKYW"/>
        <filter val="20150723_FNB"/>
        <filter val="20160204_MD"/>
        <filter val="20150720_RMBS"/>
        <filter val="20151015_UFPI"/>
        <filter val="20151022_NTGR"/>
        <filter val="20160203_OSUR"/>
        <filter val="20151028_WDC"/>
        <filter val="20151027_HCA"/>
        <filter val="20151022_EGHT"/>
        <filter val="20150804_ALE"/>
        <filter val="20150721_VZ"/>
        <filter val="20160208_MOH"/>
        <filter val="20150806_CNK"/>
        <filter val="20160204_PTEN"/>
        <filter val="20150807_TTI"/>
        <filter val="20151027_CRY"/>
        <filter val="20160216_CYTK"/>
        <filter val="20150501_VFC"/>
        <filter val="20160114_INTC"/>
        <filter val="20160128_DGX"/>
        <filter val="20160211_FAF"/>
        <filter val="20150521_MNRO"/>
        <filter val="20150730_MTD"/>
        <filter val="20160204_RL"/>
        <filter val="20150728_AGCO"/>
        <filter val="20160204_HZO"/>
        <filter val="20150428_WYND"/>
        <filter val="20151028_CRUS"/>
        <filter val="20160223_TOL"/>
        <filter val="20151001_MU"/>
        <filter val="20150731_XOM"/>
        <filter val="20151022_QSII"/>
        <filter val="20150504_DO"/>
        <filter val="20151027_FISV"/>
        <filter val="20151029_LLL"/>
        <filter val="20150723_DGX"/>
        <filter val="20151022_PRLB"/>
        <filter val="20150723_DHR"/>
        <filter val="20150723_WRLD"/>
        <filter val="20150804_UFCS"/>
        <filter val="20151103_FSS"/>
        <filter val="20150430_PBI"/>
        <filter val="20160224_CRM"/>
        <filter val="20151029_AVY"/>
        <filter val="20150423_UAL"/>
        <filter val="20151014_WFC"/>
        <filter val="20150512_MCK"/>
        <filter val="20150505_CTL"/>
        <filter val="20160209_GLT"/>
        <filter val="20150511_BID"/>
        <filter val="20151022_SYNA"/>
        <filter val="20150423_DAN"/>
        <filter val="20160127_SEIC"/>
        <filter val="20160222_AGN"/>
        <filter val="20150428_IIVI"/>
        <filter val="20150804_CBT"/>
        <filter val="20151021_SVU"/>
        <filter val="20150423_NUE"/>
        <filter val="20150723_FIS"/>
        <filter val="20151020_STBA"/>
        <filter val="20160208_DO"/>
        <filter val="20151022_ORI"/>
        <filter val="20150428_BGFV"/>
        <filter val="20150421_SBNY"/>
        <filter val="20150504_FN"/>
        <filter val="20151022_R"/>
        <filter val="20151020_FITB"/>
        <filter val="20151119_BKE"/>
        <filter val="20150430_RGS"/>
        <filter val="20160217_HST"/>
        <filter val="20150430_SKYW"/>
        <filter val="20151030_BGG"/>
        <filter val="20160210_LPSN"/>
        <filter val="20150625_BKS"/>
        <filter val="20150806_AGN"/>
        <filter val="20151026_ROP"/>
        <filter val="20160223_TREX"/>
        <filter val="20150422_EXPO"/>
        <filter val="20150727_WRB"/>
        <filter val="20150304_ANF"/>
        <filter val="20150827_ULTA"/>
        <filter val="20160202_WRB"/>
        <filter val="20160209_TDG"/>
        <filter val="20151022_HBAN"/>
        <filter val="20150723_JNPR"/>
        <filter val="20160121_VZ"/>
        <filter val="20151027_TPR"/>
        <filter val="20150430_TFX"/>
        <filter val="20151007_STZ"/>
        <filter val="20151029_LANC"/>
        <filter val="20160204_MHO"/>
        <filter val="20160203_MDC"/>
        <filter val="20151028_GRMN"/>
        <filter val="20151109_DISH"/>
        <filter val="20150722_AXP"/>
        <filter val="20151028_APC"/>
        <filter val="20150430_XOM"/>
        <filter val="20160128_GNTX"/>
        <filter val="20160218_NI"/>
        <filter val="20150721_ASTE"/>
        <filter val="20150422_AZZ"/>
        <filter val="20151023_RCL"/>
        <filter val="20150423_ATGE"/>
        <filter val="20150402_PERY"/>
        <filter val="20151124_TIF"/>
        <filter val="20160201_HRC"/>
        <filter val="20160129_HON"/>
        <filter val="20151027_NUVA"/>
        <filter val="20150717_KSU"/>
        <filter val="20150721_ATI"/>
        <filter val="20160224_CNK"/>
        <filter val="20151119_WSM"/>
        <filter val="20150826_WSM"/>
        <filter val="20160202_AGCO"/>
        <filter val="20150501_TDS"/>
        <filter val="20160106_MSM"/>
        <filter val="20150507_ALEX"/>
        <filter val="20160212_NSP"/>
        <filter val="20150730_INT"/>
        <filter val="20150428_OMI"/>
        <filter val="20151029_CENX"/>
        <filter val="20151105_OGE"/>
        <filter val="20150721_MANH"/>
        <filter val="20151029_LKQ"/>
        <filter val="20150423_UFI"/>
        <filter val="20150721_STBA"/>
        <filter val="20150819_TGT"/>
        <filter val="20160218_LH"/>
        <filter val="20160203_ALXN"/>
        <filter val="20150730_CBB"/>
        <filter val="20150730_ACIW"/>
        <filter val="20160127_GD"/>
        <filter val="20160120_TEL"/>
        <filter val="20150810_LYV"/>
        <filter val="20160211_CRAY"/>
        <filter val="20160223_M"/>
        <filter val="20151030_BCO"/>
        <filter val="20150423_POOL"/>
        <filter val="20150430_ABC"/>
        <filter val="20151030_IDCC"/>
        <filter val="20160211_NNN"/>
        <filter val="20150423_BBT"/>
        <filter val="20150505_ESE"/>
        <filter val="20160210_CTL"/>
        <filter val="20160212_AXL"/>
        <filter val="20151027_FELE"/>
        <filter val="20151104_SPPI"/>
        <filter val="20151015_LNN"/>
        <filter val="20150804_CHD"/>
        <filter val="20151103_CRVL"/>
        <filter val="20150317_DSW"/>
        <filter val="20151124_DLTR"/>
        <filter val="20151102_ETR"/>
        <filter val="20160209_WYND"/>
        <filter val="20150420_LRCX"/>
        <filter val="20151029_MGM"/>
        <filter val="20150827_MOV"/>
        <filter val="20150602_ASNA"/>
        <filter val="20150806_STMP"/>
        <filter val="20151104_AVA"/>
        <filter val="20150430_OIS"/>
        <filter val="20150506_WD"/>
        <filter val="20160209_CNC"/>
        <filter val="20150226_ACIW"/>
        <filter val="20150723_UAL"/>
        <filter val="20151030_WY"/>
        <filter val="20150727_HLIT"/>
        <filter val="20151030_EXC"/>
        <filter val="20150226_LYV"/>
        <filter val="20150428_EPR"/>
        <filter val="20151027_HLIT"/>
        <filter val="20160127_ALGT"/>
        <filter val="20151105_MASI"/>
        <filter val="20150805_CUTR"/>
        <filter val="20151028_NTRI"/>
        <filter val="20150508_WELL"/>
        <filter val="20150728_VICR"/>
        <filter val="20150511_ENDP"/>
        <filter val="20150428_HLIT"/>
        <filter val="20151014_CSX"/>
        <filter val="20160122_STI"/>
        <filter val="20151029_UVE"/>
        <filter val="20150605_LABL"/>
        <filter val="20150311_RAVN"/>
        <filter val="20150428_AET"/>
        <filter val="20151029_GTLS"/>
        <filter val="20150306_FL"/>
        <filter val="20150804_CHUY"/>
        <filter val="20150428_CIR"/>
        <filter val="20150730_HF"/>
        <filter val="20151209_FRAN"/>
        <filter val="20150728_GILD"/>
        <filter val="20151105_ZEUS"/>
        <filter val="20160210_DTE"/>
        <filter val="20151030_AON"/>
        <filter val="20151022_CRS"/>
        <filter val="20151109_MDR"/>
        <filter val="20150701_GIS"/>
        <filter val="20150430_NTRI"/>
        <filter val="20150505_ABMD"/>
        <filter val="20151104_PLUS"/>
        <filter val="20151028_DSPG"/>
        <filter val="20160127_VLY"/>
        <filter val="20160201_MAT"/>
        <filter val="20150506_MSI"/>
        <filter val="20150723_NDAQ"/>
        <filter val="20160105_SONC"/>
        <filter val="20150507_CBB"/>
        <filter val="20150420_SANM"/>
        <filter val="20160122_ABCB"/>
        <filter val="20160126_PG"/>
        <filter val="20160211_SON"/>
        <filter val="20150507_EBS"/>
        <filter val="20150430_FSS"/>
        <filter val="20150602_GES"/>
        <filter val="20160125_KMB"/>
        <filter val="20150430_WRLD"/>
        <filter val="20151027_GILD"/>
        <filter val="20151106_LXU"/>
        <filter val="20160211_WWE"/>
        <filter val="20151026_MPWR"/>
        <filter val="20150730_IT"/>
        <filter val="20160128_IVZ"/>
        <filter val="20151022_SFNC"/>
        <filter val="20150716_BBT"/>
        <filter val="20150302_TG"/>
        <filter val="20150803_NSP"/>
        <filter val="20150507_MTD"/>
        <filter val="20150722_TUP"/>
        <filter val="20150505_KLIC"/>
        <filter val="20160211_LOGM"/>
        <filter val="20151030_GWR"/>
        <filter val="20151015_PPG"/>
        <filter val="20151104_CTL"/>
        <filter val="20150420_RMBS"/>
        <filter val="20150423_SFNC"/>
        <filter val="20160211_PDFS"/>
        <filter val="20150422_R"/>
        <filter val="20160121_SLM"/>
        <filter val="20151020_RLI"/>
        <filter val="20151119_BRC"/>
        <filter val="20150507_TAP"/>
        <filter val="20150227_SJI"/>
        <filter val="20150507_ILG"/>
        <filter val="20150709_HELE"/>
        <filter val="20160203_TTWO"/>
        <filter val="20150714_WFC"/>
        <filter val="20160217_GRMN"/>
        <filter val="20150507_GDOT"/>
        <filter val="20151110_ZBRA"/>
        <filter val="20160222_MSI"/>
        <filter val="20150501_FE"/>
        <filter val="20150728_PCAR"/>
        <filter val="20150422_CATY"/>
        <filter val="20151119_KIRK"/>
        <filter val="20150804_KLIC"/>
        <filter val="20151029_OMCL"/>
        <filter val="20160128_ADS"/>
        <filter val="20151030_COL"/>
        <filter val="20160224_CLDT"/>
        <filter val="20150428_IDXX"/>
        <filter val="20150723_TYL"/>
        <filter val="20150721_CATY"/>
        <filter val="20151029_PX"/>
        <filter val="20150730_MD"/>
        <filter val="20150512_IFF"/>
        <filter val="20150507_ROCK"/>
        <filter val="20150721_TRV"/>
        <filter val="20151105_CORT"/>
        <filter val="20151105_UEIC"/>
        <filter val="20151120_HIBB"/>
        <filter val="20150810_ESE"/>
        <filter val="20150304_AMED"/>
        <filter val="20150429_PKE"/>
        <filter val="20160224_CHK"/>
        <filter val="20151103_INCY"/>
        <filter val="20150723_DGII"/>
        <filter val="20150428_CNC"/>
        <filter val="20160222_EDR"/>
        <filter val="20150807_SJI"/>
        <filter val="20150324_GIII"/>
        <filter val="20160209_ESE"/>
        <filter val="20150506_RDC"/>
        <filter val="20160223_LAMR"/>
        <filter val="20150421_NTRS"/>
        <filter val="20150506_NSIT"/>
        <filter val="20151216_ORCL"/>
        <filter val="20160121_HBAN"/>
        <filter val="20150716_SHW"/>
        <filter val="20151022_CY"/>
        <filter val="20151021_ELY"/>
        <filter val="20160204_MTD"/>
        <filter val="20150501_MCO"/>
        <filter val="20150813_JWN"/>
        <filter val="20160209_CVS"/>
        <filter val="20150226_AMWD"/>
        <filter val="20160211_VRSN"/>
        <filter val="20150723_RSG"/>
        <filter val="20151029_DLR"/>
        <filter val="20150602_MDT"/>
        <filter val="20160107_FINL"/>
        <filter val="20150804_INCY"/>
        <filter val="20150820_HPQ"/>
        <filter val="20151028_DHX"/>
        <filter val="20160202_SXI"/>
        <filter val="20160107_SNX"/>
        <filter val="20150415_WSO"/>
        <filter val="20150803_TXRH"/>
        <filter val="20151023_COG"/>
        <filter val="20150810_PRAA"/>
        <filter val="20150723_CSL"/>
        <filter val="20160204_TDC"/>
        <filter val="20150430_ODFL"/>
        <filter val="20160128_SYNA"/>
        <filter val="20150504_TXRH"/>
        <filter val="20151028_HSY"/>
        <filter val="20150730_PRFT"/>
        <filter val="20150429_CFR"/>
        <filter val="20150602_DAKT"/>
        <filter val="20150303_AZO"/>
        <filter val="20150723_AOS"/>
        <filter val="20151103_CHUY"/>
        <filter val="20160201_ONB"/>
        <filter val="20150811_ZBRA"/>
        <filter val="20150721_CMG"/>
        <filter val="20160204_MPWR"/>
        <filter val="20150729_ALGT"/>
        <filter val="20151020_IBKR"/>
        <filter val="20150423_HZO"/>
        <filter val="20151021_EXPO"/>
        <filter val="20150901_HRB"/>
        <filter val="20150730_TPX"/>
        <filter val="20160128_QSII"/>
        <filter val="20160209_MPAA"/>
        <filter val="20150826_GES"/>
        <filter val="20151124_DSW"/>
        <filter val="20150507_JCOM"/>
        <filter val="20151029_ALXN"/>
        <filter val="20160128_SWKS"/>
        <filter val="20150519_RRGB"/>
        <filter val="20151029_DIN"/>
        <filter val="20150602_CBRL"/>
        <filter val="20151124_TECD"/>
        <filter val="20150806_DDD"/>
        <filter val="20150730_CROX"/>
        <filter val="20151029_LYV"/>
        <filter val="20150227_NWN"/>
        <filter val="20150730_SYNA"/>
        <filter val="20160129_CVX"/>
        <filter val="20150428_MSTR"/>
        <filter val="20150507_NVDA"/>
        <filter val="20160129_SBSI"/>
        <filter val="20150423_JNPR"/>
        <filter val="20150730_CEVA"/>
        <filter val="20151022_ALK"/>
        <filter val="20150310_KOPN"/>
        <filter val="20151214_NX"/>
        <filter val="20150423_MDP"/>
        <filter val="20160218_DAN"/>
        <filter val="20151028_SAH"/>
        <filter val="20160211_NUVA"/>
        <filter val="20151029_FLR"/>
        <filter val="20150505_ICUI"/>
        <filter val="20150505_KMT"/>
        <filter val="20150804_MRCY"/>
        <filter val="20160211_FLO"/>
        <filter val="20160203_KLIC"/>
        <filter val="20151030_SBSI"/>
        <filter val="20150421_BMI"/>
        <filter val="20151022_NDAQ"/>
        <filter val="20151029_HST"/>
        <filter val="20160128_CPSI"/>
        <filter val="20160204_ABG"/>
        <filter val="20151105_HII"/>
        <filter val="20150723_PHM"/>
        <filter val="20150805_WCG"/>
        <filter val="20151028_ECHO"/>
        <filter val="20151102_EVR"/>
        <filter val="20160128_CPF"/>
        <filter val="20150723_COF"/>
        <filter val="20150730_CRL"/>
        <filter val="20150421_MAN"/>
        <filter val="20150721_SBNY"/>
        <filter val="20160204_ATGE"/>
        <filter val="20150730_CRS"/>
        <filter val="20151029_SHW"/>
        <filter val="20150803_VECO"/>
        <filter val="20150723_ALK"/>
        <filter val="20160218_UFCS"/>
        <filter val="20150722_CAKE"/>
        <filter val="20151103_IART"/>
        <filter val="20160128_NEE"/>
        <filter val="20150729_TGI"/>
        <filter val="20151029_GT"/>
        <filter val="20150501_LPNT"/>
        <filter val="20151022_RMD"/>
        <filter val="20150327_CCL"/>
        <filter val="20151105_ACIW"/>
        <filter val="20160121_ETFC"/>
        <filter val="20150805_ITRI"/>
        <filter val="20151027_ULTI"/>
        <filter val="20151209_VRA"/>
        <filter val="20150506_SNH"/>
        <filter val="20150427_OSIS"/>
        <filter val="20151112_JWN"/>
        <filter val="20160205_CME"/>
        <filter val="20150814_JCP"/>
        <filter val="20160204_ELY"/>
        <filter val="20150922_CCL"/>
        <filter val="20151119_GPS"/>
        <filter val="20151109_QNST"/>
        <filter val="20151106_TTI"/>
        <filter val="20151102_EDR"/>
        <filter val="20150602_CRVL"/>
        <filter val="20150716_AMD"/>
        <filter val="20150730_VG"/>
        <filter val="20151109_APEI"/>
        <filter val="20160216_BYD"/>
        <filter val="20150325_PAYX"/>
        <filter val="20150729_CFR"/>
        <filter val="20150424_XRX"/>
        <filter val="20150730_HST"/>
        <filter val="20150730_WU"/>
        <filter val="20150806_RGEN"/>
        <filter val="20151022_DGX"/>
        <filter val="20151030_TDS"/>
        <filter val="20160218_CBB"/>
        <filter val="20150805_MED"/>
        <filter val="20150428_HELE"/>
        <filter val="20150508_CROX"/>
        <filter val="20151104_OSUR"/>
        <filter val="20150430_INCY"/>
        <filter val="20150721_ABG"/>
        <filter val="20150807_EBIX"/>
        <filter val="20160208_HAS"/>
        <filter val="20150730_FLR"/>
        <filter val="20150730_IART"/>
        <filter val="20160211_AAP"/>
        <filter val="20151203_EXPR"/>
        <filter val="20160223_DAKT"/>
        <filter val="20150624_BBBY"/>
        <filter val="20150521_GPS"/>
        <filter val="20150805_EE"/>
        <filter val="20160209_WCG"/>
        <filter val="20150728_BGFV"/>
        <filter val="20160223_SF"/>
        <filter val="20160204_LQDT"/>
        <filter val="20160219_CIR"/>
        <filter val="20150226_JCP"/>
        <filter val="20150423_EFII"/>
        <filter val="20150806_PGNX"/>
        <filter val="20160210_NSIT"/>
        <filter val="20151029_TFX"/>
        <filter val="20160218_AAN"/>
        <filter val="20150504_NUVA"/>
        <filter val="20150827_FRED"/>
        <filter val="20150721_MSFT"/>
        <filter val="20150429_ASGN"/>
        <filter val="20150414_WFC"/>
        <filter val="20150421_SYK"/>
        <filter val="20150724_CPF"/>
        <filter val="20160211_VG"/>
        <filter val="20150924_AIR"/>
        <filter val="20151022_LOGM"/>
        <filter val="20150428_NOV"/>
        <filter val="20160126_HAFC"/>
        <filter val="20160121_WBS"/>
        <filter val="20151120_FL"/>
        <filter val="20160212_IPG"/>
        <filter val="20151027_IIVI"/>
        <filter val="20150527_CHS"/>
        <filter val="20151105_AES"/>
        <filter val="20160121_AXP"/>
        <filter val="20150714_AIR"/>
        <filter val="20160205_TSN"/>
        <filter val="20150313_RGEN"/>
        <filter val="20150909_BKS"/>
        <filter val="20150929_AZZ"/>
        <filter val="20150505_K"/>
        <filter val="20150424_PFS"/>
        <filter val="20150429_GPRE"/>
        <filter val="20160219_DE"/>
        <filter val="20150723_IVC"/>
        <filter val="20150501_AXL"/>
        <filter val="20160121_IIIN"/>
        <filter val="20151027_TREX"/>
        <filter val="20150430_WU"/>
        <filter val="20160127_HOLX"/>
        <filter val="20150806_SPPI"/>
        <filter val="20151027_CMCSA"/>
        <filter val="20151027_BGFV"/>
        <filter val="20151208_TOL"/>
        <filter val="20150511_RBC"/>
        <filter val="20151217_ACN"/>
        <filter val="20150508_SSP"/>
        <filter val="20150506_HSC"/>
        <filter val="20150924_ACN"/>
        <filter val="20150728_HSII"/>
        <filter val="20151022_DHR"/>
        <filter val="20150728_NATI"/>
        <filter val="20151109_LGND"/>
        <filter val="20150730_BCOR"/>
        <filter val="20150806_ANDV"/>
        <filter val="20151125_DCI"/>
        <filter val="20151109_LABL"/>
        <filter val="20150317_FDS"/>
        <filter val="20150922_GIS"/>
        <filter val="20160203_ENR"/>
        <filter val="20150828_RGS"/>
        <filter val="20150428_WDC"/>
        <filter val="20160224_SSTK"/>
        <filter val="20151027_HSII"/>
        <filter val="20150827_GME"/>
        <filter val="20160210_INTL"/>
        <filter val="20151028_VAR"/>
        <filter val="20150730_WST"/>
        <filter val="20160126_ISCA"/>
        <filter val="20150421_OMC"/>
        <filter val="20151103_OCLR"/>
        <filter val="20150505_DIS"/>
        <filter val="20151022_BEN"/>
        <filter val="20160217_EIG"/>
        <filter val="20150722_EGHT"/>
        <filter val="20150724_RGA"/>
        <filter val="20160204_PJC"/>
        <filter val="20151102_CEVA"/>
        <filter val="20150501_LM"/>
        <filter val="20160127_CTXS"/>
        <filter val="20160219_COG"/>
        <filter val="20150728_CTXS"/>
        <filter val="20150430_HST"/>
        <filter val="20160128_TGI"/>
        <filter val="20160211_TRIP"/>
        <filter val="20151030_PFS"/>
        <filter val="20160122_BID"/>
        <filter val="20160218_DISH"/>
        <filter val="20150805_PLUS"/>
        <filter val="20150729_SLAB"/>
        <filter val="20151029_MOH"/>
        <filter val="20151027_VICR"/>
        <filter val="20151030_LPNT"/>
        <filter val="20151007_PKE"/>
        <filter val="20160127_CNMD"/>
        <filter val="20151105_LAMR"/>
        <filter val="20151120_ANF"/>
        <filter val="20160218_PCG"/>
        <filter val="20150715_PNC"/>
        <filter val="20150723_ABC"/>
        <filter val="20160127_CRUS"/>
        <filter val="20160204_XYL"/>
        <filter val="20151119_ESL"/>
        <filter val="20151103_VSH"/>
        <filter val="20151027_MDSO"/>
        <filter val="20150508_TREX"/>
        <filter val="20160121_ISRG"/>
        <filter val="20160204_TPX"/>
        <filter val="20160128_EA"/>
        <filter val="20150506_ANDE"/>
        <filter val="20150729_PX"/>
        <filter val="20150701_AYI"/>
        <filter val="20150504_CHUY"/>
        <filter val="20150716_WBS"/>
        <filter val="20151022_UMPQ"/>
        <filter val="20151022_LLY"/>
        <filter val="20160217_MANT"/>
        <filter val="20150728_OSPN"/>
        <filter val="20151105_PLT"/>
        <filter val="20151105_ALEX"/>
        <filter val="20151020_PNR"/>
        <filter val="20150325_REX"/>
        <filter val="20150501_NSP"/>
        <filter val="20150423_GHL"/>
        <filter val="20151029_EHTH"/>
        <filter val="20151026_BOH"/>
        <filter val="20150723_CMCSA"/>
        <filter val="20160202_RHI"/>
        <filter val="20160223_DRH"/>
        <filter val="20150721_EXPO"/>
        <filter val="20160204_PLUS"/>
        <filter val="20160120_CATY"/>
        <filter val="20150728_CNC"/>
        <filter val="20150302_BID"/>
        <filter val="20151022_FAF"/>
        <filter val="20151020_VZ"/>
        <filter val="20150421_IBKR"/>
        <filter val="20150423_MTH"/>
        <filter val="20160121_EGHT"/>
        <filter val="20151026_WRB"/>
        <filter val="20160126_MMM"/>
        <filter val="20150819_LZB"/>
        <filter val="20150513_JCP"/>
        <filter val="20150504_CMCSA"/>
        <filter val="20150730_XRAY"/>
        <filter val="20160203_ETN"/>
        <filter val="20160128_AN"/>
        <filter val="20151027_MAS"/>
        <filter val="20150423_TBI"/>
        <filter val="20150429_AMED"/>
        <filter val="20150721_AAPL"/>
        <filter val="20160209_BHE"/>
        <filter val="20160202_PFE"/>
        <filter val="20150908_KFY"/>
        <filter val="20151105_HE"/>
        <filter val="20151103_NI"/>
        <filter val="20150622_SONC"/>
        <filter val="20150806_VIAB"/>
        <filter val="20150505_SMG"/>
        <filter val="20150806_ALEX"/>
        <filter val="20150429_PX"/>
        <filter val="20150623_CCL"/>
        <filter val="20160204_CSL"/>
        <filter val="20150511_GTY"/>
        <filter val="20150901_SCVL"/>
        <filter val="20150430_NI"/>
        <filter val="20160128_MTH"/>
        <filter val="20151027_MDC"/>
        <filter val="20151027_SPG"/>
        <filter val="20150804_DIS"/>
        <filter val="20151030_IRM"/>
        <filter val="20160219_PNW"/>
        <filter val="20150312_ULTA"/>
        <filter val="20151022_VRSN"/>
        <filter val="20150430_LYV"/>
        <filter val="20150427_ROP"/>
        <filter val="20151117_HD"/>
        <filter val="20150730_SAM"/>
        <filter val="20150803_NI"/>
        <filter val="20150430_SWKS"/>
        <filter val="20150507_CUTR"/>
        <filter val="20160217_CLD"/>
        <filter val="20150505_MDC"/>
        <filter val="20151029_PDFS"/>
        <filter val="20150226_CRI"/>
        <filter val="20150803_QNST"/>
        <filter val="20160201_AET"/>
        <filter val="20150312_PLCE"/>
        <filter val="20160209_DIS"/>
        <filter val="20151103_DISCA"/>
        <filter val="20151028_SLAB"/>
        <filter val="20160211_BWA"/>
        <filter val="20151103_VMC"/>
        <filter val="20151105_CNK"/>
        <filter val="20151022_NUE"/>
        <filter val="20150731_LPNT"/>
        <filter val="20151029_BCOR"/>
        <filter val="20151217_GIS"/>
        <filter val="20151105_CNP"/>
        <filter val="20151021_AXP"/>
        <filter val="20150429_NOC"/>
        <filter val="20151105_CLDT"/>
        <filter val="20150421_KMB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2037</v>
      </c>
      <c r="B1" s="2" t="s">
        <v>641</v>
      </c>
    </row>
    <row r="2">
      <c r="A2" s="1">
        <v>1.0</v>
      </c>
      <c r="B2" s="2" t="s">
        <v>646</v>
      </c>
    </row>
    <row r="3">
      <c r="A3" s="1">
        <v>2.0</v>
      </c>
      <c r="B3" s="2" t="s">
        <v>649</v>
      </c>
    </row>
    <row r="4">
      <c r="A4" s="1">
        <v>3.0</v>
      </c>
      <c r="B4" s="2" t="s">
        <v>10</v>
      </c>
    </row>
    <row r="5">
      <c r="A5" s="1">
        <v>4.0</v>
      </c>
      <c r="B5" s="2" t="s">
        <v>13</v>
      </c>
    </row>
    <row r="6">
      <c r="A6" s="1">
        <v>5.0</v>
      </c>
      <c r="B6" s="2" t="s">
        <v>16</v>
      </c>
    </row>
    <row r="7">
      <c r="A7" s="1">
        <v>6.0</v>
      </c>
      <c r="B7" s="2" t="s">
        <v>658</v>
      </c>
    </row>
    <row r="8">
      <c r="A8" s="1">
        <v>7.0</v>
      </c>
      <c r="B8" s="2" t="s">
        <v>22</v>
      </c>
    </row>
    <row r="9">
      <c r="A9" s="1">
        <v>8.0</v>
      </c>
      <c r="B9" s="2" t="s">
        <v>661</v>
      </c>
    </row>
    <row r="10">
      <c r="A10" s="1">
        <v>9.0</v>
      </c>
      <c r="B10" s="2" t="s">
        <v>665</v>
      </c>
    </row>
    <row r="11">
      <c r="A11" s="1">
        <v>10.0</v>
      </c>
      <c r="B11" s="2" t="s">
        <v>669</v>
      </c>
    </row>
    <row r="12">
      <c r="A12" s="1">
        <v>11.0</v>
      </c>
      <c r="B12" s="2" t="s">
        <v>34</v>
      </c>
    </row>
    <row r="13">
      <c r="A13" s="1">
        <v>12.0</v>
      </c>
      <c r="B13" s="2" t="s">
        <v>674</v>
      </c>
    </row>
    <row r="14">
      <c r="A14" s="1">
        <v>13.0</v>
      </c>
      <c r="B14" s="2" t="s">
        <v>242</v>
      </c>
    </row>
    <row r="15">
      <c r="A15" s="1">
        <v>14.0</v>
      </c>
      <c r="B15" s="2" t="s">
        <v>679</v>
      </c>
    </row>
    <row r="16">
      <c r="A16" s="1">
        <v>15.0</v>
      </c>
      <c r="B16" s="2" t="s">
        <v>681</v>
      </c>
    </row>
    <row r="17">
      <c r="A17" s="1">
        <v>16.0</v>
      </c>
      <c r="B17" s="2" t="s">
        <v>49</v>
      </c>
    </row>
    <row r="18">
      <c r="A18" s="1">
        <v>17.0</v>
      </c>
      <c r="B18" s="2" t="s">
        <v>52</v>
      </c>
    </row>
    <row r="19">
      <c r="A19" s="1">
        <v>18.0</v>
      </c>
      <c r="B19" s="2" t="s">
        <v>54</v>
      </c>
    </row>
    <row r="20">
      <c r="A20" s="1">
        <v>19.0</v>
      </c>
      <c r="B20" s="2" t="s">
        <v>692</v>
      </c>
    </row>
    <row r="21">
      <c r="A21" s="1">
        <v>20.0</v>
      </c>
      <c r="B21" s="2" t="s">
        <v>695</v>
      </c>
    </row>
    <row r="22">
      <c r="A22" s="1">
        <v>21.0</v>
      </c>
      <c r="B22" s="2" t="s">
        <v>63</v>
      </c>
    </row>
    <row r="23">
      <c r="A23" s="1">
        <v>22.0</v>
      </c>
      <c r="B23" s="2" t="s">
        <v>66</v>
      </c>
    </row>
    <row r="24">
      <c r="A24" s="1">
        <v>23.0</v>
      </c>
      <c r="B24" s="2" t="s">
        <v>699</v>
      </c>
    </row>
    <row r="25">
      <c r="A25" s="1">
        <v>24.0</v>
      </c>
      <c r="B25" s="2" t="s">
        <v>701</v>
      </c>
    </row>
    <row r="26">
      <c r="A26" s="1">
        <v>25.0</v>
      </c>
      <c r="B26" s="2" t="s">
        <v>75</v>
      </c>
    </row>
    <row r="27">
      <c r="A27" s="1">
        <v>26.0</v>
      </c>
      <c r="B27" s="2" t="s">
        <v>78</v>
      </c>
    </row>
    <row r="28">
      <c r="A28" s="1">
        <v>27.0</v>
      </c>
      <c r="B28" s="2" t="s">
        <v>81</v>
      </c>
    </row>
    <row r="29">
      <c r="A29" s="1">
        <v>28.0</v>
      </c>
      <c r="B29" s="2" t="s">
        <v>84</v>
      </c>
    </row>
    <row r="30">
      <c r="A30" s="1">
        <v>29.0</v>
      </c>
      <c r="B30" s="2" t="s">
        <v>87</v>
      </c>
    </row>
    <row r="31">
      <c r="A31" s="1">
        <v>30.0</v>
      </c>
      <c r="B31" s="2" t="s">
        <v>90</v>
      </c>
    </row>
    <row r="32">
      <c r="A32" s="1">
        <v>31.0</v>
      </c>
      <c r="B32" s="2" t="s">
        <v>93</v>
      </c>
    </row>
    <row r="33">
      <c r="A33" s="1">
        <v>32.0</v>
      </c>
      <c r="B33" s="2" t="s">
        <v>712</v>
      </c>
    </row>
    <row r="34">
      <c r="A34" s="1">
        <v>33.0</v>
      </c>
      <c r="B34" s="2" t="s">
        <v>100</v>
      </c>
    </row>
    <row r="35">
      <c r="A35" s="1">
        <v>34.0</v>
      </c>
      <c r="B35" s="2" t="s">
        <v>103</v>
      </c>
    </row>
    <row r="36">
      <c r="A36" s="1">
        <v>35.0</v>
      </c>
      <c r="B36" s="2" t="s">
        <v>106</v>
      </c>
    </row>
    <row r="37">
      <c r="A37" s="1">
        <v>36.0</v>
      </c>
      <c r="B37" s="2" t="s">
        <v>109</v>
      </c>
    </row>
    <row r="38">
      <c r="A38" s="1">
        <v>37.0</v>
      </c>
      <c r="B38" s="2" t="s">
        <v>112</v>
      </c>
    </row>
    <row r="39">
      <c r="A39" s="1">
        <v>38.0</v>
      </c>
      <c r="B39" s="2" t="s">
        <v>115</v>
      </c>
    </row>
    <row r="40">
      <c r="A40" s="1">
        <v>39.0</v>
      </c>
      <c r="B40" s="2" t="s">
        <v>118</v>
      </c>
    </row>
    <row r="41">
      <c r="A41" s="1">
        <v>40.0</v>
      </c>
      <c r="B41" s="2" t="s">
        <v>121</v>
      </c>
    </row>
    <row r="42">
      <c r="A42" s="1">
        <v>41.0</v>
      </c>
      <c r="B42" s="2" t="s">
        <v>124</v>
      </c>
    </row>
    <row r="43">
      <c r="A43" s="1">
        <v>42.0</v>
      </c>
      <c r="B43" s="2" t="s">
        <v>127</v>
      </c>
    </row>
    <row r="44">
      <c r="A44" s="1">
        <v>43.0</v>
      </c>
      <c r="B44" s="2" t="s">
        <v>130</v>
      </c>
    </row>
    <row r="45">
      <c r="A45" s="1">
        <v>44.0</v>
      </c>
      <c r="B45" s="2" t="s">
        <v>133</v>
      </c>
    </row>
    <row r="46">
      <c r="A46" s="1">
        <v>45.0</v>
      </c>
      <c r="B46" s="2" t="s">
        <v>136</v>
      </c>
    </row>
    <row r="47">
      <c r="A47" s="1">
        <v>46.0</v>
      </c>
      <c r="B47" s="2" t="s">
        <v>139</v>
      </c>
    </row>
    <row r="48">
      <c r="A48" s="1">
        <v>47.0</v>
      </c>
      <c r="B48" s="2" t="s">
        <v>142</v>
      </c>
    </row>
    <row r="49">
      <c r="A49" s="1">
        <v>48.0</v>
      </c>
      <c r="B49" s="2" t="s">
        <v>145</v>
      </c>
    </row>
    <row r="50">
      <c r="A50" s="1">
        <v>49.0</v>
      </c>
      <c r="B50" s="2" t="s">
        <v>148</v>
      </c>
    </row>
    <row r="51">
      <c r="A51" s="1">
        <v>50.0</v>
      </c>
      <c r="B51" s="2" t="s">
        <v>151</v>
      </c>
    </row>
    <row r="52">
      <c r="A52" s="1">
        <v>51.0</v>
      </c>
      <c r="B52" s="2" t="s">
        <v>734</v>
      </c>
    </row>
    <row r="53">
      <c r="A53" s="1">
        <v>52.0</v>
      </c>
      <c r="B53" s="2" t="s">
        <v>157</v>
      </c>
    </row>
    <row r="54">
      <c r="A54" s="1">
        <v>53.0</v>
      </c>
      <c r="B54" s="2" t="s">
        <v>160</v>
      </c>
    </row>
    <row r="55">
      <c r="A55" s="1">
        <v>54.0</v>
      </c>
      <c r="B55" s="2" t="s">
        <v>163</v>
      </c>
    </row>
    <row r="56">
      <c r="A56" s="1">
        <v>55.0</v>
      </c>
      <c r="B56" s="2" t="s">
        <v>739</v>
      </c>
    </row>
    <row r="57">
      <c r="A57" s="1">
        <v>56.0</v>
      </c>
      <c r="B57" s="2" t="s">
        <v>169</v>
      </c>
    </row>
    <row r="58">
      <c r="A58" s="1">
        <v>57.0</v>
      </c>
      <c r="B58" s="2" t="s">
        <v>742</v>
      </c>
    </row>
    <row r="59">
      <c r="A59" s="1">
        <v>58.0</v>
      </c>
      <c r="B59" s="2" t="s">
        <v>174</v>
      </c>
    </row>
    <row r="60">
      <c r="A60" s="1">
        <v>59.0</v>
      </c>
      <c r="B60" s="2" t="s">
        <v>177</v>
      </c>
    </row>
    <row r="61">
      <c r="A61" s="1">
        <v>60.0</v>
      </c>
      <c r="B61" s="2" t="s">
        <v>180</v>
      </c>
    </row>
    <row r="62">
      <c r="A62" s="1">
        <v>61.0</v>
      </c>
      <c r="B62" s="2" t="s">
        <v>183</v>
      </c>
    </row>
    <row r="63">
      <c r="A63" s="1">
        <v>62.0</v>
      </c>
      <c r="B63" s="2" t="s">
        <v>186</v>
      </c>
    </row>
    <row r="64">
      <c r="A64" s="1">
        <v>63.0</v>
      </c>
      <c r="B64" s="2" t="s">
        <v>189</v>
      </c>
    </row>
    <row r="65">
      <c r="A65" s="1">
        <v>64.0</v>
      </c>
      <c r="B65" s="2" t="s">
        <v>192</v>
      </c>
    </row>
    <row r="66">
      <c r="A66" s="1">
        <v>65.0</v>
      </c>
      <c r="B66" s="2" t="s">
        <v>195</v>
      </c>
    </row>
    <row r="67">
      <c r="A67" s="1">
        <v>66.0</v>
      </c>
      <c r="B67" s="2" t="s">
        <v>198</v>
      </c>
    </row>
    <row r="68">
      <c r="A68" s="1">
        <v>67.0</v>
      </c>
      <c r="B68" s="2" t="s">
        <v>201</v>
      </c>
    </row>
    <row r="69">
      <c r="A69" s="1">
        <v>68.0</v>
      </c>
      <c r="B69" s="2" t="s">
        <v>204</v>
      </c>
    </row>
    <row r="70">
      <c r="A70" s="1">
        <v>69.0</v>
      </c>
      <c r="B70" s="2" t="s">
        <v>207</v>
      </c>
    </row>
    <row r="71">
      <c r="A71" s="1">
        <v>70.0</v>
      </c>
      <c r="B71" s="2" t="s">
        <v>209</v>
      </c>
    </row>
    <row r="72">
      <c r="A72" s="1">
        <v>71.0</v>
      </c>
      <c r="B72" s="2" t="s">
        <v>213</v>
      </c>
    </row>
    <row r="73">
      <c r="A73" s="1">
        <v>72.0</v>
      </c>
      <c r="B73" s="2" t="s">
        <v>216</v>
      </c>
    </row>
    <row r="74">
      <c r="A74" s="1">
        <v>73.0</v>
      </c>
      <c r="B74" s="2" t="s">
        <v>219</v>
      </c>
    </row>
    <row r="75">
      <c r="A75" s="1">
        <v>74.0</v>
      </c>
      <c r="B75" s="2" t="s">
        <v>222</v>
      </c>
    </row>
    <row r="76">
      <c r="A76" s="1">
        <v>75.0</v>
      </c>
      <c r="B76" s="2" t="s">
        <v>225</v>
      </c>
    </row>
    <row r="77">
      <c r="A77" s="1">
        <v>76.0</v>
      </c>
      <c r="B77" s="2" t="s">
        <v>228</v>
      </c>
    </row>
    <row r="78">
      <c r="A78" s="1">
        <v>77.0</v>
      </c>
      <c r="B78" s="2" t="s">
        <v>231</v>
      </c>
    </row>
    <row r="79">
      <c r="A79" s="1">
        <v>78.0</v>
      </c>
      <c r="B79" s="2" t="s">
        <v>234</v>
      </c>
    </row>
    <row r="80">
      <c r="A80" s="1">
        <v>79.0</v>
      </c>
      <c r="B80" s="2" t="s">
        <v>237</v>
      </c>
    </row>
    <row r="81">
      <c r="A81" s="1">
        <v>80.0</v>
      </c>
      <c r="B81" s="2" t="s">
        <v>240</v>
      </c>
    </row>
    <row r="82">
      <c r="A82" s="1">
        <v>81.0</v>
      </c>
      <c r="B82" s="2" t="s">
        <v>244</v>
      </c>
    </row>
    <row r="83">
      <c r="A83" s="1">
        <v>82.0</v>
      </c>
      <c r="B83" s="2" t="s">
        <v>247</v>
      </c>
    </row>
    <row r="84">
      <c r="A84" s="1">
        <v>83.0</v>
      </c>
      <c r="B84" s="2" t="s">
        <v>772</v>
      </c>
    </row>
    <row r="85">
      <c r="A85" s="1">
        <v>84.0</v>
      </c>
      <c r="B85" s="2" t="s">
        <v>251</v>
      </c>
    </row>
    <row r="86">
      <c r="A86" s="1">
        <v>85.0</v>
      </c>
      <c r="B86" s="2" t="s">
        <v>253</v>
      </c>
    </row>
    <row r="87">
      <c r="A87" s="1">
        <v>86.0</v>
      </c>
      <c r="B87" s="2" t="s">
        <v>778</v>
      </c>
    </row>
    <row r="88">
      <c r="A88" s="1">
        <v>87.0</v>
      </c>
      <c r="B88" s="2" t="s">
        <v>259</v>
      </c>
    </row>
    <row r="89">
      <c r="A89" s="1">
        <v>88.0</v>
      </c>
      <c r="B89" s="2" t="s">
        <v>782</v>
      </c>
    </row>
    <row r="90">
      <c r="A90" s="1">
        <v>89.0</v>
      </c>
      <c r="B90" s="2" t="s">
        <v>786</v>
      </c>
    </row>
    <row r="91">
      <c r="A91" s="1">
        <v>90.0</v>
      </c>
      <c r="B91" s="2" t="s">
        <v>264</v>
      </c>
    </row>
    <row r="92">
      <c r="A92" s="1">
        <v>91.0</v>
      </c>
      <c r="B92" s="2" t="s">
        <v>790</v>
      </c>
    </row>
    <row r="93">
      <c r="A93" s="1">
        <v>92.0</v>
      </c>
      <c r="B93" s="2" t="s">
        <v>793</v>
      </c>
    </row>
    <row r="94">
      <c r="A94" s="1">
        <v>93.0</v>
      </c>
      <c r="B94" s="2" t="s">
        <v>797</v>
      </c>
    </row>
    <row r="95">
      <c r="A95" s="1">
        <v>94.0</v>
      </c>
      <c r="B95" s="2" t="s">
        <v>801</v>
      </c>
    </row>
    <row r="96">
      <c r="A96" s="1">
        <v>95.0</v>
      </c>
      <c r="B96" s="2" t="s">
        <v>804</v>
      </c>
    </row>
    <row r="97">
      <c r="A97" s="1">
        <v>96.0</v>
      </c>
      <c r="B97" s="2" t="s">
        <v>808</v>
      </c>
    </row>
    <row r="98">
      <c r="A98" s="1">
        <v>97.0</v>
      </c>
      <c r="B98" s="2" t="s">
        <v>267</v>
      </c>
    </row>
    <row r="99">
      <c r="A99" s="1">
        <v>98.0</v>
      </c>
      <c r="B99" s="2" t="s">
        <v>815</v>
      </c>
    </row>
    <row r="100">
      <c r="A100" s="1">
        <v>99.0</v>
      </c>
      <c r="B100" s="2" t="s">
        <v>818</v>
      </c>
    </row>
    <row r="101">
      <c r="A101" s="1">
        <v>100.0</v>
      </c>
      <c r="B101" s="2" t="s">
        <v>822</v>
      </c>
    </row>
    <row r="102">
      <c r="A102" s="1">
        <v>101.0</v>
      </c>
      <c r="B102" s="2" t="s">
        <v>826</v>
      </c>
    </row>
    <row r="103">
      <c r="A103" s="1">
        <v>102.0</v>
      </c>
      <c r="B103" s="2" t="s">
        <v>270</v>
      </c>
    </row>
    <row r="104">
      <c r="A104" s="1">
        <v>103.0</v>
      </c>
      <c r="B104" s="2" t="s">
        <v>271</v>
      </c>
    </row>
    <row r="105">
      <c r="A105" s="1">
        <v>104.0</v>
      </c>
      <c r="B105" s="2" t="s">
        <v>835</v>
      </c>
    </row>
    <row r="106">
      <c r="A106" s="1">
        <v>105.0</v>
      </c>
      <c r="B106" s="2" t="s">
        <v>839</v>
      </c>
    </row>
    <row r="107">
      <c r="A107" s="1">
        <v>106.0</v>
      </c>
      <c r="B107" s="2" t="s">
        <v>843</v>
      </c>
    </row>
    <row r="108">
      <c r="A108" s="1">
        <v>107.0</v>
      </c>
      <c r="B108" s="2" t="s">
        <v>847</v>
      </c>
    </row>
    <row r="109">
      <c r="A109" s="1">
        <v>108.0</v>
      </c>
      <c r="B109" s="2" t="s">
        <v>1</v>
      </c>
    </row>
    <row r="110">
      <c r="A110" s="1">
        <v>109.0</v>
      </c>
      <c r="B110" s="2" t="s">
        <v>854</v>
      </c>
    </row>
    <row r="111">
      <c r="A111" s="1">
        <v>110.0</v>
      </c>
      <c r="B111" s="2" t="s">
        <v>858</v>
      </c>
    </row>
    <row r="112">
      <c r="A112" s="1">
        <v>111.0</v>
      </c>
      <c r="B112" s="2" t="s">
        <v>862</v>
      </c>
    </row>
    <row r="113">
      <c r="A113" s="1">
        <v>112.0</v>
      </c>
      <c r="B113" s="2" t="s">
        <v>866</v>
      </c>
    </row>
    <row r="114">
      <c r="A114" s="1">
        <v>113.0</v>
      </c>
      <c r="B114" s="2" t="s">
        <v>870</v>
      </c>
    </row>
    <row r="115">
      <c r="A115" s="1">
        <v>114.0</v>
      </c>
      <c r="B115" s="2" t="s">
        <v>874</v>
      </c>
    </row>
    <row r="116">
      <c r="A116" s="1">
        <v>115.0</v>
      </c>
      <c r="B116" s="2" t="s">
        <v>878</v>
      </c>
    </row>
    <row r="117">
      <c r="A117" s="1">
        <v>116.0</v>
      </c>
      <c r="B117" s="2" t="s">
        <v>882</v>
      </c>
    </row>
    <row r="118">
      <c r="A118" s="1">
        <v>117.0</v>
      </c>
      <c r="B118" s="2" t="s">
        <v>886</v>
      </c>
    </row>
    <row r="119">
      <c r="A119" s="1">
        <v>118.0</v>
      </c>
      <c r="B119" s="2" t="s">
        <v>890</v>
      </c>
    </row>
    <row r="120">
      <c r="A120" s="1">
        <v>119.0</v>
      </c>
      <c r="B120" s="2" t="s">
        <v>894</v>
      </c>
    </row>
    <row r="121">
      <c r="A121" s="1">
        <v>120.0</v>
      </c>
      <c r="B121" s="2" t="s">
        <v>898</v>
      </c>
    </row>
    <row r="122">
      <c r="A122" s="1">
        <v>121.0</v>
      </c>
      <c r="B122" s="2" t="s">
        <v>902</v>
      </c>
    </row>
    <row r="123">
      <c r="A123" s="1">
        <v>122.0</v>
      </c>
      <c r="B123" s="2" t="s">
        <v>906</v>
      </c>
    </row>
    <row r="124">
      <c r="A124" s="1">
        <v>123.0</v>
      </c>
      <c r="B124" s="2" t="s">
        <v>910</v>
      </c>
    </row>
    <row r="125">
      <c r="A125" s="1">
        <v>124.0</v>
      </c>
      <c r="B125" s="2" t="s">
        <v>914</v>
      </c>
    </row>
    <row r="126">
      <c r="A126" s="1">
        <v>125.0</v>
      </c>
      <c r="B126" s="2" t="s">
        <v>918</v>
      </c>
    </row>
    <row r="127">
      <c r="A127" s="1">
        <v>126.0</v>
      </c>
      <c r="B127" s="2" t="s">
        <v>922</v>
      </c>
    </row>
    <row r="128">
      <c r="A128" s="1">
        <v>127.0</v>
      </c>
      <c r="B128" s="2" t="s">
        <v>926</v>
      </c>
    </row>
    <row r="129">
      <c r="A129" s="1">
        <v>128.0</v>
      </c>
      <c r="B129" s="2" t="s">
        <v>930</v>
      </c>
    </row>
    <row r="130">
      <c r="A130" s="1">
        <v>129.0</v>
      </c>
      <c r="B130" s="2" t="s">
        <v>934</v>
      </c>
    </row>
    <row r="131">
      <c r="A131" s="1">
        <v>130.0</v>
      </c>
      <c r="B131" s="2" t="s">
        <v>938</v>
      </c>
    </row>
    <row r="132">
      <c r="A132" s="1">
        <v>131.0</v>
      </c>
      <c r="B132" s="2" t="s">
        <v>942</v>
      </c>
    </row>
    <row r="133">
      <c r="A133" s="1">
        <v>132.0</v>
      </c>
      <c r="B133" s="2" t="s">
        <v>946</v>
      </c>
    </row>
    <row r="134">
      <c r="A134" s="1">
        <v>133.0</v>
      </c>
      <c r="B134" s="2" t="s">
        <v>950</v>
      </c>
    </row>
    <row r="135">
      <c r="A135" s="1">
        <v>134.0</v>
      </c>
      <c r="B135" s="2" t="s">
        <v>954</v>
      </c>
    </row>
    <row r="136">
      <c r="A136" s="1">
        <v>135.0</v>
      </c>
      <c r="B136" s="2" t="s">
        <v>958</v>
      </c>
    </row>
    <row r="137">
      <c r="A137" s="1">
        <v>136.0</v>
      </c>
      <c r="B137" s="2" t="s">
        <v>962</v>
      </c>
    </row>
    <row r="138">
      <c r="A138" s="1">
        <v>137.0</v>
      </c>
      <c r="B138" s="2" t="s">
        <v>966</v>
      </c>
    </row>
    <row r="139">
      <c r="A139" s="1">
        <v>138.0</v>
      </c>
      <c r="B139" s="2" t="s">
        <v>970</v>
      </c>
    </row>
    <row r="140">
      <c r="A140" s="1">
        <v>139.0</v>
      </c>
      <c r="B140" s="2" t="s">
        <v>974</v>
      </c>
    </row>
    <row r="141">
      <c r="A141" s="1">
        <v>140.0</v>
      </c>
      <c r="B141" s="2" t="s">
        <v>978</v>
      </c>
    </row>
    <row r="142">
      <c r="A142" s="1">
        <v>141.0</v>
      </c>
      <c r="B142" s="2" t="s">
        <v>982</v>
      </c>
    </row>
    <row r="143">
      <c r="A143" s="1">
        <v>142.0</v>
      </c>
      <c r="B143" s="2" t="s">
        <v>986</v>
      </c>
    </row>
    <row r="144">
      <c r="A144" s="1">
        <v>143.0</v>
      </c>
      <c r="B144" s="2" t="s">
        <v>990</v>
      </c>
    </row>
    <row r="145">
      <c r="A145" s="1">
        <v>144.0</v>
      </c>
      <c r="B145" s="2" t="s">
        <v>994</v>
      </c>
    </row>
    <row r="146">
      <c r="A146" s="1">
        <v>145.0</v>
      </c>
      <c r="B146" s="2" t="s">
        <v>998</v>
      </c>
    </row>
    <row r="147">
      <c r="A147" s="1">
        <v>146.0</v>
      </c>
      <c r="B147" s="2" t="s">
        <v>1002</v>
      </c>
    </row>
    <row r="148">
      <c r="A148" s="1">
        <v>147.0</v>
      </c>
      <c r="B148" s="2" t="s">
        <v>1006</v>
      </c>
    </row>
    <row r="149">
      <c r="A149" s="1">
        <v>148.0</v>
      </c>
      <c r="B149" s="2" t="s">
        <v>1010</v>
      </c>
    </row>
    <row r="150">
      <c r="A150" s="1">
        <v>149.0</v>
      </c>
      <c r="B150" s="2" t="s">
        <v>1014</v>
      </c>
    </row>
    <row r="151">
      <c r="A151" s="1">
        <v>150.0</v>
      </c>
      <c r="B151" s="2" t="s">
        <v>1018</v>
      </c>
    </row>
    <row r="152">
      <c r="A152" s="1">
        <v>151.0</v>
      </c>
      <c r="B152" s="2" t="s">
        <v>1022</v>
      </c>
    </row>
    <row r="153">
      <c r="A153" s="1">
        <v>152.0</v>
      </c>
      <c r="B153" s="2" t="s">
        <v>1026</v>
      </c>
    </row>
    <row r="154">
      <c r="A154" s="1">
        <v>153.0</v>
      </c>
      <c r="B154" s="2" t="s">
        <v>1030</v>
      </c>
    </row>
    <row r="155">
      <c r="A155" s="1">
        <v>154.0</v>
      </c>
      <c r="B155" s="2" t="s">
        <v>1034</v>
      </c>
    </row>
    <row r="156">
      <c r="A156" s="1">
        <v>155.0</v>
      </c>
      <c r="B156" s="2" t="s">
        <v>1038</v>
      </c>
    </row>
    <row r="157">
      <c r="A157" s="1">
        <v>156.0</v>
      </c>
      <c r="B157" s="2" t="s">
        <v>1042</v>
      </c>
    </row>
    <row r="158">
      <c r="A158" s="1">
        <v>157.0</v>
      </c>
      <c r="B158" s="2" t="s">
        <v>1046</v>
      </c>
    </row>
    <row r="159">
      <c r="A159" s="1">
        <v>158.0</v>
      </c>
      <c r="B159" s="2" t="s">
        <v>1050</v>
      </c>
    </row>
    <row r="160">
      <c r="A160" s="1">
        <v>159.0</v>
      </c>
      <c r="B160" s="2" t="s">
        <v>1054</v>
      </c>
    </row>
    <row r="161">
      <c r="A161" s="1">
        <v>160.0</v>
      </c>
      <c r="B161" s="2" t="s">
        <v>1058</v>
      </c>
    </row>
    <row r="162">
      <c r="A162" s="1">
        <v>161.0</v>
      </c>
      <c r="B162" s="2" t="s">
        <v>1062</v>
      </c>
    </row>
    <row r="163">
      <c r="A163" s="1">
        <v>162.0</v>
      </c>
      <c r="B163" s="2" t="s">
        <v>1066</v>
      </c>
    </row>
    <row r="164">
      <c r="A164" s="1">
        <v>163.0</v>
      </c>
      <c r="B164" s="2" t="s">
        <v>1070</v>
      </c>
    </row>
    <row r="165">
      <c r="A165" s="1">
        <v>164.0</v>
      </c>
      <c r="B165" s="2" t="s">
        <v>1074</v>
      </c>
    </row>
    <row r="166">
      <c r="A166" s="1">
        <v>165.0</v>
      </c>
      <c r="B166" s="2" t="s">
        <v>1078</v>
      </c>
    </row>
    <row r="167">
      <c r="A167" s="1">
        <v>166.0</v>
      </c>
      <c r="B167" s="2" t="s">
        <v>1082</v>
      </c>
    </row>
    <row r="168">
      <c r="A168" s="1">
        <v>167.0</v>
      </c>
      <c r="B168" s="2" t="s">
        <v>1086</v>
      </c>
    </row>
    <row r="169">
      <c r="A169" s="1">
        <v>168.0</v>
      </c>
      <c r="B169" s="2" t="s">
        <v>1090</v>
      </c>
    </row>
    <row r="170">
      <c r="A170" s="1">
        <v>169.0</v>
      </c>
      <c r="B170" s="2" t="s">
        <v>1094</v>
      </c>
    </row>
    <row r="171">
      <c r="A171" s="1">
        <v>170.0</v>
      </c>
      <c r="B171" s="2" t="s">
        <v>1098</v>
      </c>
    </row>
    <row r="172">
      <c r="A172" s="1">
        <v>171.0</v>
      </c>
      <c r="B172" s="2" t="s">
        <v>1102</v>
      </c>
    </row>
    <row r="173">
      <c r="A173" s="1">
        <v>172.0</v>
      </c>
      <c r="B173" s="2" t="s">
        <v>1106</v>
      </c>
    </row>
    <row r="174">
      <c r="A174" s="1">
        <v>173.0</v>
      </c>
      <c r="B174" s="2" t="s">
        <v>1110</v>
      </c>
    </row>
    <row r="175">
      <c r="A175" s="1">
        <v>174.0</v>
      </c>
      <c r="B175" s="2" t="s">
        <v>1114</v>
      </c>
    </row>
    <row r="176">
      <c r="A176" s="1">
        <v>175.0</v>
      </c>
      <c r="B176" s="2" t="s">
        <v>1118</v>
      </c>
    </row>
    <row r="177">
      <c r="A177" s="1">
        <v>176.0</v>
      </c>
      <c r="B177" s="2" t="s">
        <v>1122</v>
      </c>
    </row>
    <row r="178">
      <c r="A178" s="1">
        <v>177.0</v>
      </c>
      <c r="B178" s="2" t="s">
        <v>1126</v>
      </c>
    </row>
    <row r="179">
      <c r="A179" s="1">
        <v>178.0</v>
      </c>
      <c r="B179" s="2" t="s">
        <v>1130</v>
      </c>
    </row>
    <row r="180">
      <c r="A180" s="1">
        <v>179.0</v>
      </c>
      <c r="B180" s="2" t="s">
        <v>1134</v>
      </c>
    </row>
    <row r="181">
      <c r="A181" s="1">
        <v>180.0</v>
      </c>
      <c r="B181" s="2" t="s">
        <v>1138</v>
      </c>
    </row>
    <row r="182">
      <c r="A182" s="1">
        <v>181.0</v>
      </c>
      <c r="B182" s="2" t="s">
        <v>1142</v>
      </c>
    </row>
    <row r="183">
      <c r="A183" s="1">
        <v>182.0</v>
      </c>
      <c r="B183" s="2" t="s">
        <v>1146</v>
      </c>
    </row>
    <row r="184">
      <c r="A184" s="1">
        <v>183.0</v>
      </c>
      <c r="B184" s="2" t="s">
        <v>1150</v>
      </c>
    </row>
    <row r="185">
      <c r="A185" s="1">
        <v>184.0</v>
      </c>
      <c r="B185" s="2" t="s">
        <v>1154</v>
      </c>
    </row>
    <row r="186">
      <c r="A186" s="1">
        <v>185.0</v>
      </c>
      <c r="B186" s="2" t="s">
        <v>1158</v>
      </c>
    </row>
    <row r="187">
      <c r="A187" s="1">
        <v>186.0</v>
      </c>
      <c r="B187" s="2" t="s">
        <v>1162</v>
      </c>
    </row>
    <row r="188">
      <c r="A188" s="1">
        <v>187.0</v>
      </c>
      <c r="B188" s="2" t="s">
        <v>1166</v>
      </c>
    </row>
    <row r="189">
      <c r="A189" s="1">
        <v>188.0</v>
      </c>
      <c r="B189" s="2" t="s">
        <v>1170</v>
      </c>
    </row>
    <row r="190">
      <c r="A190" s="1">
        <v>189.0</v>
      </c>
      <c r="B190" s="2" t="s">
        <v>1174</v>
      </c>
    </row>
    <row r="191">
      <c r="A191" s="1">
        <v>190.0</v>
      </c>
      <c r="B191" s="2" t="s">
        <v>1178</v>
      </c>
    </row>
    <row r="192">
      <c r="A192" s="1">
        <v>191.0</v>
      </c>
      <c r="B192" s="2" t="s">
        <v>1182</v>
      </c>
    </row>
    <row r="193">
      <c r="A193" s="1">
        <v>192.0</v>
      </c>
      <c r="B193" s="2" t="s">
        <v>1186</v>
      </c>
    </row>
    <row r="194">
      <c r="A194" s="1">
        <v>193.0</v>
      </c>
      <c r="B194" s="2" t="s">
        <v>1190</v>
      </c>
    </row>
    <row r="195">
      <c r="A195" s="1">
        <v>194.0</v>
      </c>
      <c r="B195" s="2" t="s">
        <v>1194</v>
      </c>
    </row>
    <row r="196">
      <c r="A196" s="1">
        <v>195.0</v>
      </c>
      <c r="B196" s="2" t="s">
        <v>1198</v>
      </c>
    </row>
    <row r="197">
      <c r="A197" s="1">
        <v>196.0</v>
      </c>
      <c r="B197" s="2" t="s">
        <v>1202</v>
      </c>
    </row>
    <row r="198">
      <c r="A198" s="1">
        <v>197.0</v>
      </c>
      <c r="B198" s="2" t="s">
        <v>1206</v>
      </c>
    </row>
    <row r="199">
      <c r="A199" s="1">
        <v>198.0</v>
      </c>
      <c r="B199" s="2" t="s">
        <v>1210</v>
      </c>
    </row>
    <row r="200">
      <c r="A200" s="1">
        <v>199.0</v>
      </c>
      <c r="B200" s="2" t="s">
        <v>1214</v>
      </c>
    </row>
    <row r="201">
      <c r="A201" s="1">
        <v>200.0</v>
      </c>
      <c r="B201" s="2" t="s">
        <v>1218</v>
      </c>
    </row>
    <row r="202">
      <c r="A202" s="1">
        <v>201.0</v>
      </c>
      <c r="B202" s="2" t="s">
        <v>1222</v>
      </c>
    </row>
    <row r="203">
      <c r="A203" s="1">
        <v>202.0</v>
      </c>
      <c r="B203" s="2" t="s">
        <v>1226</v>
      </c>
    </row>
    <row r="204">
      <c r="A204" s="1">
        <v>203.0</v>
      </c>
      <c r="B204" s="2" t="s">
        <v>1230</v>
      </c>
    </row>
    <row r="205">
      <c r="A205" s="1">
        <v>204.0</v>
      </c>
      <c r="B205" s="2" t="s">
        <v>1234</v>
      </c>
    </row>
    <row r="206">
      <c r="A206" s="1">
        <v>205.0</v>
      </c>
      <c r="B206" s="2" t="s">
        <v>1238</v>
      </c>
    </row>
    <row r="207">
      <c r="A207" s="1">
        <v>206.0</v>
      </c>
      <c r="B207" s="2" t="s">
        <v>1242</v>
      </c>
    </row>
    <row r="208">
      <c r="A208" s="1">
        <v>2.0</v>
      </c>
    </row>
    <row r="212">
      <c r="A212" s="1">
        <v>3.0</v>
      </c>
    </row>
    <row r="1004">
      <c r="A1004" s="1"/>
    </row>
    <row r="1005">
      <c r="A1005" s="1"/>
    </row>
    <row r="1006">
      <c r="A1006" s="1"/>
    </row>
    <row r="1007">
      <c r="A1007" s="1"/>
    </row>
    <row r="1008">
      <c r="A1008" s="1"/>
    </row>
    <row r="1009">
      <c r="A1009" s="1"/>
    </row>
    <row r="1010">
      <c r="A1010" s="1"/>
    </row>
    <row r="1011">
      <c r="A1011" s="1"/>
    </row>
    <row r="1012">
      <c r="A1012" s="1"/>
    </row>
    <row r="1013">
      <c r="A1013" s="1"/>
    </row>
    <row r="1014">
      <c r="A1014" s="1"/>
    </row>
    <row r="1015">
      <c r="A1015" s="1"/>
    </row>
    <row r="1016">
      <c r="A1016" s="1"/>
    </row>
    <row r="1017">
      <c r="A1017" s="1"/>
    </row>
    <row r="1018">
      <c r="A1018" s="1"/>
    </row>
    <row r="1019">
      <c r="A1019" s="1"/>
    </row>
    <row r="1020">
      <c r="A1020" s="1"/>
    </row>
    <row r="1021">
      <c r="A1021" s="1"/>
    </row>
    <row r="1022">
      <c r="A1022" s="1"/>
    </row>
    <row r="1023">
      <c r="A1023" s="1"/>
    </row>
    <row r="1024">
      <c r="A1024" s="1"/>
    </row>
    <row r="1025">
      <c r="A1025" s="1"/>
    </row>
    <row r="1026">
      <c r="A1026" s="1"/>
    </row>
    <row r="1027">
      <c r="A1027" s="1"/>
    </row>
    <row r="1028">
      <c r="A1028" s="1"/>
    </row>
    <row r="1029">
      <c r="A1029" s="1"/>
    </row>
    <row r="1030">
      <c r="A1030" s="1"/>
    </row>
    <row r="1031">
      <c r="A1031" s="1"/>
    </row>
    <row r="1032">
      <c r="A1032" s="1"/>
    </row>
    <row r="1033">
      <c r="A1033" s="1"/>
    </row>
    <row r="1034">
      <c r="A1034" s="1"/>
    </row>
    <row r="1035">
      <c r="A1035" s="1"/>
    </row>
    <row r="1036">
      <c r="A1036" s="1"/>
    </row>
    <row r="1037">
      <c r="A1037" s="1"/>
    </row>
    <row r="1038">
      <c r="A1038" s="1"/>
    </row>
    <row r="1039">
      <c r="A1039" s="1"/>
    </row>
    <row r="1040">
      <c r="A1040" s="1"/>
    </row>
    <row r="1041">
      <c r="A1041" s="1"/>
    </row>
    <row r="1042">
      <c r="A1042" s="1"/>
    </row>
    <row r="1043">
      <c r="A1043" s="1"/>
    </row>
    <row r="1044">
      <c r="A1044" s="1"/>
    </row>
    <row r="1045">
      <c r="A1045" s="1"/>
    </row>
    <row r="1046">
      <c r="A1046" s="1"/>
    </row>
    <row r="1047">
      <c r="A1047" s="1"/>
    </row>
    <row r="1048">
      <c r="A1048" s="1"/>
    </row>
    <row r="1049">
      <c r="A1049" s="1"/>
    </row>
    <row r="1050">
      <c r="A1050" s="1"/>
    </row>
    <row r="1051">
      <c r="A1051" s="1"/>
    </row>
    <row r="1052">
      <c r="A1052" s="1"/>
    </row>
    <row r="1053">
      <c r="A1053" s="1"/>
    </row>
    <row r="1054">
      <c r="A1054" s="1"/>
    </row>
    <row r="1055">
      <c r="A1055" s="1"/>
    </row>
    <row r="1056">
      <c r="A1056" s="1"/>
    </row>
    <row r="1057">
      <c r="A1057" s="1"/>
    </row>
    <row r="1058">
      <c r="A1058" s="1"/>
    </row>
    <row r="1059">
      <c r="A1059" s="1"/>
    </row>
    <row r="1060">
      <c r="A1060" s="1"/>
    </row>
    <row r="1061">
      <c r="A1061" s="1"/>
    </row>
    <row r="1062">
      <c r="A1062" s="1"/>
    </row>
    <row r="1063">
      <c r="A1063" s="1"/>
    </row>
    <row r="1064">
      <c r="A1064" s="1"/>
    </row>
    <row r="1065">
      <c r="A1065" s="1"/>
    </row>
    <row r="1066">
      <c r="A1066" s="1"/>
    </row>
    <row r="1067">
      <c r="A1067" s="1"/>
    </row>
    <row r="1068">
      <c r="A1068" s="1"/>
    </row>
    <row r="1069">
      <c r="A1069" s="1"/>
    </row>
    <row r="1070">
      <c r="A1070" s="1"/>
    </row>
    <row r="1071">
      <c r="A1071" s="1"/>
    </row>
    <row r="1072">
      <c r="A1072" s="1"/>
    </row>
    <row r="1073">
      <c r="A1073" s="1"/>
    </row>
    <row r="1074">
      <c r="A1074" s="1"/>
    </row>
    <row r="1075">
      <c r="A1075" s="1"/>
    </row>
    <row r="1076">
      <c r="A1076" s="1"/>
    </row>
    <row r="1077">
      <c r="A1077" s="1"/>
    </row>
    <row r="1078">
      <c r="A1078" s="1"/>
    </row>
    <row r="1079">
      <c r="A1079" s="1"/>
    </row>
    <row r="1080">
      <c r="A1080" s="1"/>
    </row>
    <row r="1081">
      <c r="A1081" s="1"/>
    </row>
    <row r="1082">
      <c r="A1082" s="1"/>
    </row>
    <row r="1083">
      <c r="A1083" s="1"/>
    </row>
    <row r="1084">
      <c r="A1084" s="1"/>
    </row>
    <row r="1085">
      <c r="A1085" s="1"/>
    </row>
    <row r="1086">
      <c r="A1086" s="1"/>
    </row>
    <row r="1087">
      <c r="A1087" s="1"/>
    </row>
    <row r="1088">
      <c r="A1088" s="1"/>
    </row>
    <row r="1089">
      <c r="A1089" s="1"/>
    </row>
    <row r="1090">
      <c r="A1090" s="1"/>
    </row>
    <row r="1091">
      <c r="A1091" s="1"/>
    </row>
    <row r="1092">
      <c r="A1092" s="1"/>
    </row>
    <row r="1093">
      <c r="A1093" s="1"/>
    </row>
    <row r="1094">
      <c r="A1094" s="1"/>
    </row>
    <row r="1095">
      <c r="A1095" s="1"/>
    </row>
    <row r="1096">
      <c r="A1096" s="1"/>
    </row>
    <row r="1097">
      <c r="A1097" s="1"/>
    </row>
    <row r="1098">
      <c r="A1098" s="1"/>
    </row>
    <row r="1099">
      <c r="A1099" s="1"/>
    </row>
    <row r="1100">
      <c r="A1100" s="1"/>
    </row>
    <row r="1101">
      <c r="A1101" s="1"/>
    </row>
    <row r="1102">
      <c r="A1102" s="1"/>
    </row>
    <row r="1103">
      <c r="A1103" s="1"/>
    </row>
    <row r="1104">
      <c r="A1104" s="1"/>
    </row>
    <row r="1105">
      <c r="A1105" s="1"/>
    </row>
    <row r="1106">
      <c r="A1106" s="1"/>
    </row>
    <row r="1107">
      <c r="A1107" s="1"/>
    </row>
    <row r="1108">
      <c r="A1108" s="1"/>
    </row>
    <row r="1109">
      <c r="A1109" s="1"/>
    </row>
    <row r="1110">
      <c r="A1110" s="1"/>
    </row>
    <row r="1111">
      <c r="A1111" s="1"/>
    </row>
    <row r="1112">
      <c r="A1112" s="1"/>
    </row>
    <row r="1113">
      <c r="A1113" s="1"/>
    </row>
    <row r="1114">
      <c r="A1114" s="1"/>
    </row>
    <row r="1115">
      <c r="A1115" s="1"/>
    </row>
    <row r="1116">
      <c r="A1116" s="1"/>
    </row>
    <row r="1117">
      <c r="A1117" s="1"/>
    </row>
    <row r="1118">
      <c r="A1118" s="1"/>
    </row>
    <row r="1119">
      <c r="A1119" s="1"/>
    </row>
    <row r="1120">
      <c r="A1120" s="1"/>
    </row>
    <row r="1121">
      <c r="A1121" s="1"/>
    </row>
    <row r="1122">
      <c r="A1122" s="1"/>
    </row>
    <row r="1123">
      <c r="A1123" s="1"/>
    </row>
    <row r="1124">
      <c r="A1124" s="1"/>
    </row>
    <row r="1125">
      <c r="A1125" s="1"/>
    </row>
    <row r="1126">
      <c r="A1126" s="1"/>
    </row>
    <row r="1127">
      <c r="A1127" s="1"/>
    </row>
    <row r="1128">
      <c r="A1128" s="1"/>
    </row>
    <row r="1129">
      <c r="A1129" s="1"/>
    </row>
    <row r="1130">
      <c r="A1130" s="1"/>
    </row>
    <row r="1131">
      <c r="A1131" s="1"/>
    </row>
    <row r="1132">
      <c r="A1132" s="1"/>
    </row>
    <row r="1133">
      <c r="A1133" s="1"/>
    </row>
    <row r="1134">
      <c r="A1134" s="1"/>
    </row>
    <row r="1135">
      <c r="A1135" s="1"/>
    </row>
    <row r="1136">
      <c r="A1136" s="1"/>
    </row>
    <row r="1137">
      <c r="A1137" s="1"/>
    </row>
    <row r="1138">
      <c r="A1138" s="1"/>
    </row>
    <row r="1139">
      <c r="A1139" s="1"/>
    </row>
    <row r="1140">
      <c r="A1140" s="1"/>
    </row>
    <row r="1141">
      <c r="A1141" s="1"/>
    </row>
    <row r="1142">
      <c r="A1142" s="1"/>
    </row>
    <row r="1143">
      <c r="A1143" s="1"/>
    </row>
    <row r="1144">
      <c r="A1144" s="1"/>
    </row>
    <row r="1145">
      <c r="A1145" s="1"/>
    </row>
    <row r="1146">
      <c r="A1146" s="1"/>
    </row>
    <row r="1147">
      <c r="A1147" s="1"/>
    </row>
    <row r="1148">
      <c r="A1148" s="1"/>
    </row>
    <row r="1149">
      <c r="A1149" s="1"/>
    </row>
    <row r="1150">
      <c r="A1150" s="1"/>
    </row>
    <row r="1151">
      <c r="A1151" s="1"/>
    </row>
    <row r="1152">
      <c r="A1152" s="1"/>
    </row>
    <row r="1153">
      <c r="A1153" s="1"/>
    </row>
    <row r="1154">
      <c r="A1154" s="1"/>
    </row>
    <row r="1155">
      <c r="A1155" s="1"/>
    </row>
    <row r="1156">
      <c r="A1156" s="1"/>
    </row>
    <row r="1157">
      <c r="A1157" s="1"/>
    </row>
    <row r="1158">
      <c r="A1158" s="1"/>
    </row>
    <row r="1159">
      <c r="A1159" s="1"/>
    </row>
    <row r="1160">
      <c r="A1160" s="1"/>
    </row>
    <row r="1161">
      <c r="A1161" s="1"/>
    </row>
    <row r="1162">
      <c r="A1162" s="1"/>
    </row>
    <row r="1163">
      <c r="A1163" s="1"/>
    </row>
    <row r="1164">
      <c r="A1164" s="1"/>
    </row>
    <row r="1165">
      <c r="A1165" s="1"/>
    </row>
    <row r="1166">
      <c r="A1166" s="1"/>
    </row>
    <row r="1167">
      <c r="A1167" s="1"/>
    </row>
    <row r="1168">
      <c r="A1168" s="1"/>
    </row>
    <row r="1169">
      <c r="A1169" s="1"/>
    </row>
    <row r="1170">
      <c r="A1170" s="1"/>
    </row>
    <row r="1171">
      <c r="A1171" s="1"/>
    </row>
    <row r="1172">
      <c r="A1172" s="1"/>
    </row>
    <row r="1173">
      <c r="A1173" s="1"/>
    </row>
    <row r="1174">
      <c r="A1174" s="1"/>
    </row>
    <row r="1175">
      <c r="A1175" s="1"/>
    </row>
    <row r="1176">
      <c r="A1176" s="1"/>
    </row>
    <row r="1177">
      <c r="A1177" s="1"/>
    </row>
    <row r="1178">
      <c r="A1178" s="1"/>
    </row>
    <row r="1179">
      <c r="A1179" s="1"/>
    </row>
    <row r="1180">
      <c r="A1180" s="1"/>
    </row>
    <row r="1181">
      <c r="A1181" s="1"/>
    </row>
    <row r="1182">
      <c r="A1182" s="1"/>
    </row>
    <row r="1183">
      <c r="A1183" s="1"/>
    </row>
    <row r="1184">
      <c r="A1184" s="1"/>
    </row>
    <row r="1185">
      <c r="A1185" s="1"/>
    </row>
    <row r="1186">
      <c r="A1186" s="1"/>
    </row>
    <row r="1187">
      <c r="A1187" s="1"/>
    </row>
    <row r="1188">
      <c r="A1188" s="1"/>
    </row>
    <row r="1189">
      <c r="A1189" s="1"/>
    </row>
    <row r="1190">
      <c r="A1190" s="1"/>
    </row>
    <row r="1191">
      <c r="A1191" s="1"/>
    </row>
    <row r="1192">
      <c r="A1192" s="1"/>
    </row>
    <row r="1193">
      <c r="A1193" s="1"/>
    </row>
    <row r="1194">
      <c r="A1194" s="1"/>
    </row>
    <row r="1195">
      <c r="A1195" s="1"/>
    </row>
    <row r="1196">
      <c r="A1196" s="1"/>
    </row>
    <row r="1197">
      <c r="A1197" s="1"/>
    </row>
    <row r="1198">
      <c r="A1198" s="1"/>
    </row>
    <row r="1199">
      <c r="A1199" s="1"/>
    </row>
    <row r="1200">
      <c r="A1200" s="1"/>
    </row>
    <row r="1201">
      <c r="A1201" s="1"/>
    </row>
    <row r="1202">
      <c r="A1202" s="1"/>
    </row>
    <row r="1203">
      <c r="A1203" s="1"/>
    </row>
    <row r="1204">
      <c r="A1204" s="1"/>
    </row>
    <row r="1205">
      <c r="A1205" s="1"/>
    </row>
    <row r="1206">
      <c r="A1206" s="1"/>
    </row>
    <row r="1207">
      <c r="A1207" s="1"/>
    </row>
    <row r="1208">
      <c r="A1208" s="1"/>
    </row>
    <row r="1209">
      <c r="A1209" s="1"/>
    </row>
    <row r="1210">
      <c r="A1210" s="1"/>
    </row>
    <row r="1211">
      <c r="A1211" s="1"/>
    </row>
    <row r="1212">
      <c r="A1212" s="1"/>
    </row>
    <row r="1213">
      <c r="A1213" s="1"/>
    </row>
    <row r="1214">
      <c r="A1214" s="1"/>
    </row>
    <row r="1215">
      <c r="A1215" s="1"/>
    </row>
    <row r="1216">
      <c r="A1216" s="1"/>
    </row>
    <row r="1217">
      <c r="A1217" s="1"/>
    </row>
    <row r="1218">
      <c r="A1218" s="1"/>
    </row>
    <row r="1219">
      <c r="A1219" s="1"/>
    </row>
    <row r="1220">
      <c r="A1220" s="1"/>
    </row>
    <row r="1221">
      <c r="A1221" s="1"/>
    </row>
    <row r="1222">
      <c r="A1222" s="1"/>
    </row>
    <row r="1223">
      <c r="A1223" s="1"/>
    </row>
    <row r="1224">
      <c r="A1224" s="1"/>
    </row>
    <row r="1225">
      <c r="A1225" s="1"/>
    </row>
    <row r="1226">
      <c r="A1226" s="1"/>
    </row>
    <row r="1227">
      <c r="A1227" s="1"/>
    </row>
    <row r="1228">
      <c r="A1228" s="1"/>
    </row>
    <row r="1229">
      <c r="A1229" s="1"/>
    </row>
    <row r="1230">
      <c r="A1230" s="1"/>
    </row>
    <row r="1231">
      <c r="A1231" s="1"/>
    </row>
    <row r="1232">
      <c r="A1232" s="1"/>
    </row>
    <row r="1233">
      <c r="A1233" s="1"/>
    </row>
    <row r="1234">
      <c r="A1234" s="1"/>
    </row>
    <row r="1235">
      <c r="A1235" s="1"/>
    </row>
    <row r="1236">
      <c r="A1236" s="1"/>
    </row>
    <row r="1237">
      <c r="A1237" s="1"/>
    </row>
    <row r="1238">
      <c r="A1238" s="1"/>
    </row>
    <row r="1239">
      <c r="A1239" s="1"/>
    </row>
    <row r="1240">
      <c r="A1240" s="1"/>
    </row>
    <row r="1241">
      <c r="A1241" s="1"/>
    </row>
    <row r="1242">
      <c r="A1242" s="1"/>
    </row>
    <row r="1243">
      <c r="A1243" s="1"/>
    </row>
    <row r="1244">
      <c r="A1244" s="1"/>
    </row>
    <row r="1245">
      <c r="A1245" s="1"/>
    </row>
    <row r="1246">
      <c r="A1246" s="1"/>
    </row>
    <row r="1247">
      <c r="A1247" s="1"/>
    </row>
    <row r="1248">
      <c r="A1248" s="1"/>
    </row>
    <row r="1249">
      <c r="A1249" s="1"/>
    </row>
    <row r="1250">
      <c r="A1250" s="1"/>
    </row>
    <row r="1251">
      <c r="A1251" s="1"/>
    </row>
    <row r="1252">
      <c r="A1252" s="1"/>
    </row>
    <row r="1253">
      <c r="A1253" s="1"/>
    </row>
    <row r="1254">
      <c r="A1254" s="1"/>
    </row>
    <row r="1255">
      <c r="A1255" s="1"/>
    </row>
    <row r="1256">
      <c r="A1256" s="1"/>
    </row>
    <row r="1257">
      <c r="A1257" s="1"/>
    </row>
    <row r="1258">
      <c r="A1258" s="1"/>
    </row>
    <row r="1259">
      <c r="A1259" s="1"/>
    </row>
    <row r="1260">
      <c r="A1260" s="1"/>
    </row>
    <row r="1261">
      <c r="A1261" s="1"/>
    </row>
    <row r="1262">
      <c r="A1262" s="1"/>
    </row>
    <row r="1263">
      <c r="A1263" s="1"/>
    </row>
    <row r="1264">
      <c r="A1264" s="1"/>
    </row>
    <row r="1265">
      <c r="A1265" s="1"/>
    </row>
    <row r="1266">
      <c r="A1266" s="1"/>
    </row>
    <row r="1267">
      <c r="A1267" s="1"/>
    </row>
    <row r="1268">
      <c r="A1268" s="1"/>
    </row>
    <row r="1269">
      <c r="A1269" s="1"/>
    </row>
    <row r="1270">
      <c r="A1270" s="1"/>
    </row>
    <row r="1271">
      <c r="A1271" s="1"/>
    </row>
    <row r="1272">
      <c r="A1272" s="1"/>
    </row>
    <row r="1273">
      <c r="A1273" s="1"/>
    </row>
    <row r="1274">
      <c r="A1274" s="1"/>
    </row>
    <row r="1275">
      <c r="A1275" s="1"/>
    </row>
    <row r="1276">
      <c r="A1276" s="1"/>
    </row>
    <row r="1277">
      <c r="A1277" s="1"/>
    </row>
    <row r="1278">
      <c r="A1278" s="1"/>
    </row>
    <row r="1279">
      <c r="A1279" s="1"/>
    </row>
    <row r="1280">
      <c r="A1280" s="1"/>
    </row>
    <row r="1281">
      <c r="A1281" s="1"/>
    </row>
    <row r="1282">
      <c r="A1282" s="1"/>
    </row>
    <row r="1283">
      <c r="A1283" s="1"/>
    </row>
    <row r="1284">
      <c r="A1284" s="1"/>
    </row>
    <row r="1285">
      <c r="A1285" s="1"/>
    </row>
    <row r="1286">
      <c r="A1286" s="1"/>
    </row>
    <row r="1287">
      <c r="A1287" s="1"/>
    </row>
    <row r="1288">
      <c r="A1288" s="1"/>
    </row>
    <row r="1289">
      <c r="A1289" s="1"/>
    </row>
    <row r="1290">
      <c r="A1290" s="1"/>
    </row>
    <row r="1291">
      <c r="A1291" s="1"/>
    </row>
    <row r="1292">
      <c r="A1292" s="1"/>
    </row>
    <row r="1293">
      <c r="A1293" s="1"/>
    </row>
    <row r="1294">
      <c r="A1294" s="1"/>
    </row>
    <row r="1295">
      <c r="A1295" s="1"/>
    </row>
    <row r="1296">
      <c r="A1296" s="1"/>
    </row>
    <row r="1297">
      <c r="A1297" s="1"/>
    </row>
    <row r="1298">
      <c r="A1298" s="1"/>
    </row>
    <row r="1299">
      <c r="A1299" s="1"/>
    </row>
    <row r="1300">
      <c r="A1300" s="1"/>
    </row>
    <row r="1301">
      <c r="A1301" s="1"/>
    </row>
    <row r="1302">
      <c r="A1302" s="1"/>
    </row>
    <row r="1303">
      <c r="A1303" s="1"/>
    </row>
    <row r="1304">
      <c r="A1304" s="1"/>
    </row>
    <row r="1305">
      <c r="A1305" s="1"/>
    </row>
    <row r="1306">
      <c r="A1306" s="1"/>
    </row>
    <row r="1307">
      <c r="A1307" s="1"/>
    </row>
    <row r="1308">
      <c r="A1308" s="1"/>
    </row>
    <row r="1309">
      <c r="A1309" s="1"/>
    </row>
    <row r="1310">
      <c r="A1310" s="1"/>
    </row>
    <row r="1311">
      <c r="A1311" s="1"/>
    </row>
    <row r="1312">
      <c r="A1312" s="1"/>
    </row>
    <row r="1313">
      <c r="A1313" s="1"/>
    </row>
    <row r="1314">
      <c r="A1314" s="1"/>
    </row>
    <row r="1315">
      <c r="A1315" s="1"/>
    </row>
    <row r="1316">
      <c r="A1316" s="1"/>
    </row>
    <row r="1317">
      <c r="A1317" s="1"/>
    </row>
    <row r="1318">
      <c r="A1318" s="1"/>
    </row>
    <row r="1319">
      <c r="A1319" s="1"/>
    </row>
    <row r="1320">
      <c r="A1320" s="1"/>
    </row>
    <row r="1321">
      <c r="A1321" s="1"/>
    </row>
    <row r="1322">
      <c r="A1322" s="1"/>
    </row>
    <row r="1323">
      <c r="A1323" s="1"/>
    </row>
    <row r="1324">
      <c r="A1324" s="1"/>
    </row>
    <row r="1325">
      <c r="A1325" s="1"/>
    </row>
    <row r="1326">
      <c r="A1326" s="1"/>
    </row>
    <row r="1327">
      <c r="A1327" s="1"/>
    </row>
    <row r="1328">
      <c r="A1328" s="1"/>
    </row>
    <row r="1329">
      <c r="A1329" s="1"/>
    </row>
    <row r="1330">
      <c r="A1330" s="1"/>
    </row>
    <row r="1331">
      <c r="A1331" s="1"/>
    </row>
    <row r="1332">
      <c r="A1332" s="1"/>
    </row>
    <row r="1333">
      <c r="A1333" s="1"/>
    </row>
    <row r="1334">
      <c r="A1334" s="1"/>
    </row>
    <row r="1335">
      <c r="A1335" s="1"/>
    </row>
    <row r="1336">
      <c r="A1336" s="1"/>
    </row>
    <row r="1337">
      <c r="A1337" s="1"/>
    </row>
    <row r="1338">
      <c r="A1338" s="1"/>
    </row>
    <row r="1339">
      <c r="A1339" s="1"/>
    </row>
    <row r="1340">
      <c r="A1340" s="1"/>
    </row>
    <row r="1341">
      <c r="A1341" s="1"/>
    </row>
    <row r="1342">
      <c r="A1342" s="1"/>
    </row>
    <row r="1343">
      <c r="A1343" s="1"/>
    </row>
    <row r="1344">
      <c r="A1344" s="1"/>
    </row>
    <row r="1345">
      <c r="A1345" s="1"/>
    </row>
    <row r="1346">
      <c r="A1346" s="1"/>
    </row>
    <row r="1347">
      <c r="A1347" s="1"/>
    </row>
    <row r="1348">
      <c r="A1348" s="1"/>
    </row>
    <row r="1349">
      <c r="A1349" s="1"/>
    </row>
    <row r="1350">
      <c r="A1350" s="1"/>
    </row>
    <row r="1351">
      <c r="A1351" s="1"/>
    </row>
    <row r="1352">
      <c r="A1352" s="1"/>
    </row>
    <row r="1353">
      <c r="A1353" s="1"/>
    </row>
    <row r="1354">
      <c r="A1354" s="1"/>
    </row>
    <row r="1355">
      <c r="A1355" s="1"/>
    </row>
    <row r="1356">
      <c r="A1356" s="1"/>
    </row>
    <row r="1357">
      <c r="A1357" s="1"/>
    </row>
    <row r="1358">
      <c r="A1358" s="1"/>
    </row>
    <row r="1359">
      <c r="A1359" s="1"/>
    </row>
    <row r="1360">
      <c r="A1360" s="1"/>
    </row>
    <row r="1361">
      <c r="A1361" s="1"/>
    </row>
    <row r="1362">
      <c r="A1362" s="1"/>
    </row>
    <row r="1363">
      <c r="A1363" s="1"/>
    </row>
    <row r="1364">
      <c r="A1364" s="1"/>
    </row>
    <row r="1365">
      <c r="A1365" s="1"/>
    </row>
    <row r="1366">
      <c r="A1366" s="1"/>
    </row>
    <row r="1367">
      <c r="A1367" s="1"/>
    </row>
    <row r="1368">
      <c r="A1368" s="1"/>
    </row>
    <row r="1369">
      <c r="A1369" s="1"/>
    </row>
    <row r="1370">
      <c r="A1370" s="1"/>
    </row>
    <row r="1371">
      <c r="A1371" s="1"/>
    </row>
    <row r="1372">
      <c r="A1372" s="1"/>
    </row>
    <row r="1373">
      <c r="A1373" s="1"/>
    </row>
    <row r="1374">
      <c r="A1374" s="1"/>
    </row>
    <row r="1375">
      <c r="A1375" s="1"/>
    </row>
    <row r="1376">
      <c r="A1376" s="1"/>
    </row>
    <row r="1377">
      <c r="A1377" s="1"/>
    </row>
    <row r="1378">
      <c r="A1378" s="1"/>
    </row>
    <row r="1379">
      <c r="A1379" s="1"/>
    </row>
    <row r="1380">
      <c r="A1380" s="1"/>
    </row>
    <row r="1381">
      <c r="A1381" s="1"/>
    </row>
    <row r="1382">
      <c r="A1382" s="1"/>
    </row>
    <row r="1383">
      <c r="A1383" s="1"/>
    </row>
    <row r="1384">
      <c r="A1384" s="1"/>
    </row>
    <row r="1385">
      <c r="A1385" s="1"/>
    </row>
    <row r="1386">
      <c r="A1386" s="1"/>
    </row>
    <row r="1387">
      <c r="A1387" s="1"/>
    </row>
    <row r="1388">
      <c r="A1388" s="1"/>
    </row>
    <row r="1389">
      <c r="A1389" s="1"/>
    </row>
    <row r="1390">
      <c r="A1390" s="1"/>
    </row>
    <row r="1391">
      <c r="A1391" s="1"/>
    </row>
    <row r="1392">
      <c r="A1392" s="1"/>
    </row>
    <row r="1393">
      <c r="A1393" s="1"/>
    </row>
    <row r="1394">
      <c r="A1394" s="1"/>
    </row>
    <row r="1395">
      <c r="A1395" s="1"/>
    </row>
    <row r="1396">
      <c r="A1396" s="1"/>
    </row>
    <row r="1397">
      <c r="A1397" s="1"/>
    </row>
    <row r="1398">
      <c r="A1398" s="1"/>
    </row>
    <row r="1399">
      <c r="A1399" s="1"/>
    </row>
    <row r="1400">
      <c r="A1400" s="1"/>
    </row>
    <row r="1401">
      <c r="A1401" s="1"/>
    </row>
    <row r="1402">
      <c r="A1402" s="1"/>
    </row>
    <row r="1403">
      <c r="A1403" s="1"/>
    </row>
    <row r="1404">
      <c r="A1404" s="1"/>
    </row>
    <row r="1405">
      <c r="A1405" s="1"/>
    </row>
    <row r="1406">
      <c r="A1406" s="1"/>
    </row>
    <row r="1407">
      <c r="A1407" s="1"/>
    </row>
    <row r="1408">
      <c r="A1408" s="1"/>
    </row>
    <row r="1409">
      <c r="A1409" s="1"/>
    </row>
    <row r="1410">
      <c r="A1410" s="1"/>
    </row>
    <row r="1411">
      <c r="A1411" s="1"/>
    </row>
    <row r="1412">
      <c r="A1412" s="1"/>
    </row>
    <row r="1413">
      <c r="A1413" s="1"/>
    </row>
    <row r="1414">
      <c r="A1414" s="1"/>
    </row>
    <row r="1415">
      <c r="A1415" s="1"/>
    </row>
    <row r="1416">
      <c r="A1416" s="1"/>
    </row>
    <row r="1417">
      <c r="A1417" s="1"/>
    </row>
    <row r="1418">
      <c r="A1418" s="1"/>
    </row>
    <row r="1419">
      <c r="A1419" s="1"/>
    </row>
    <row r="1420">
      <c r="A1420" s="1"/>
    </row>
    <row r="1421">
      <c r="A1421" s="1"/>
    </row>
    <row r="1422">
      <c r="A1422" s="1"/>
    </row>
    <row r="1423">
      <c r="A1423" s="1"/>
    </row>
    <row r="1424">
      <c r="A1424" s="1"/>
    </row>
    <row r="1425">
      <c r="A1425" s="1"/>
    </row>
    <row r="1426">
      <c r="A1426" s="1"/>
    </row>
    <row r="1427">
      <c r="A1427" s="1"/>
    </row>
    <row r="1428">
      <c r="A1428" s="1"/>
    </row>
    <row r="1429">
      <c r="A1429" s="1"/>
    </row>
    <row r="1430">
      <c r="A1430" s="1"/>
    </row>
    <row r="1431">
      <c r="A1431" s="1"/>
    </row>
    <row r="1432">
      <c r="A1432" s="1"/>
    </row>
    <row r="1433">
      <c r="A1433" s="1"/>
    </row>
    <row r="1434">
      <c r="A1434" s="1"/>
    </row>
    <row r="1435">
      <c r="A1435" s="1"/>
    </row>
    <row r="1436">
      <c r="A1436" s="1"/>
    </row>
    <row r="1437">
      <c r="A1437" s="1"/>
    </row>
    <row r="1438">
      <c r="A1438" s="1"/>
    </row>
    <row r="1439">
      <c r="A1439" s="1"/>
    </row>
    <row r="1440">
      <c r="A1440" s="1"/>
    </row>
    <row r="1441">
      <c r="A1441" s="1"/>
    </row>
    <row r="1442">
      <c r="A1442" s="1"/>
    </row>
    <row r="1443">
      <c r="A1443" s="1"/>
    </row>
    <row r="1444">
      <c r="A1444" s="1"/>
    </row>
    <row r="1445">
      <c r="A1445" s="1"/>
    </row>
    <row r="1446">
      <c r="A1446" s="1"/>
    </row>
    <row r="1447">
      <c r="A1447" s="1"/>
    </row>
    <row r="1448">
      <c r="A1448" s="1"/>
    </row>
    <row r="1449">
      <c r="A1449" s="1"/>
    </row>
    <row r="1450">
      <c r="A1450" s="1"/>
    </row>
    <row r="1451">
      <c r="A1451" s="1"/>
    </row>
    <row r="1452">
      <c r="A1452" s="1"/>
    </row>
    <row r="1453">
      <c r="A1453" s="1"/>
    </row>
    <row r="1454">
      <c r="A1454" s="1"/>
    </row>
    <row r="1455">
      <c r="A1455" s="1"/>
    </row>
    <row r="1456">
      <c r="A1456" s="1"/>
    </row>
    <row r="1457">
      <c r="A1457" s="1"/>
    </row>
    <row r="1458">
      <c r="A1458" s="1"/>
    </row>
    <row r="1459">
      <c r="A1459" s="1"/>
    </row>
    <row r="1460">
      <c r="A1460" s="1"/>
    </row>
    <row r="1461">
      <c r="A1461" s="1"/>
    </row>
    <row r="1462">
      <c r="A1462" s="1"/>
    </row>
    <row r="1463">
      <c r="A1463" s="1"/>
    </row>
    <row r="1464">
      <c r="A1464" s="1"/>
    </row>
    <row r="1465">
      <c r="A1465" s="1"/>
    </row>
    <row r="1466">
      <c r="A1466" s="1"/>
    </row>
    <row r="1467">
      <c r="A1467" s="1"/>
    </row>
    <row r="1468">
      <c r="A1468" s="1"/>
    </row>
    <row r="1469">
      <c r="A1469" s="1"/>
    </row>
    <row r="1470">
      <c r="A1470" s="1"/>
    </row>
    <row r="1471">
      <c r="A1471" s="1"/>
    </row>
    <row r="1472">
      <c r="A1472" s="1"/>
    </row>
    <row r="1473">
      <c r="A1473" s="1"/>
    </row>
    <row r="1474">
      <c r="A1474" s="1"/>
    </row>
    <row r="1475">
      <c r="A1475" s="1"/>
    </row>
    <row r="1476">
      <c r="A1476" s="1"/>
    </row>
    <row r="1477">
      <c r="A1477" s="1"/>
    </row>
    <row r="1478">
      <c r="A1478" s="1"/>
    </row>
    <row r="1479">
      <c r="A1479" s="1"/>
    </row>
    <row r="1480">
      <c r="A1480" s="1"/>
    </row>
    <row r="1481">
      <c r="A1481" s="1"/>
    </row>
    <row r="1482">
      <c r="A1482" s="1"/>
    </row>
    <row r="1483">
      <c r="A1483" s="1"/>
    </row>
    <row r="1484">
      <c r="A1484" s="1"/>
    </row>
    <row r="1485">
      <c r="A1485" s="1"/>
    </row>
    <row r="1486">
      <c r="A1486" s="1"/>
    </row>
    <row r="1487">
      <c r="A1487" s="1"/>
    </row>
    <row r="1488">
      <c r="A1488" s="1"/>
    </row>
    <row r="1489">
      <c r="A1489" s="1"/>
    </row>
    <row r="1490">
      <c r="A1490" s="1"/>
    </row>
    <row r="1491">
      <c r="A1491" s="1"/>
    </row>
    <row r="1492">
      <c r="A1492" s="1"/>
    </row>
    <row r="1493">
      <c r="A1493" s="1"/>
    </row>
    <row r="1494">
      <c r="A1494" s="1"/>
    </row>
    <row r="1495">
      <c r="A1495" s="1"/>
    </row>
    <row r="1496">
      <c r="A1496" s="1"/>
    </row>
    <row r="1497">
      <c r="A1497" s="1"/>
    </row>
    <row r="1498">
      <c r="A1498" s="1"/>
    </row>
    <row r="1499">
      <c r="A1499" s="1"/>
    </row>
    <row r="1500">
      <c r="A1500" s="1"/>
    </row>
    <row r="1501">
      <c r="A1501" s="1"/>
    </row>
    <row r="1502">
      <c r="A1502" s="1"/>
    </row>
    <row r="1503">
      <c r="A1503" s="1"/>
    </row>
    <row r="1504">
      <c r="A1504" s="1"/>
    </row>
    <row r="1505">
      <c r="A1505" s="1"/>
    </row>
    <row r="1506">
      <c r="A1506" s="1"/>
    </row>
    <row r="1507">
      <c r="A1507" s="1"/>
    </row>
    <row r="1508">
      <c r="A1508" s="1"/>
    </row>
    <row r="1509">
      <c r="A1509" s="1"/>
    </row>
    <row r="1510">
      <c r="A1510" s="1"/>
    </row>
    <row r="1511">
      <c r="A1511" s="1"/>
    </row>
    <row r="1512">
      <c r="A1512" s="1"/>
    </row>
    <row r="1513">
      <c r="A1513" s="1"/>
    </row>
    <row r="1514">
      <c r="A1514" s="1"/>
    </row>
    <row r="1515">
      <c r="A1515" s="1"/>
    </row>
    <row r="1516">
      <c r="A1516" s="1"/>
    </row>
    <row r="1517">
      <c r="A1517" s="1"/>
    </row>
    <row r="1518">
      <c r="A1518" s="1"/>
    </row>
    <row r="1519">
      <c r="A1519" s="1"/>
    </row>
    <row r="1520">
      <c r="A1520" s="1"/>
    </row>
    <row r="1521">
      <c r="A1521" s="1"/>
    </row>
    <row r="1522">
      <c r="A1522" s="1"/>
    </row>
    <row r="1523">
      <c r="A1523" s="1"/>
    </row>
    <row r="1524">
      <c r="A1524" s="1"/>
    </row>
    <row r="1525">
      <c r="A1525" s="1"/>
    </row>
    <row r="1526">
      <c r="A1526" s="1"/>
    </row>
    <row r="1527">
      <c r="A1527" s="1"/>
    </row>
    <row r="1528">
      <c r="A1528" s="1"/>
    </row>
    <row r="1529">
      <c r="A1529" s="1"/>
    </row>
    <row r="1530">
      <c r="A1530" s="1"/>
    </row>
    <row r="1531">
      <c r="A1531" s="1"/>
    </row>
    <row r="1532">
      <c r="A1532" s="1"/>
    </row>
    <row r="1533">
      <c r="A1533" s="1"/>
    </row>
    <row r="1534">
      <c r="A1534" s="1"/>
    </row>
    <row r="1535">
      <c r="A1535" s="1"/>
    </row>
    <row r="1536">
      <c r="A1536" s="1"/>
    </row>
    <row r="1537">
      <c r="A1537" s="1"/>
    </row>
    <row r="1538">
      <c r="A1538" s="1"/>
    </row>
    <row r="1539">
      <c r="A1539" s="1"/>
    </row>
    <row r="1540">
      <c r="A1540" s="1"/>
    </row>
    <row r="1541">
      <c r="A1541" s="1"/>
    </row>
    <row r="1542">
      <c r="A1542" s="1"/>
    </row>
    <row r="1543">
      <c r="A1543" s="1"/>
    </row>
    <row r="1544">
      <c r="A1544" s="1"/>
    </row>
    <row r="1545">
      <c r="A1545" s="1"/>
    </row>
    <row r="1546">
      <c r="A1546" s="1"/>
    </row>
    <row r="1547">
      <c r="A1547" s="1"/>
    </row>
    <row r="1548">
      <c r="A1548" s="1"/>
    </row>
    <row r="1549">
      <c r="A1549" s="1"/>
    </row>
    <row r="1550">
      <c r="A1550" s="1"/>
    </row>
    <row r="1551">
      <c r="A1551" s="1"/>
    </row>
    <row r="1552">
      <c r="A1552" s="1"/>
    </row>
    <row r="1553">
      <c r="A1553" s="1"/>
    </row>
    <row r="1554">
      <c r="A1554" s="1"/>
    </row>
    <row r="1555">
      <c r="A1555" s="1"/>
    </row>
    <row r="1556">
      <c r="A1556" s="1"/>
    </row>
    <row r="1557">
      <c r="A1557" s="1"/>
    </row>
    <row r="1558">
      <c r="A1558" s="1"/>
    </row>
    <row r="1559">
      <c r="A1559" s="1"/>
    </row>
    <row r="1560">
      <c r="A1560" s="1"/>
    </row>
    <row r="1561">
      <c r="A1561" s="1"/>
    </row>
    <row r="1562">
      <c r="A1562" s="1"/>
    </row>
    <row r="1563">
      <c r="A1563" s="1"/>
    </row>
    <row r="1564">
      <c r="A1564" s="1"/>
    </row>
    <row r="1565">
      <c r="A1565" s="1"/>
    </row>
    <row r="1566">
      <c r="A1566" s="1"/>
    </row>
    <row r="1567">
      <c r="A1567" s="1"/>
    </row>
    <row r="1568">
      <c r="A1568" s="1"/>
    </row>
    <row r="1569">
      <c r="A1569" s="1"/>
    </row>
    <row r="1570">
      <c r="A1570" s="1"/>
    </row>
    <row r="1571">
      <c r="A1571" s="1"/>
    </row>
    <row r="1572">
      <c r="A1572" s="1"/>
    </row>
    <row r="1573">
      <c r="A1573" s="1"/>
    </row>
    <row r="1574">
      <c r="A1574" s="1"/>
    </row>
    <row r="1575">
      <c r="A1575" s="1"/>
    </row>
    <row r="1576">
      <c r="A1576" s="1"/>
    </row>
    <row r="1577">
      <c r="A1577" s="1"/>
    </row>
    <row r="1578">
      <c r="A1578" s="1"/>
    </row>
    <row r="1579">
      <c r="A1579" s="1"/>
    </row>
    <row r="1580">
      <c r="A1580" s="1"/>
    </row>
    <row r="1581">
      <c r="A1581" s="1"/>
    </row>
    <row r="1582">
      <c r="A1582" s="1"/>
    </row>
    <row r="1583">
      <c r="A1583" s="1"/>
    </row>
    <row r="1584">
      <c r="A1584" s="1"/>
    </row>
    <row r="1585">
      <c r="A1585" s="1"/>
    </row>
    <row r="1586">
      <c r="A1586" s="1"/>
    </row>
    <row r="1587">
      <c r="A1587" s="1"/>
    </row>
    <row r="1588">
      <c r="A1588" s="1"/>
    </row>
    <row r="1589">
      <c r="A1589" s="1"/>
    </row>
    <row r="1590">
      <c r="A1590" s="1"/>
    </row>
    <row r="1591">
      <c r="A1591" s="1"/>
    </row>
    <row r="1592">
      <c r="A1592" s="1"/>
    </row>
    <row r="1593">
      <c r="A1593" s="1"/>
    </row>
    <row r="1594">
      <c r="A1594" s="1"/>
    </row>
    <row r="1595">
      <c r="A1595" s="1"/>
    </row>
    <row r="1596">
      <c r="A1596" s="1"/>
    </row>
    <row r="1597">
      <c r="A1597" s="1"/>
    </row>
    <row r="1598">
      <c r="A1598" s="1"/>
    </row>
    <row r="1599">
      <c r="A1599" s="1"/>
    </row>
    <row r="1600">
      <c r="A1600" s="1"/>
    </row>
    <row r="1601">
      <c r="A1601" s="1"/>
    </row>
    <row r="1602">
      <c r="A1602" s="1"/>
    </row>
    <row r="1603">
      <c r="A1603" s="1"/>
    </row>
    <row r="1604">
      <c r="A1604" s="1"/>
    </row>
    <row r="1605">
      <c r="A1605" s="1"/>
    </row>
    <row r="1606">
      <c r="A1606" s="1"/>
    </row>
    <row r="1607">
      <c r="A1607" s="1"/>
    </row>
    <row r="1608">
      <c r="A1608" s="1"/>
    </row>
    <row r="1609">
      <c r="A1609" s="1"/>
    </row>
    <row r="1610">
      <c r="A1610" s="1"/>
    </row>
    <row r="1611">
      <c r="A1611" s="1"/>
    </row>
    <row r="1612">
      <c r="A1612" s="1"/>
    </row>
    <row r="1613">
      <c r="A1613" s="1"/>
    </row>
    <row r="1614">
      <c r="A1614" s="1"/>
    </row>
    <row r="1615">
      <c r="A1615" s="1"/>
    </row>
    <row r="1616">
      <c r="A1616" s="1"/>
    </row>
    <row r="1617">
      <c r="A1617" s="1"/>
    </row>
    <row r="1618">
      <c r="A1618" s="1"/>
    </row>
    <row r="1619">
      <c r="A1619" s="1"/>
    </row>
    <row r="1620">
      <c r="A1620" s="1"/>
    </row>
    <row r="1621">
      <c r="A1621" s="1"/>
    </row>
    <row r="1622">
      <c r="A1622" s="1"/>
    </row>
    <row r="1623">
      <c r="A1623" s="1"/>
    </row>
    <row r="1624">
      <c r="A1624" s="1"/>
    </row>
    <row r="1625">
      <c r="A1625" s="1"/>
    </row>
    <row r="1626">
      <c r="A1626" s="1"/>
    </row>
    <row r="1627">
      <c r="A1627" s="1"/>
    </row>
    <row r="1628">
      <c r="A1628" s="1"/>
    </row>
    <row r="1629">
      <c r="A1629" s="1"/>
    </row>
    <row r="1630">
      <c r="A1630" s="1"/>
    </row>
    <row r="1631">
      <c r="A1631" s="1"/>
    </row>
    <row r="1632">
      <c r="A1632" s="1"/>
    </row>
    <row r="1633">
      <c r="A1633" s="1"/>
    </row>
    <row r="1634">
      <c r="A1634" s="1"/>
    </row>
    <row r="1635">
      <c r="A1635" s="1"/>
    </row>
    <row r="1636">
      <c r="A1636" s="1"/>
    </row>
    <row r="1637">
      <c r="A1637" s="1"/>
    </row>
    <row r="1638">
      <c r="A1638" s="1"/>
    </row>
    <row r="1639">
      <c r="A1639" s="1"/>
    </row>
    <row r="1640">
      <c r="A1640" s="1"/>
    </row>
    <row r="1641">
      <c r="A1641" s="1"/>
    </row>
    <row r="1642">
      <c r="A1642" s="1"/>
    </row>
    <row r="1643">
      <c r="A1643" s="1"/>
    </row>
    <row r="1644">
      <c r="A1644" s="1"/>
    </row>
    <row r="1645">
      <c r="A1645" s="1"/>
    </row>
    <row r="1646">
      <c r="A1646" s="1"/>
    </row>
    <row r="1647">
      <c r="A1647" s="1"/>
    </row>
    <row r="1648">
      <c r="A1648" s="1"/>
    </row>
    <row r="1649">
      <c r="A1649" s="1"/>
    </row>
    <row r="1650">
      <c r="A1650" s="1"/>
    </row>
    <row r="1651">
      <c r="A1651" s="1"/>
    </row>
    <row r="1652">
      <c r="A1652" s="1"/>
    </row>
    <row r="1653">
      <c r="A1653" s="1"/>
    </row>
    <row r="1654">
      <c r="A1654" s="1"/>
    </row>
    <row r="1655">
      <c r="A1655" s="1"/>
    </row>
    <row r="1656">
      <c r="A1656" s="1"/>
    </row>
    <row r="1657">
      <c r="A1657" s="1"/>
    </row>
    <row r="1658">
      <c r="A1658" s="1"/>
    </row>
    <row r="1659">
      <c r="A1659" s="1"/>
    </row>
    <row r="1660">
      <c r="A1660" s="1"/>
    </row>
    <row r="1661">
      <c r="A1661" s="1"/>
    </row>
    <row r="1662">
      <c r="A1662" s="1"/>
    </row>
    <row r="1663">
      <c r="A1663" s="1"/>
    </row>
    <row r="1664">
      <c r="A1664" s="1"/>
    </row>
    <row r="1665">
      <c r="A1665" s="1"/>
    </row>
    <row r="1666">
      <c r="A1666" s="1"/>
    </row>
    <row r="1667">
      <c r="A1667" s="1"/>
    </row>
    <row r="1668">
      <c r="A1668" s="1"/>
    </row>
    <row r="1669">
      <c r="A1669" s="1"/>
    </row>
    <row r="1670">
      <c r="A1670" s="1"/>
    </row>
    <row r="1671">
      <c r="A1671" s="1"/>
    </row>
    <row r="1672">
      <c r="A1672" s="1"/>
    </row>
    <row r="1673">
      <c r="A1673" s="1"/>
    </row>
    <row r="1674">
      <c r="A1674" s="1"/>
    </row>
    <row r="1675">
      <c r="A1675" s="1"/>
    </row>
    <row r="1676">
      <c r="A1676" s="1"/>
    </row>
    <row r="1677">
      <c r="A1677" s="1"/>
    </row>
    <row r="1678">
      <c r="A1678" s="1"/>
    </row>
    <row r="1679">
      <c r="A1679" s="1"/>
    </row>
    <row r="1680">
      <c r="A1680" s="1"/>
    </row>
    <row r="1681">
      <c r="A1681" s="1"/>
    </row>
    <row r="1682">
      <c r="A1682" s="1"/>
    </row>
    <row r="1683">
      <c r="A1683" s="1"/>
    </row>
    <row r="1684">
      <c r="A1684" s="1"/>
    </row>
    <row r="1685">
      <c r="A1685" s="1"/>
    </row>
    <row r="1686">
      <c r="A1686" s="1"/>
    </row>
    <row r="1687">
      <c r="A1687" s="1"/>
    </row>
    <row r="1688">
      <c r="A1688" s="1"/>
    </row>
    <row r="1689">
      <c r="A1689" s="1"/>
    </row>
    <row r="1690">
      <c r="A1690" s="1"/>
    </row>
    <row r="1691">
      <c r="A1691" s="1"/>
    </row>
    <row r="1692">
      <c r="A1692" s="1"/>
    </row>
    <row r="1693">
      <c r="A1693" s="1"/>
    </row>
    <row r="1694">
      <c r="A1694" s="1"/>
    </row>
    <row r="1695">
      <c r="A1695" s="1"/>
    </row>
    <row r="1696">
      <c r="A1696" s="1"/>
    </row>
    <row r="1697">
      <c r="A1697" s="1"/>
    </row>
    <row r="1698">
      <c r="A1698" s="1"/>
    </row>
    <row r="1699">
      <c r="A1699" s="1"/>
    </row>
    <row r="1700">
      <c r="A1700" s="1"/>
    </row>
    <row r="1701">
      <c r="A1701" s="1"/>
    </row>
    <row r="1702">
      <c r="A1702" s="1"/>
    </row>
    <row r="1703">
      <c r="A1703" s="1"/>
    </row>
    <row r="1704">
      <c r="A1704" s="1"/>
    </row>
    <row r="1705">
      <c r="A1705" s="1"/>
    </row>
    <row r="1706">
      <c r="A1706" s="1"/>
    </row>
    <row r="1707">
      <c r="A1707" s="1"/>
    </row>
    <row r="1708">
      <c r="A1708" s="1"/>
    </row>
    <row r="1709">
      <c r="A1709" s="1"/>
    </row>
    <row r="1710">
      <c r="A1710" s="1"/>
    </row>
    <row r="1711">
      <c r="A1711" s="1"/>
    </row>
    <row r="1712">
      <c r="A1712" s="1"/>
    </row>
    <row r="1713">
      <c r="A1713" s="1"/>
    </row>
    <row r="1714">
      <c r="A1714" s="1"/>
    </row>
    <row r="1715">
      <c r="A1715" s="1"/>
    </row>
    <row r="1716">
      <c r="A1716" s="1"/>
    </row>
    <row r="1717">
      <c r="A1717" s="1"/>
    </row>
    <row r="1718">
      <c r="A1718" s="1"/>
    </row>
    <row r="1719">
      <c r="A1719" s="1"/>
    </row>
    <row r="1720">
      <c r="A1720" s="1"/>
    </row>
    <row r="1721">
      <c r="A1721" s="1"/>
    </row>
    <row r="1722">
      <c r="A1722" s="1"/>
    </row>
    <row r="1723">
      <c r="A1723" s="1"/>
    </row>
    <row r="1724">
      <c r="A1724" s="1"/>
    </row>
    <row r="1725">
      <c r="A1725" s="1"/>
    </row>
    <row r="1726">
      <c r="A1726" s="1"/>
    </row>
    <row r="1727">
      <c r="A1727" s="1"/>
    </row>
    <row r="1728">
      <c r="A1728" s="1"/>
    </row>
    <row r="1729">
      <c r="A1729" s="1"/>
    </row>
    <row r="1730">
      <c r="A1730" s="1"/>
    </row>
    <row r="1731">
      <c r="A1731" s="1"/>
    </row>
    <row r="1732">
      <c r="A1732" s="1"/>
    </row>
    <row r="1733">
      <c r="A1733" s="1"/>
    </row>
    <row r="1734">
      <c r="A1734" s="1"/>
    </row>
    <row r="1735">
      <c r="A1735" s="1"/>
    </row>
    <row r="1736">
      <c r="A1736" s="1"/>
    </row>
    <row r="1737">
      <c r="A1737" s="1"/>
    </row>
    <row r="1738">
      <c r="A1738" s="1"/>
    </row>
    <row r="1739">
      <c r="A1739" s="1"/>
    </row>
    <row r="1740">
      <c r="A1740" s="1"/>
    </row>
    <row r="1741">
      <c r="A1741" s="1"/>
    </row>
    <row r="1742">
      <c r="A1742" s="1"/>
    </row>
    <row r="1743">
      <c r="A1743" s="1"/>
    </row>
    <row r="1744">
      <c r="A1744" s="1"/>
    </row>
    <row r="1745">
      <c r="A1745" s="1"/>
    </row>
    <row r="1746">
      <c r="A1746" s="1"/>
    </row>
    <row r="1747">
      <c r="A1747" s="1"/>
    </row>
    <row r="1748">
      <c r="A1748" s="1"/>
    </row>
    <row r="1749">
      <c r="A1749" s="1"/>
    </row>
    <row r="1750">
      <c r="A1750" s="1"/>
    </row>
    <row r="1751">
      <c r="A1751" s="1"/>
    </row>
    <row r="1752">
      <c r="A1752" s="1"/>
    </row>
    <row r="1753">
      <c r="A1753" s="1"/>
    </row>
    <row r="1754">
      <c r="A1754" s="1"/>
    </row>
    <row r="1755">
      <c r="A1755" s="1"/>
    </row>
    <row r="1756">
      <c r="A1756" s="1"/>
    </row>
    <row r="1757">
      <c r="A1757" s="1"/>
    </row>
    <row r="1758">
      <c r="A1758" s="1"/>
    </row>
    <row r="1759">
      <c r="A1759" s="1"/>
    </row>
    <row r="1760">
      <c r="A1760" s="1"/>
    </row>
    <row r="1761">
      <c r="A1761" s="1"/>
    </row>
    <row r="1762">
      <c r="A1762" s="1"/>
    </row>
    <row r="1763">
      <c r="A1763" s="1"/>
    </row>
    <row r="1764">
      <c r="A1764" s="1"/>
    </row>
    <row r="1765">
      <c r="A1765" s="1"/>
    </row>
    <row r="1766">
      <c r="A1766" s="1"/>
    </row>
    <row r="1767">
      <c r="A1767" s="1"/>
    </row>
    <row r="1768">
      <c r="A1768" s="1"/>
    </row>
    <row r="1769">
      <c r="A1769" s="1"/>
    </row>
    <row r="1770">
      <c r="A1770" s="1"/>
    </row>
    <row r="1771">
      <c r="A1771" s="1"/>
    </row>
    <row r="1772">
      <c r="A1772" s="1"/>
    </row>
    <row r="1773">
      <c r="A1773" s="1"/>
    </row>
    <row r="1774">
      <c r="A1774" s="1"/>
    </row>
    <row r="1775">
      <c r="A1775" s="1"/>
    </row>
    <row r="1776">
      <c r="A1776" s="1"/>
    </row>
    <row r="1777">
      <c r="A1777" s="1"/>
    </row>
    <row r="1778">
      <c r="A1778" s="1"/>
    </row>
    <row r="1779">
      <c r="A1779" s="1"/>
    </row>
    <row r="1780">
      <c r="A1780" s="1"/>
    </row>
    <row r="1781">
      <c r="A1781" s="1"/>
    </row>
    <row r="1782">
      <c r="A1782" s="1"/>
    </row>
    <row r="1783">
      <c r="A1783" s="1"/>
    </row>
    <row r="1784">
      <c r="A1784" s="1"/>
    </row>
    <row r="1785">
      <c r="A1785" s="1"/>
    </row>
    <row r="1786">
      <c r="A1786" s="1"/>
    </row>
    <row r="1787">
      <c r="A1787" s="1"/>
    </row>
    <row r="1788">
      <c r="A1788" s="1"/>
    </row>
    <row r="1789">
      <c r="A1789" s="1"/>
    </row>
    <row r="1790">
      <c r="A1790" s="1"/>
    </row>
    <row r="1791">
      <c r="A1791" s="1"/>
    </row>
    <row r="1792">
      <c r="A1792" s="1"/>
    </row>
    <row r="1793">
      <c r="A1793" s="1"/>
    </row>
    <row r="1794">
      <c r="A1794" s="1"/>
    </row>
    <row r="1795">
      <c r="A1795" s="1"/>
    </row>
    <row r="1796">
      <c r="A1796" s="1"/>
    </row>
    <row r="1797">
      <c r="A1797" s="1"/>
    </row>
    <row r="1798">
      <c r="A1798" s="1"/>
    </row>
    <row r="1799">
      <c r="A1799" s="1"/>
    </row>
    <row r="1800">
      <c r="A1800" s="1"/>
    </row>
    <row r="1801">
      <c r="A1801" s="1"/>
    </row>
    <row r="1802">
      <c r="A1802" s="1"/>
    </row>
    <row r="1803">
      <c r="A1803" s="1"/>
    </row>
    <row r="1804">
      <c r="A1804" s="1"/>
    </row>
    <row r="1805">
      <c r="A1805" s="1"/>
    </row>
    <row r="1806">
      <c r="A1806" s="1"/>
    </row>
    <row r="1807">
      <c r="A1807" s="1"/>
    </row>
    <row r="1808">
      <c r="A1808" s="1"/>
    </row>
    <row r="1809">
      <c r="A1809" s="1"/>
    </row>
    <row r="1810">
      <c r="A1810" s="1"/>
    </row>
    <row r="1811">
      <c r="A1811" s="1"/>
    </row>
    <row r="1812">
      <c r="A1812" s="1"/>
    </row>
    <row r="1813">
      <c r="A1813" s="1"/>
    </row>
    <row r="1814">
      <c r="A1814" s="1"/>
    </row>
    <row r="1815">
      <c r="A1815" s="1"/>
    </row>
    <row r="1816">
      <c r="A1816" s="1"/>
    </row>
    <row r="1817">
      <c r="A1817" s="1"/>
    </row>
    <row r="1818">
      <c r="A1818" s="1"/>
    </row>
    <row r="1819">
      <c r="A1819" s="1"/>
    </row>
    <row r="1820">
      <c r="A1820" s="1"/>
    </row>
    <row r="1821">
      <c r="A1821" s="1"/>
    </row>
    <row r="1822">
      <c r="A1822" s="1"/>
    </row>
    <row r="1823">
      <c r="A1823" s="1"/>
    </row>
    <row r="1824">
      <c r="A1824" s="1"/>
    </row>
    <row r="1825">
      <c r="A1825" s="1"/>
    </row>
    <row r="1826">
      <c r="A1826" s="1"/>
    </row>
    <row r="1827">
      <c r="A1827" s="1"/>
    </row>
    <row r="1828">
      <c r="A1828" s="1"/>
    </row>
    <row r="1829">
      <c r="A1829" s="1"/>
    </row>
    <row r="1830">
      <c r="A1830" s="1"/>
    </row>
    <row r="1831">
      <c r="A1831" s="1"/>
    </row>
    <row r="1832">
      <c r="A1832" s="1"/>
    </row>
    <row r="1833">
      <c r="A1833" s="1"/>
    </row>
    <row r="1834">
      <c r="A1834" s="1"/>
    </row>
    <row r="1835">
      <c r="A1835" s="1"/>
    </row>
    <row r="1836">
      <c r="A1836" s="1"/>
    </row>
    <row r="1837">
      <c r="A1837" s="1"/>
    </row>
    <row r="1838">
      <c r="A1838" s="1"/>
    </row>
    <row r="1839">
      <c r="A1839" s="1"/>
    </row>
    <row r="1840">
      <c r="A1840" s="1"/>
    </row>
    <row r="1841">
      <c r="A1841" s="1"/>
    </row>
    <row r="1842">
      <c r="A1842" s="1"/>
    </row>
    <row r="1843">
      <c r="A1843" s="1"/>
    </row>
    <row r="1844">
      <c r="A1844" s="1"/>
    </row>
    <row r="1845">
      <c r="A1845" s="1"/>
    </row>
    <row r="1846">
      <c r="A1846" s="1"/>
    </row>
    <row r="1847">
      <c r="A1847" s="1"/>
    </row>
    <row r="1848">
      <c r="A1848" s="1"/>
    </row>
    <row r="1849">
      <c r="A1849" s="1"/>
    </row>
    <row r="1850">
      <c r="A1850" s="1"/>
    </row>
    <row r="1851">
      <c r="A1851" s="1"/>
    </row>
    <row r="1852">
      <c r="A1852" s="1"/>
    </row>
    <row r="1853">
      <c r="A1853" s="1"/>
    </row>
    <row r="1854">
      <c r="A1854" s="1"/>
    </row>
    <row r="1855">
      <c r="A1855" s="1"/>
    </row>
    <row r="1856">
      <c r="A1856" s="1"/>
    </row>
    <row r="1857">
      <c r="A1857" s="1"/>
    </row>
    <row r="1858">
      <c r="A1858" s="1"/>
    </row>
    <row r="1859">
      <c r="A1859" s="1"/>
    </row>
    <row r="1860">
      <c r="A1860" s="1"/>
    </row>
    <row r="1861">
      <c r="A1861" s="1"/>
    </row>
    <row r="1862">
      <c r="A1862" s="1"/>
    </row>
    <row r="1863">
      <c r="A1863" s="1"/>
    </row>
    <row r="1864">
      <c r="A1864" s="1"/>
    </row>
    <row r="1865">
      <c r="A1865" s="1"/>
    </row>
    <row r="1866">
      <c r="A1866" s="1"/>
    </row>
    <row r="1867">
      <c r="A1867" s="1"/>
    </row>
    <row r="1868">
      <c r="A1868" s="1"/>
    </row>
    <row r="1869">
      <c r="A1869" s="1"/>
    </row>
    <row r="1870">
      <c r="A1870" s="1"/>
    </row>
    <row r="1871">
      <c r="A1871" s="1"/>
    </row>
    <row r="1872">
      <c r="A1872" s="1"/>
    </row>
    <row r="1873">
      <c r="A1873" s="1"/>
    </row>
    <row r="1874">
      <c r="A1874" s="1"/>
    </row>
    <row r="1875">
      <c r="A1875" s="1"/>
    </row>
    <row r="1876">
      <c r="A1876" s="1"/>
    </row>
    <row r="1877">
      <c r="A1877" s="1"/>
    </row>
    <row r="1878">
      <c r="A1878" s="1"/>
    </row>
    <row r="1879">
      <c r="A1879" s="1"/>
    </row>
    <row r="1880">
      <c r="A1880" s="1"/>
    </row>
    <row r="1881">
      <c r="A1881" s="1"/>
    </row>
    <row r="1882">
      <c r="A1882" s="1"/>
    </row>
    <row r="1883">
      <c r="A1883" s="1"/>
    </row>
    <row r="1884">
      <c r="A1884" s="1"/>
    </row>
    <row r="1885">
      <c r="A1885" s="1"/>
    </row>
    <row r="1886">
      <c r="A1886" s="1"/>
    </row>
    <row r="1887">
      <c r="A1887" s="1"/>
    </row>
    <row r="1888">
      <c r="A1888" s="1"/>
    </row>
    <row r="1889">
      <c r="A1889" s="1"/>
    </row>
    <row r="1890">
      <c r="A1890" s="1"/>
    </row>
    <row r="1891">
      <c r="A1891" s="1"/>
    </row>
    <row r="1892">
      <c r="A1892" s="1"/>
    </row>
    <row r="1893">
      <c r="A1893" s="1"/>
    </row>
    <row r="1894">
      <c r="A1894" s="1"/>
    </row>
    <row r="1895">
      <c r="A1895" s="1"/>
    </row>
    <row r="1896">
      <c r="A1896" s="1"/>
    </row>
    <row r="1897">
      <c r="A1897" s="1"/>
    </row>
    <row r="1898">
      <c r="A1898" s="1"/>
    </row>
    <row r="1899">
      <c r="A1899" s="1"/>
    </row>
    <row r="1900">
      <c r="A1900" s="1"/>
    </row>
    <row r="1901">
      <c r="A1901" s="1"/>
    </row>
    <row r="1902">
      <c r="A1902" s="1"/>
    </row>
    <row r="1903">
      <c r="A1903" s="1"/>
    </row>
    <row r="1904">
      <c r="A1904" s="1"/>
    </row>
    <row r="1905">
      <c r="A1905" s="1"/>
    </row>
    <row r="1906">
      <c r="A1906" s="1"/>
    </row>
    <row r="1907">
      <c r="A1907" s="1"/>
    </row>
    <row r="1908">
      <c r="A1908" s="1"/>
    </row>
    <row r="1909">
      <c r="A1909" s="1"/>
    </row>
    <row r="1910">
      <c r="A1910" s="1"/>
    </row>
    <row r="1911">
      <c r="A1911" s="1"/>
    </row>
    <row r="1912">
      <c r="A1912" s="1"/>
    </row>
    <row r="1913">
      <c r="A1913" s="1"/>
    </row>
    <row r="1914">
      <c r="A1914" s="1"/>
    </row>
    <row r="1915">
      <c r="A1915" s="1"/>
    </row>
    <row r="1916">
      <c r="A1916" s="1"/>
    </row>
    <row r="1917">
      <c r="A1917" s="1"/>
    </row>
    <row r="1918">
      <c r="A1918" s="1"/>
    </row>
    <row r="1919">
      <c r="A1919" s="1"/>
    </row>
    <row r="1920">
      <c r="A1920" s="1"/>
    </row>
    <row r="1921">
      <c r="A1921" s="1"/>
    </row>
    <row r="1922">
      <c r="A1922" s="1"/>
    </row>
    <row r="1923">
      <c r="A1923" s="1"/>
    </row>
    <row r="1924">
      <c r="A1924" s="1"/>
    </row>
    <row r="1925">
      <c r="A1925" s="1"/>
    </row>
    <row r="1926">
      <c r="A1926" s="1"/>
    </row>
    <row r="1927">
      <c r="A1927" s="1"/>
    </row>
    <row r="1928">
      <c r="A1928" s="1"/>
    </row>
    <row r="1929">
      <c r="A1929" s="1"/>
    </row>
    <row r="1930">
      <c r="A1930" s="1"/>
    </row>
    <row r="1931">
      <c r="A1931" s="1"/>
    </row>
    <row r="1932">
      <c r="A1932" s="1"/>
    </row>
    <row r="1933">
      <c r="A1933" s="1"/>
    </row>
    <row r="1934">
      <c r="A1934" s="1"/>
    </row>
    <row r="1935">
      <c r="A1935" s="1"/>
    </row>
    <row r="1936">
      <c r="A1936" s="1"/>
    </row>
    <row r="1937">
      <c r="A1937" s="1"/>
    </row>
    <row r="1938">
      <c r="A1938" s="1"/>
    </row>
    <row r="1939">
      <c r="A1939" s="1"/>
    </row>
    <row r="1940">
      <c r="A1940" s="1"/>
    </row>
    <row r="1941">
      <c r="A1941" s="1"/>
    </row>
    <row r="1942">
      <c r="A1942" s="1"/>
    </row>
    <row r="1943">
      <c r="A1943" s="1"/>
    </row>
    <row r="1944">
      <c r="A1944" s="1"/>
    </row>
    <row r="1945">
      <c r="A1945" s="1"/>
    </row>
    <row r="1946">
      <c r="A1946" s="1"/>
    </row>
    <row r="1947">
      <c r="A1947" s="1"/>
    </row>
    <row r="1948">
      <c r="A1948" s="1"/>
    </row>
    <row r="1949">
      <c r="A1949" s="1"/>
    </row>
    <row r="1950">
      <c r="A1950" s="1"/>
    </row>
    <row r="1951">
      <c r="A1951" s="1"/>
    </row>
    <row r="1952">
      <c r="A1952" s="1"/>
    </row>
    <row r="1953">
      <c r="A1953" s="1"/>
    </row>
    <row r="1954">
      <c r="A1954" s="1"/>
    </row>
    <row r="1955">
      <c r="A1955" s="1"/>
    </row>
    <row r="1956">
      <c r="A1956" s="1"/>
    </row>
    <row r="1957">
      <c r="A1957" s="1"/>
    </row>
    <row r="1958">
      <c r="A1958" s="1"/>
    </row>
    <row r="1959">
      <c r="A1959" s="1"/>
    </row>
    <row r="1960">
      <c r="A1960" s="1"/>
    </row>
    <row r="1961">
      <c r="A1961" s="1"/>
    </row>
    <row r="1962">
      <c r="A1962" s="1"/>
    </row>
    <row r="1963">
      <c r="A1963" s="1"/>
    </row>
    <row r="1964">
      <c r="A1964" s="1"/>
    </row>
    <row r="1965">
      <c r="A1965" s="1"/>
    </row>
    <row r="1966">
      <c r="A1966" s="1"/>
    </row>
    <row r="1967">
      <c r="A1967" s="1"/>
    </row>
    <row r="1968">
      <c r="A1968" s="1"/>
    </row>
    <row r="1969">
      <c r="A1969" s="1"/>
    </row>
    <row r="1970">
      <c r="A1970" s="1"/>
    </row>
    <row r="1971">
      <c r="A1971" s="1"/>
    </row>
    <row r="1972">
      <c r="A1972" s="1"/>
    </row>
    <row r="1973">
      <c r="A1973" s="1"/>
    </row>
    <row r="1974">
      <c r="A1974" s="1"/>
    </row>
    <row r="1975">
      <c r="A1975" s="1"/>
    </row>
    <row r="1976">
      <c r="A1976" s="1"/>
    </row>
    <row r="1977">
      <c r="A1977" s="1"/>
    </row>
    <row r="1978">
      <c r="A1978" s="1"/>
    </row>
    <row r="1979">
      <c r="A1979" s="1"/>
    </row>
    <row r="1980">
      <c r="A1980" s="1"/>
    </row>
    <row r="1981">
      <c r="A1981" s="1"/>
    </row>
    <row r="1982">
      <c r="A1982" s="1"/>
    </row>
    <row r="1983">
      <c r="A1983" s="1"/>
    </row>
    <row r="1984">
      <c r="A1984" s="1"/>
    </row>
    <row r="1985">
      <c r="A1985" s="1"/>
    </row>
    <row r="1986">
      <c r="A1986" s="1"/>
    </row>
    <row r="1987">
      <c r="A1987" s="1"/>
    </row>
    <row r="1988">
      <c r="A1988" s="1"/>
    </row>
    <row r="1989">
      <c r="A1989" s="1"/>
    </row>
    <row r="1990">
      <c r="A1990" s="1"/>
    </row>
    <row r="1991">
      <c r="A1991" s="1"/>
    </row>
    <row r="1992">
      <c r="A1992" s="1"/>
    </row>
    <row r="1993">
      <c r="A1993" s="1"/>
    </row>
    <row r="1994">
      <c r="A1994" s="1"/>
    </row>
    <row r="1995">
      <c r="A1995" s="1"/>
    </row>
    <row r="1996">
      <c r="A1996" s="1"/>
    </row>
    <row r="1997">
      <c r="A1997" s="1"/>
    </row>
    <row r="1998">
      <c r="A1998" s="1"/>
    </row>
    <row r="1999">
      <c r="A1999" s="1"/>
    </row>
    <row r="2000">
      <c r="A2000" s="1"/>
    </row>
    <row r="2001">
      <c r="A2001" s="1"/>
    </row>
    <row r="2002">
      <c r="A2002" s="1"/>
    </row>
    <row r="2003">
      <c r="A2003" s="1"/>
    </row>
    <row r="2004">
      <c r="A2004" s="1"/>
    </row>
    <row r="2005">
      <c r="A2005" s="1"/>
    </row>
    <row r="2006">
      <c r="A2006" s="1"/>
    </row>
    <row r="2007">
      <c r="A2007" s="1"/>
    </row>
    <row r="2008">
      <c r="A2008" s="1"/>
    </row>
    <row r="2009">
      <c r="A2009" s="1"/>
    </row>
    <row r="2010">
      <c r="A2010" s="1"/>
    </row>
    <row r="2011">
      <c r="A2011" s="1"/>
    </row>
    <row r="2012">
      <c r="A2012" s="1"/>
    </row>
    <row r="2013">
      <c r="A2013" s="1"/>
    </row>
    <row r="2014">
      <c r="A2014" s="1"/>
    </row>
    <row r="2015">
      <c r="A2015" s="1"/>
    </row>
    <row r="2016">
      <c r="A2016" s="1"/>
    </row>
    <row r="2017">
      <c r="A2017" s="1"/>
    </row>
    <row r="2018">
      <c r="A2018" s="1"/>
    </row>
    <row r="2019">
      <c r="A2019" s="1"/>
    </row>
    <row r="2020">
      <c r="A2020" s="1"/>
    </row>
    <row r="2021">
      <c r="A2021" s="1"/>
    </row>
    <row r="2022">
      <c r="A2022" s="1"/>
    </row>
    <row r="2023">
      <c r="A2023" s="1"/>
    </row>
    <row r="2024">
      <c r="A2024" s="1"/>
    </row>
    <row r="2025">
      <c r="A2025" s="1"/>
    </row>
    <row r="2026">
      <c r="A2026" s="1"/>
    </row>
    <row r="2027">
      <c r="A2027" s="1"/>
    </row>
    <row r="2028">
      <c r="A2028" s="1"/>
    </row>
    <row r="2029">
      <c r="A2029" s="1"/>
    </row>
    <row r="2030">
      <c r="A2030" s="1"/>
    </row>
    <row r="2031">
      <c r="A2031" s="1"/>
    </row>
    <row r="2032">
      <c r="A2032" s="1"/>
    </row>
    <row r="2033">
      <c r="A2033" s="1"/>
    </row>
    <row r="2034">
      <c r="A2034" s="1"/>
    </row>
    <row r="2035">
      <c r="A2035" s="1"/>
    </row>
    <row r="2036">
      <c r="A2036" s="1"/>
    </row>
    <row r="2037">
      <c r="A2037" s="1"/>
    </row>
    <row r="2038">
      <c r="A2038" s="1"/>
    </row>
    <row r="2039">
      <c r="A2039" s="1"/>
    </row>
    <row r="2040">
      <c r="A2040" s="1"/>
    </row>
    <row r="2041">
      <c r="A2041" s="1"/>
    </row>
    <row r="2042">
      <c r="A2042" s="1"/>
    </row>
    <row r="2043">
      <c r="A2043" s="1"/>
    </row>
    <row r="2044">
      <c r="A2044" s="1"/>
    </row>
    <row r="2045">
      <c r="A2045" s="1"/>
    </row>
    <row r="2046">
      <c r="A2046" s="1"/>
    </row>
    <row r="2047">
      <c r="A2047" s="1"/>
    </row>
    <row r="2048">
      <c r="A2048" s="1"/>
    </row>
    <row r="2049">
      <c r="A2049" s="1"/>
    </row>
    <row r="2050">
      <c r="A2050" s="1"/>
    </row>
    <row r="2051">
      <c r="A2051" s="1"/>
    </row>
    <row r="2052">
      <c r="A2052" s="1"/>
    </row>
    <row r="2053">
      <c r="A2053" s="1"/>
    </row>
    <row r="2054">
      <c r="A2054" s="1"/>
    </row>
    <row r="2055">
      <c r="A2055" s="1"/>
    </row>
    <row r="2056">
      <c r="A2056" s="1"/>
    </row>
    <row r="2057">
      <c r="A2057" s="1"/>
    </row>
    <row r="2058">
      <c r="A2058" s="1"/>
    </row>
    <row r="2059">
      <c r="A2059" s="1"/>
    </row>
    <row r="2060">
      <c r="A2060" s="1"/>
    </row>
    <row r="2061">
      <c r="A2061" s="1"/>
    </row>
    <row r="2062">
      <c r="A2062" s="1"/>
    </row>
    <row r="2063">
      <c r="A2063" s="1"/>
    </row>
    <row r="2064">
      <c r="A2064" s="1"/>
    </row>
    <row r="2065">
      <c r="A2065" s="1"/>
    </row>
    <row r="2066">
      <c r="A2066" s="1"/>
    </row>
    <row r="2067">
      <c r="A2067" s="1"/>
    </row>
    <row r="2068">
      <c r="A2068" s="1"/>
    </row>
    <row r="2069">
      <c r="A2069" s="1"/>
    </row>
    <row r="2070">
      <c r="A2070" s="1"/>
    </row>
    <row r="2071">
      <c r="A2071" s="1"/>
    </row>
    <row r="2072">
      <c r="A2072" s="1"/>
    </row>
    <row r="2073">
      <c r="A2073" s="1"/>
    </row>
    <row r="2074">
      <c r="A2074" s="1"/>
    </row>
    <row r="2075">
      <c r="A2075" s="1"/>
    </row>
    <row r="2076">
      <c r="A2076" s="1"/>
    </row>
    <row r="2077">
      <c r="A2077" s="1"/>
    </row>
    <row r="2078">
      <c r="A2078" s="1"/>
    </row>
    <row r="2079">
      <c r="A2079" s="1"/>
    </row>
    <row r="2080">
      <c r="A2080" s="1"/>
    </row>
    <row r="2081">
      <c r="A2081" s="1"/>
    </row>
    <row r="2082">
      <c r="A2082" s="1"/>
    </row>
    <row r="2083">
      <c r="A2083" s="1"/>
    </row>
    <row r="2084">
      <c r="A2084" s="1"/>
    </row>
    <row r="2085">
      <c r="A2085" s="1"/>
    </row>
    <row r="2086">
      <c r="A2086" s="1"/>
    </row>
    <row r="2087">
      <c r="A2087" s="1"/>
    </row>
    <row r="2088">
      <c r="A2088" s="1"/>
    </row>
    <row r="2089">
      <c r="A2089" s="1"/>
    </row>
    <row r="2090">
      <c r="A2090" s="1"/>
    </row>
    <row r="2091">
      <c r="A2091" s="1"/>
    </row>
    <row r="2092">
      <c r="A2092" s="1"/>
    </row>
    <row r="2093">
      <c r="A2093" s="1"/>
    </row>
    <row r="2094">
      <c r="A2094" s="1"/>
    </row>
    <row r="2095">
      <c r="A2095" s="1"/>
    </row>
    <row r="2096">
      <c r="A2096" s="1"/>
    </row>
    <row r="2097">
      <c r="A2097" s="1"/>
    </row>
    <row r="2098">
      <c r="A2098" s="1"/>
    </row>
    <row r="2099">
      <c r="A2099" s="1"/>
    </row>
    <row r="2100">
      <c r="A2100" s="1"/>
    </row>
    <row r="2101">
      <c r="A2101" s="1"/>
    </row>
    <row r="2102">
      <c r="A2102" s="1"/>
    </row>
    <row r="2103">
      <c r="A2103" s="1"/>
    </row>
    <row r="2104">
      <c r="A2104" s="1"/>
    </row>
    <row r="2105">
      <c r="A2105" s="1"/>
    </row>
    <row r="2106">
      <c r="A2106" s="1"/>
    </row>
    <row r="2107">
      <c r="A2107" s="1"/>
    </row>
    <row r="2108">
      <c r="A2108" s="1"/>
    </row>
    <row r="2109">
      <c r="A2109" s="1"/>
    </row>
    <row r="2110">
      <c r="A2110" s="1"/>
    </row>
    <row r="2111">
      <c r="A2111" s="1"/>
    </row>
    <row r="2112">
      <c r="A2112" s="1"/>
    </row>
    <row r="2113">
      <c r="A2113" s="1"/>
    </row>
    <row r="2114">
      <c r="A2114" s="1"/>
    </row>
    <row r="2115">
      <c r="A2115" s="1"/>
    </row>
    <row r="2116">
      <c r="A2116" s="1"/>
    </row>
    <row r="2117">
      <c r="A2117" s="1"/>
    </row>
    <row r="2118">
      <c r="A2118" s="1"/>
    </row>
    <row r="2119">
      <c r="A2119" s="1"/>
    </row>
    <row r="2120">
      <c r="A2120" s="1"/>
    </row>
    <row r="2121">
      <c r="A2121" s="1"/>
    </row>
    <row r="2122">
      <c r="A2122" s="1"/>
    </row>
    <row r="2123">
      <c r="A2123" s="1"/>
    </row>
    <row r="2124">
      <c r="A2124" s="1"/>
    </row>
    <row r="2125">
      <c r="A2125" s="1"/>
    </row>
    <row r="2126">
      <c r="A2126" s="1"/>
    </row>
    <row r="2127">
      <c r="A2127" s="1"/>
    </row>
    <row r="2128">
      <c r="A2128" s="1"/>
    </row>
    <row r="2129">
      <c r="A2129" s="1"/>
    </row>
    <row r="2130">
      <c r="A2130" s="1"/>
    </row>
    <row r="2131">
      <c r="A2131" s="1"/>
    </row>
    <row r="2132">
      <c r="A2132" s="1"/>
    </row>
    <row r="2133">
      <c r="A2133" s="1"/>
    </row>
    <row r="2134">
      <c r="A2134" s="1"/>
    </row>
    <row r="2135">
      <c r="A2135" s="1"/>
    </row>
    <row r="2136">
      <c r="A2136" s="1"/>
    </row>
    <row r="2137">
      <c r="A2137" s="1"/>
    </row>
    <row r="2138">
      <c r="A2138" s="1"/>
    </row>
    <row r="2139">
      <c r="A2139" s="1"/>
    </row>
    <row r="2140">
      <c r="A2140" s="1"/>
    </row>
    <row r="2141">
      <c r="A2141" s="1"/>
    </row>
    <row r="2142">
      <c r="A2142" s="1"/>
    </row>
    <row r="2143">
      <c r="A2143" s="1"/>
    </row>
    <row r="2144">
      <c r="A2144" s="1"/>
    </row>
    <row r="2145">
      <c r="A2145" s="1"/>
    </row>
    <row r="2146">
      <c r="A2146" s="1"/>
    </row>
    <row r="2147">
      <c r="A2147" s="1"/>
    </row>
    <row r="2148">
      <c r="A2148" s="1"/>
    </row>
    <row r="2149">
      <c r="A2149" s="1"/>
    </row>
    <row r="2150">
      <c r="A2150" s="1"/>
    </row>
    <row r="2151">
      <c r="A2151" s="1"/>
    </row>
    <row r="2152">
      <c r="A2152" s="1"/>
    </row>
    <row r="2153">
      <c r="A2153" s="1"/>
    </row>
    <row r="2154">
      <c r="A2154" s="1"/>
    </row>
    <row r="2155">
      <c r="A2155" s="1"/>
    </row>
    <row r="2156">
      <c r="A2156" s="1"/>
    </row>
    <row r="2157">
      <c r="A2157" s="1"/>
    </row>
    <row r="2158">
      <c r="A2158" s="1"/>
    </row>
    <row r="2159">
      <c r="A2159" s="1"/>
    </row>
    <row r="2160">
      <c r="A2160" s="1"/>
    </row>
    <row r="2161">
      <c r="A2161" s="1"/>
    </row>
    <row r="2162">
      <c r="A2162" s="1"/>
    </row>
    <row r="2163">
      <c r="A2163" s="1"/>
    </row>
    <row r="2164">
      <c r="A2164" s="1"/>
    </row>
    <row r="2165">
      <c r="A2165" s="1"/>
    </row>
    <row r="2166">
      <c r="A2166" s="1"/>
    </row>
    <row r="2167">
      <c r="A2167" s="1"/>
    </row>
    <row r="2168">
      <c r="A2168" s="1"/>
    </row>
    <row r="2169">
      <c r="A2169" s="1"/>
    </row>
    <row r="2170">
      <c r="A2170" s="1"/>
    </row>
    <row r="2171">
      <c r="A2171" s="1"/>
    </row>
    <row r="2172">
      <c r="A2172" s="1"/>
    </row>
    <row r="2173">
      <c r="A2173" s="1"/>
    </row>
    <row r="2174">
      <c r="A2174" s="1"/>
    </row>
    <row r="2175">
      <c r="A2175" s="1"/>
    </row>
    <row r="2176">
      <c r="A2176" s="1"/>
    </row>
    <row r="2177">
      <c r="A2177" s="1"/>
    </row>
    <row r="2178">
      <c r="A2178" s="1"/>
    </row>
    <row r="2179">
      <c r="A2179" s="1"/>
    </row>
    <row r="2180">
      <c r="A2180" s="1"/>
    </row>
    <row r="2181">
      <c r="A2181" s="1"/>
    </row>
    <row r="2182">
      <c r="A2182" s="1"/>
    </row>
    <row r="2183">
      <c r="A2183" s="1"/>
    </row>
    <row r="2184">
      <c r="A2184" s="1"/>
    </row>
    <row r="2185">
      <c r="A2185" s="1"/>
    </row>
    <row r="2186">
      <c r="A2186" s="1"/>
    </row>
    <row r="2187">
      <c r="A2187" s="1"/>
    </row>
    <row r="2188">
      <c r="A2188" s="1"/>
    </row>
    <row r="2189">
      <c r="A2189" s="1"/>
    </row>
    <row r="2190">
      <c r="A2190" s="1"/>
    </row>
    <row r="2191">
      <c r="A2191" s="1"/>
    </row>
    <row r="2192">
      <c r="A2192" s="1"/>
    </row>
    <row r="2193">
      <c r="A2193" s="1"/>
    </row>
    <row r="2194">
      <c r="A2194" s="1"/>
    </row>
    <row r="2195">
      <c r="A2195" s="1"/>
    </row>
    <row r="2196">
      <c r="A2196" s="1"/>
    </row>
    <row r="2197">
      <c r="A2197" s="1"/>
    </row>
    <row r="2198">
      <c r="A2198" s="1"/>
    </row>
    <row r="2199">
      <c r="A2199" s="1"/>
    </row>
    <row r="2200">
      <c r="A2200" s="1"/>
    </row>
    <row r="2201">
      <c r="A2201" s="1"/>
    </row>
    <row r="2202">
      <c r="A2202" s="1"/>
    </row>
    <row r="2203">
      <c r="A2203" s="1"/>
    </row>
    <row r="2204">
      <c r="A2204" s="1"/>
    </row>
    <row r="2205">
      <c r="A2205" s="1"/>
    </row>
    <row r="2206">
      <c r="A2206" s="1"/>
    </row>
    <row r="2207">
      <c r="A2207" s="1"/>
    </row>
    <row r="2208">
      <c r="A2208" s="1"/>
    </row>
    <row r="2209">
      <c r="A2209" s="1"/>
    </row>
    <row r="2210">
      <c r="A2210" s="1"/>
    </row>
    <row r="2211">
      <c r="A2211" s="1"/>
    </row>
    <row r="2212">
      <c r="A2212" s="1"/>
    </row>
    <row r="2213">
      <c r="A2213" s="1"/>
    </row>
    <row r="2214">
      <c r="A2214" s="1"/>
    </row>
    <row r="2215">
      <c r="A2215" s="1"/>
    </row>
    <row r="2216">
      <c r="A2216" s="1"/>
    </row>
    <row r="2217">
      <c r="A2217" s="1"/>
    </row>
    <row r="2218">
      <c r="A2218" s="1"/>
    </row>
    <row r="2219">
      <c r="A2219" s="1"/>
    </row>
    <row r="2220">
      <c r="A2220" s="1"/>
    </row>
    <row r="2221">
      <c r="A2221" s="1"/>
    </row>
    <row r="2222">
      <c r="A2222" s="1"/>
    </row>
    <row r="2223">
      <c r="A2223" s="1"/>
    </row>
    <row r="2224">
      <c r="A2224" s="1"/>
    </row>
    <row r="2225">
      <c r="A2225" s="1"/>
    </row>
    <row r="2226">
      <c r="A2226" s="1"/>
    </row>
    <row r="2227">
      <c r="A2227" s="1"/>
    </row>
    <row r="2228">
      <c r="A2228" s="1"/>
    </row>
    <row r="2229">
      <c r="A2229" s="1"/>
    </row>
    <row r="2230">
      <c r="A2230" s="1"/>
    </row>
    <row r="2231">
      <c r="A2231" s="1"/>
    </row>
    <row r="2232">
      <c r="A2232" s="1"/>
    </row>
    <row r="2233">
      <c r="A2233" s="1"/>
    </row>
    <row r="2234">
      <c r="A2234" s="1"/>
    </row>
    <row r="2235">
      <c r="A2235" s="1"/>
    </row>
    <row r="2236">
      <c r="A2236" s="1"/>
    </row>
    <row r="2237">
      <c r="A2237" s="1"/>
    </row>
    <row r="2238">
      <c r="A2238" s="1"/>
    </row>
    <row r="2239">
      <c r="A2239" s="1"/>
    </row>
    <row r="2240">
      <c r="A2240" s="1"/>
    </row>
    <row r="2241">
      <c r="A2241" s="1"/>
    </row>
    <row r="2242">
      <c r="A2242" s="1"/>
    </row>
    <row r="2243">
      <c r="A2243" s="1"/>
    </row>
    <row r="2244">
      <c r="A2244" s="1"/>
    </row>
    <row r="2245">
      <c r="A2245" s="1"/>
    </row>
    <row r="2246">
      <c r="A2246" s="1"/>
    </row>
    <row r="2247">
      <c r="A2247" s="1"/>
    </row>
    <row r="2248">
      <c r="A2248" s="1"/>
    </row>
    <row r="2249">
      <c r="A2249" s="1"/>
    </row>
    <row r="2250">
      <c r="A2250" s="1"/>
    </row>
    <row r="2251">
      <c r="A2251" s="1"/>
    </row>
    <row r="2252">
      <c r="A2252" s="1"/>
    </row>
    <row r="2253">
      <c r="A2253" s="1"/>
    </row>
    <row r="2254">
      <c r="A2254" s="1"/>
    </row>
    <row r="2255">
      <c r="A2255" s="1"/>
    </row>
    <row r="2256">
      <c r="A2256" s="1"/>
    </row>
    <row r="2257">
      <c r="A2257" s="1"/>
    </row>
    <row r="2258">
      <c r="A2258" s="1"/>
    </row>
    <row r="2259">
      <c r="A2259" s="1"/>
    </row>
    <row r="2260">
      <c r="A2260" s="1"/>
    </row>
    <row r="2261">
      <c r="A2261" s="1"/>
    </row>
    <row r="2262">
      <c r="A2262" s="1"/>
    </row>
    <row r="2263">
      <c r="A2263" s="1"/>
    </row>
    <row r="2264">
      <c r="A2264" s="1"/>
    </row>
    <row r="2265">
      <c r="A2265" s="1"/>
    </row>
    <row r="2266">
      <c r="A2266" s="1"/>
    </row>
    <row r="2267">
      <c r="A2267" s="1"/>
    </row>
    <row r="2268">
      <c r="A2268" s="1"/>
    </row>
    <row r="2269">
      <c r="A2269" s="1"/>
    </row>
    <row r="2270">
      <c r="A2270" s="1"/>
    </row>
    <row r="2271">
      <c r="A2271" s="1"/>
    </row>
    <row r="2272">
      <c r="A2272" s="1"/>
    </row>
    <row r="2273">
      <c r="A2273" s="1"/>
    </row>
    <row r="2274">
      <c r="A2274" s="1"/>
    </row>
    <row r="2275">
      <c r="A2275" s="1"/>
    </row>
    <row r="2276">
      <c r="A2276" s="1"/>
    </row>
    <row r="2277">
      <c r="A2277" s="1"/>
    </row>
    <row r="2278">
      <c r="A2278" s="1"/>
    </row>
    <row r="2279">
      <c r="A2279" s="1"/>
    </row>
    <row r="2280">
      <c r="A2280" s="1"/>
    </row>
    <row r="2281">
      <c r="A2281" s="1"/>
    </row>
    <row r="2282">
      <c r="A2282" s="1"/>
    </row>
    <row r="2283">
      <c r="A2283" s="1"/>
    </row>
    <row r="2284">
      <c r="A2284" s="1"/>
    </row>
    <row r="2285">
      <c r="A2285" s="1"/>
    </row>
    <row r="2286">
      <c r="A2286" s="1"/>
    </row>
    <row r="2287">
      <c r="A2287" s="1"/>
    </row>
    <row r="2288">
      <c r="A2288" s="1"/>
    </row>
    <row r="2289">
      <c r="A2289" s="1"/>
    </row>
    <row r="2290">
      <c r="A2290" s="1"/>
    </row>
    <row r="2291">
      <c r="A2291" s="1"/>
    </row>
    <row r="2292">
      <c r="A2292" s="1"/>
    </row>
    <row r="2293">
      <c r="A2293" s="1"/>
    </row>
    <row r="2294">
      <c r="A2294" s="1"/>
    </row>
    <row r="2295">
      <c r="A2295" s="1"/>
    </row>
    <row r="2296">
      <c r="A2296" s="1"/>
    </row>
    <row r="2297">
      <c r="A2297" s="1"/>
    </row>
    <row r="2298">
      <c r="A2298" s="1"/>
    </row>
    <row r="2299">
      <c r="A2299" s="1"/>
    </row>
    <row r="2300">
      <c r="A2300" s="1"/>
    </row>
    <row r="2301">
      <c r="A2301" s="1"/>
    </row>
    <row r="2302">
      <c r="A2302" s="1"/>
    </row>
    <row r="2303">
      <c r="A2303" s="1"/>
    </row>
    <row r="2304">
      <c r="A2304" s="1"/>
    </row>
    <row r="2305">
      <c r="A2305" s="1"/>
    </row>
    <row r="2306">
      <c r="A2306" s="1"/>
    </row>
    <row r="2307">
      <c r="A2307" s="1"/>
    </row>
    <row r="2308">
      <c r="A2308" s="1"/>
    </row>
    <row r="2309">
      <c r="A2309" s="1"/>
    </row>
    <row r="2310">
      <c r="A2310" s="1"/>
    </row>
    <row r="2311">
      <c r="A2311" s="1"/>
    </row>
    <row r="2312">
      <c r="A2312" s="1"/>
    </row>
    <row r="2313">
      <c r="A2313" s="1"/>
    </row>
    <row r="2314">
      <c r="A2314" s="1"/>
    </row>
    <row r="2315">
      <c r="A2315" s="1"/>
    </row>
    <row r="2316">
      <c r="A2316" s="1"/>
    </row>
    <row r="2317">
      <c r="A2317" s="1"/>
    </row>
    <row r="2318">
      <c r="A2318" s="1"/>
    </row>
    <row r="2319">
      <c r="A2319" s="1"/>
    </row>
    <row r="2320">
      <c r="A2320" s="1"/>
    </row>
    <row r="2321">
      <c r="A2321" s="1"/>
    </row>
    <row r="2322">
      <c r="A2322" s="1"/>
    </row>
    <row r="2323">
      <c r="A2323" s="1"/>
    </row>
    <row r="2324">
      <c r="A2324" s="1"/>
    </row>
    <row r="2325">
      <c r="A2325" s="1"/>
    </row>
    <row r="2326">
      <c r="A2326" s="1"/>
    </row>
    <row r="2327">
      <c r="A2327" s="1"/>
    </row>
    <row r="2328">
      <c r="A2328" s="1"/>
    </row>
    <row r="2329">
      <c r="A2329" s="1"/>
    </row>
    <row r="2330">
      <c r="A2330" s="1"/>
    </row>
    <row r="2331">
      <c r="A2331" s="1"/>
    </row>
    <row r="2332">
      <c r="A2332" s="1"/>
    </row>
    <row r="2333">
      <c r="A2333" s="1"/>
    </row>
    <row r="2334">
      <c r="A2334" s="1"/>
    </row>
    <row r="2335">
      <c r="A2335" s="1"/>
    </row>
    <row r="2336">
      <c r="A2336" s="1"/>
    </row>
    <row r="2337">
      <c r="A2337" s="1"/>
    </row>
    <row r="2338">
      <c r="A2338" s="1"/>
    </row>
    <row r="2339">
      <c r="A2339" s="1"/>
    </row>
    <row r="2340">
      <c r="A2340" s="1"/>
    </row>
    <row r="2341">
      <c r="A2341" s="1"/>
    </row>
    <row r="2342">
      <c r="A2342" s="1"/>
    </row>
    <row r="2343">
      <c r="A2343" s="1"/>
    </row>
    <row r="2344">
      <c r="A2344" s="1"/>
    </row>
    <row r="2345">
      <c r="A2345" s="1"/>
    </row>
    <row r="2346">
      <c r="A2346" s="1"/>
    </row>
    <row r="2347">
      <c r="A2347" s="1"/>
    </row>
    <row r="2348">
      <c r="A2348" s="1"/>
    </row>
    <row r="2349">
      <c r="A2349" s="1"/>
    </row>
    <row r="2350">
      <c r="A2350" s="1"/>
    </row>
    <row r="2351">
      <c r="A2351" s="1"/>
    </row>
    <row r="2352">
      <c r="A2352" s="1"/>
    </row>
    <row r="2353">
      <c r="A2353" s="1"/>
    </row>
    <row r="2354">
      <c r="A2354" s="1"/>
    </row>
    <row r="2355">
      <c r="A2355" s="1"/>
    </row>
    <row r="2356">
      <c r="A2356" s="1"/>
    </row>
    <row r="2357">
      <c r="A2357" s="1"/>
    </row>
    <row r="2358">
      <c r="A2358" s="1"/>
    </row>
    <row r="2359">
      <c r="A2359" s="1"/>
    </row>
    <row r="2360">
      <c r="A2360" s="1"/>
    </row>
    <row r="2361">
      <c r="A2361" s="1"/>
    </row>
    <row r="2362">
      <c r="A2362" s="1"/>
    </row>
    <row r="2363">
      <c r="A2363" s="1"/>
    </row>
    <row r="2364">
      <c r="A2364" s="1"/>
    </row>
    <row r="2365">
      <c r="A2365" s="1"/>
    </row>
    <row r="2366">
      <c r="A2366" s="1"/>
    </row>
    <row r="2367">
      <c r="A2367" s="1"/>
    </row>
    <row r="2368">
      <c r="A2368" s="1"/>
    </row>
    <row r="2369">
      <c r="A2369" s="1"/>
    </row>
    <row r="2370">
      <c r="A2370" s="1"/>
    </row>
    <row r="2371">
      <c r="A2371" s="1"/>
    </row>
    <row r="2372">
      <c r="A2372" s="1"/>
    </row>
    <row r="2373">
      <c r="A2373" s="1"/>
    </row>
    <row r="2374">
      <c r="A2374" s="1"/>
    </row>
    <row r="2375">
      <c r="A2375" s="1"/>
    </row>
    <row r="2376">
      <c r="A2376" s="1"/>
    </row>
    <row r="2377">
      <c r="A2377" s="1"/>
    </row>
    <row r="2378">
      <c r="A2378" s="1"/>
    </row>
    <row r="2379">
      <c r="A2379" s="1"/>
    </row>
    <row r="2380">
      <c r="A2380" s="1"/>
    </row>
    <row r="2381">
      <c r="A2381" s="1"/>
    </row>
    <row r="2382">
      <c r="A2382" s="1"/>
    </row>
    <row r="2383">
      <c r="A2383" s="1"/>
    </row>
    <row r="2384">
      <c r="A2384" s="1"/>
    </row>
    <row r="2385">
      <c r="A2385" s="1"/>
    </row>
    <row r="2386">
      <c r="A2386" s="1"/>
    </row>
    <row r="2387">
      <c r="A2387" s="1"/>
    </row>
    <row r="2388">
      <c r="A2388" s="1"/>
    </row>
    <row r="2389">
      <c r="A2389" s="1"/>
    </row>
    <row r="2390">
      <c r="A2390" s="1"/>
    </row>
    <row r="2391">
      <c r="A2391" s="1"/>
    </row>
    <row r="2392">
      <c r="A2392" s="1"/>
    </row>
    <row r="2393">
      <c r="A2393" s="1"/>
    </row>
    <row r="2394">
      <c r="A2394" s="1"/>
    </row>
    <row r="2395">
      <c r="A2395" s="1"/>
    </row>
    <row r="2396">
      <c r="A2396" s="1"/>
    </row>
    <row r="2397">
      <c r="A2397" s="1"/>
    </row>
    <row r="2398">
      <c r="A2398" s="1"/>
    </row>
    <row r="2399">
      <c r="A2399" s="1"/>
    </row>
    <row r="2400">
      <c r="A2400" s="1"/>
    </row>
    <row r="2401">
      <c r="A2401" s="1"/>
    </row>
    <row r="2402">
      <c r="A2402" s="1"/>
    </row>
    <row r="2403">
      <c r="A2403" s="1"/>
    </row>
    <row r="2404">
      <c r="A2404" s="1"/>
    </row>
    <row r="2405">
      <c r="A2405" s="1"/>
    </row>
    <row r="2406">
      <c r="A2406" s="1"/>
    </row>
    <row r="2407">
      <c r="A2407" s="1"/>
    </row>
    <row r="2408">
      <c r="A2408" s="1"/>
    </row>
    <row r="2409">
      <c r="A2409" s="1"/>
    </row>
    <row r="2410">
      <c r="A2410" s="1"/>
    </row>
    <row r="2411">
      <c r="A2411" s="1"/>
    </row>
    <row r="2412">
      <c r="A2412" s="1"/>
    </row>
    <row r="2413">
      <c r="A2413" s="1"/>
    </row>
    <row r="2414">
      <c r="A2414" s="1"/>
    </row>
    <row r="2415">
      <c r="A2415" s="1"/>
    </row>
    <row r="2416">
      <c r="A2416" s="1"/>
    </row>
    <row r="2417">
      <c r="A2417" s="1"/>
    </row>
    <row r="2418">
      <c r="A2418" s="1"/>
    </row>
    <row r="2419">
      <c r="A2419" s="1"/>
    </row>
    <row r="2420">
      <c r="A2420" s="1"/>
    </row>
    <row r="2421">
      <c r="A2421" s="1"/>
    </row>
    <row r="2422">
      <c r="A2422" s="1"/>
    </row>
    <row r="2423">
      <c r="A2423" s="1"/>
    </row>
    <row r="2424">
      <c r="A2424" s="1"/>
    </row>
    <row r="2425">
      <c r="A2425" s="1"/>
    </row>
    <row r="2426">
      <c r="A2426" s="1"/>
    </row>
    <row r="2427">
      <c r="A2427" s="1"/>
    </row>
    <row r="2428">
      <c r="A2428" s="1"/>
    </row>
    <row r="2429">
      <c r="A2429" s="1"/>
    </row>
    <row r="2430">
      <c r="A2430" s="1"/>
    </row>
    <row r="2431">
      <c r="A2431" s="1"/>
    </row>
    <row r="2432">
      <c r="A2432" s="1"/>
    </row>
    <row r="2433">
      <c r="A2433" s="1"/>
    </row>
    <row r="2434">
      <c r="A2434" s="1"/>
    </row>
    <row r="2435">
      <c r="A2435" s="1"/>
    </row>
    <row r="2436">
      <c r="A2436" s="1"/>
    </row>
    <row r="2437">
      <c r="A2437" s="1"/>
    </row>
    <row r="2438">
      <c r="A2438" s="1"/>
    </row>
    <row r="2439">
      <c r="A2439" s="1"/>
    </row>
    <row r="2440">
      <c r="A2440" s="1"/>
    </row>
    <row r="2441">
      <c r="A2441" s="1"/>
    </row>
    <row r="2442">
      <c r="A2442" s="1"/>
    </row>
    <row r="2443">
      <c r="A2443" s="1"/>
    </row>
    <row r="2444">
      <c r="A2444" s="1"/>
    </row>
    <row r="2445">
      <c r="A2445" s="1"/>
    </row>
    <row r="2446">
      <c r="A2446" s="1"/>
    </row>
    <row r="2447">
      <c r="A2447" s="1"/>
    </row>
    <row r="2448">
      <c r="A2448" s="1"/>
    </row>
    <row r="2449">
      <c r="A2449" s="1"/>
    </row>
    <row r="2450">
      <c r="A2450" s="1"/>
    </row>
    <row r="2451">
      <c r="A2451" s="1"/>
    </row>
    <row r="2452">
      <c r="A2452" s="1"/>
    </row>
    <row r="2453">
      <c r="A2453" s="1"/>
    </row>
    <row r="2454">
      <c r="A2454" s="1"/>
    </row>
    <row r="2455">
      <c r="A2455" s="1"/>
    </row>
    <row r="2456">
      <c r="A2456" s="1"/>
    </row>
    <row r="2457">
      <c r="A2457" s="1"/>
    </row>
    <row r="2458">
      <c r="A2458" s="1"/>
    </row>
    <row r="2459">
      <c r="A2459" s="1"/>
    </row>
    <row r="2460">
      <c r="A2460" s="1"/>
    </row>
    <row r="2461">
      <c r="A2461" s="1"/>
    </row>
    <row r="2462">
      <c r="A2462" s="1"/>
    </row>
    <row r="2463">
      <c r="A2463" s="1"/>
    </row>
    <row r="2464">
      <c r="A2464" s="1"/>
    </row>
    <row r="2465">
      <c r="A2465" s="1"/>
    </row>
    <row r="2466">
      <c r="A2466" s="1"/>
    </row>
    <row r="2467">
      <c r="A2467" s="1"/>
    </row>
    <row r="2468">
      <c r="A2468" s="1"/>
    </row>
    <row r="2469">
      <c r="A2469" s="1"/>
    </row>
    <row r="2470">
      <c r="A2470" s="1"/>
    </row>
    <row r="2471">
      <c r="A2471" s="1"/>
    </row>
    <row r="2472">
      <c r="A2472" s="1"/>
    </row>
    <row r="2473">
      <c r="A2473" s="1"/>
    </row>
    <row r="2474">
      <c r="A2474" s="1"/>
    </row>
    <row r="2475">
      <c r="A2475" s="1"/>
    </row>
    <row r="2476">
      <c r="A2476" s="1"/>
    </row>
    <row r="2477">
      <c r="A2477" s="1"/>
    </row>
    <row r="2478">
      <c r="A2478" s="1"/>
    </row>
    <row r="2479">
      <c r="A2479" s="1"/>
    </row>
    <row r="2480">
      <c r="A2480" s="1"/>
    </row>
    <row r="2481">
      <c r="A2481" s="1"/>
    </row>
    <row r="2482">
      <c r="A2482" s="1"/>
    </row>
    <row r="2483">
      <c r="A2483" s="1"/>
    </row>
    <row r="2484">
      <c r="A2484" s="1"/>
    </row>
    <row r="2485">
      <c r="A2485" s="1"/>
    </row>
    <row r="2486">
      <c r="A2486" s="1"/>
    </row>
    <row r="2487">
      <c r="A2487" s="1"/>
    </row>
    <row r="2488">
      <c r="A2488" s="1"/>
    </row>
    <row r="2489">
      <c r="A2489" s="1"/>
    </row>
    <row r="2490">
      <c r="A2490" s="1"/>
    </row>
    <row r="2491">
      <c r="A2491" s="1"/>
    </row>
    <row r="2492">
      <c r="A2492" s="1"/>
    </row>
    <row r="2493">
      <c r="A2493" s="1"/>
    </row>
    <row r="2494">
      <c r="A2494" s="1"/>
    </row>
    <row r="2495">
      <c r="A2495" s="1"/>
    </row>
    <row r="2496">
      <c r="A2496" s="1"/>
    </row>
    <row r="2497">
      <c r="A2497" s="1"/>
    </row>
    <row r="2498">
      <c r="A2498" s="1"/>
    </row>
    <row r="2499">
      <c r="A2499" s="1"/>
    </row>
    <row r="2500">
      <c r="A2500" s="1"/>
    </row>
    <row r="2501">
      <c r="A2501" s="1"/>
    </row>
    <row r="2502">
      <c r="A2502" s="1"/>
    </row>
    <row r="2503">
      <c r="A2503" s="1"/>
    </row>
    <row r="2504">
      <c r="A2504" s="1"/>
    </row>
    <row r="2505">
      <c r="A2505" s="1"/>
    </row>
    <row r="2506">
      <c r="A2506" s="1"/>
    </row>
    <row r="2507">
      <c r="A2507" s="1"/>
    </row>
    <row r="2508">
      <c r="A2508" s="1"/>
    </row>
    <row r="2509">
      <c r="A2509" s="1"/>
    </row>
    <row r="2510">
      <c r="A2510" s="1"/>
    </row>
    <row r="2511">
      <c r="A2511" s="1"/>
    </row>
    <row r="2512">
      <c r="A2512" s="1"/>
    </row>
    <row r="2513">
      <c r="A2513" s="1"/>
    </row>
    <row r="2514">
      <c r="A2514" s="1"/>
    </row>
    <row r="2515">
      <c r="A2515" s="1"/>
    </row>
    <row r="2516">
      <c r="A2516" s="1"/>
    </row>
    <row r="2517">
      <c r="A2517" s="1"/>
    </row>
    <row r="2518">
      <c r="A2518" s="1"/>
    </row>
    <row r="2519">
      <c r="A2519" s="1"/>
    </row>
    <row r="2520">
      <c r="A2520" s="1"/>
    </row>
    <row r="2521">
      <c r="A2521" s="1"/>
    </row>
    <row r="2522">
      <c r="A2522" s="1"/>
    </row>
    <row r="2523">
      <c r="A2523" s="1"/>
    </row>
    <row r="2524">
      <c r="A2524" s="1"/>
    </row>
    <row r="2525">
      <c r="A2525" s="1"/>
    </row>
    <row r="2526">
      <c r="A2526" s="1"/>
    </row>
    <row r="2527">
      <c r="A2527" s="1"/>
    </row>
    <row r="2528">
      <c r="A2528" s="1"/>
    </row>
    <row r="2529">
      <c r="A2529" s="1"/>
    </row>
    <row r="2530">
      <c r="A2530" s="1"/>
    </row>
    <row r="2531">
      <c r="A2531" s="1"/>
    </row>
    <row r="2532">
      <c r="A2532" s="1"/>
    </row>
    <row r="2533">
      <c r="A2533" s="1"/>
    </row>
    <row r="2534">
      <c r="A2534" s="1"/>
    </row>
    <row r="2535">
      <c r="A2535" s="1"/>
    </row>
    <row r="2536">
      <c r="A2536" s="1"/>
    </row>
    <row r="2537">
      <c r="A2537" s="1"/>
    </row>
    <row r="2538">
      <c r="A2538" s="1"/>
    </row>
    <row r="2539">
      <c r="A2539" s="1"/>
    </row>
    <row r="2540">
      <c r="A2540" s="1"/>
    </row>
    <row r="2541">
      <c r="A2541" s="1"/>
    </row>
    <row r="2542">
      <c r="A2542" s="1"/>
    </row>
    <row r="2543">
      <c r="A2543" s="1"/>
    </row>
    <row r="2544">
      <c r="A2544" s="1"/>
    </row>
    <row r="2545">
      <c r="A2545" s="1"/>
    </row>
    <row r="2546">
      <c r="A2546" s="1"/>
    </row>
    <row r="2547">
      <c r="A2547" s="1"/>
    </row>
    <row r="2548">
      <c r="A2548" s="1"/>
    </row>
    <row r="2549">
      <c r="A2549" s="1"/>
    </row>
    <row r="2550">
      <c r="A2550" s="1"/>
    </row>
    <row r="2551">
      <c r="A2551" s="1"/>
    </row>
    <row r="2552">
      <c r="A2552" s="1"/>
    </row>
    <row r="2553">
      <c r="A2553" s="1"/>
    </row>
    <row r="2554">
      <c r="A2554" s="1"/>
    </row>
    <row r="2555">
      <c r="A2555" s="1"/>
    </row>
    <row r="2556">
      <c r="A2556" s="1"/>
    </row>
    <row r="2557">
      <c r="A2557" s="1"/>
    </row>
    <row r="2558">
      <c r="A2558" s="1"/>
    </row>
    <row r="2559">
      <c r="A2559" s="1"/>
    </row>
    <row r="2560">
      <c r="A2560" s="1"/>
    </row>
    <row r="2561">
      <c r="A2561" s="1"/>
    </row>
    <row r="2562">
      <c r="A2562" s="1"/>
    </row>
    <row r="2563">
      <c r="A2563" s="1"/>
    </row>
    <row r="2564">
      <c r="A2564" s="1"/>
    </row>
    <row r="2565">
      <c r="A2565" s="1"/>
    </row>
    <row r="2566">
      <c r="A2566" s="1"/>
    </row>
    <row r="2567">
      <c r="A2567" s="1"/>
    </row>
    <row r="2568">
      <c r="A2568" s="1"/>
    </row>
    <row r="2569">
      <c r="A2569" s="1"/>
    </row>
    <row r="2570">
      <c r="A2570" s="1"/>
    </row>
    <row r="2571">
      <c r="A2571" s="1"/>
    </row>
    <row r="2572">
      <c r="A2572" s="1"/>
    </row>
    <row r="2573">
      <c r="A2573" s="1"/>
    </row>
    <row r="2574">
      <c r="A2574" s="1"/>
    </row>
    <row r="2575">
      <c r="A2575" s="1"/>
    </row>
    <row r="2576">
      <c r="A2576" s="1"/>
    </row>
    <row r="2577">
      <c r="A2577" s="1"/>
    </row>
    <row r="2578">
      <c r="A2578" s="1"/>
    </row>
    <row r="2579">
      <c r="A2579" s="1"/>
    </row>
    <row r="2580">
      <c r="A2580" s="1"/>
    </row>
    <row r="2581">
      <c r="A2581" s="1"/>
    </row>
    <row r="2582">
      <c r="A2582" s="1"/>
    </row>
    <row r="2583">
      <c r="A2583" s="1"/>
    </row>
    <row r="2584">
      <c r="A2584" s="1"/>
    </row>
    <row r="2585">
      <c r="A2585" s="1"/>
    </row>
    <row r="2586">
      <c r="A2586" s="1"/>
    </row>
    <row r="2587">
      <c r="A2587" s="1"/>
    </row>
    <row r="2588">
      <c r="A2588" s="1"/>
    </row>
    <row r="2589">
      <c r="A2589" s="1"/>
    </row>
    <row r="2590">
      <c r="A2590" s="1"/>
    </row>
    <row r="2591">
      <c r="A2591" s="1"/>
    </row>
    <row r="2592">
      <c r="A2592" s="1"/>
    </row>
    <row r="2593">
      <c r="A2593" s="1"/>
    </row>
    <row r="2594">
      <c r="A2594" s="1"/>
    </row>
    <row r="2595">
      <c r="A2595" s="1"/>
    </row>
    <row r="2596">
      <c r="A2596" s="1"/>
    </row>
    <row r="2597">
      <c r="A2597" s="1"/>
    </row>
    <row r="2598">
      <c r="A2598" s="1"/>
    </row>
    <row r="2599">
      <c r="A2599" s="1"/>
    </row>
    <row r="2600">
      <c r="A2600" s="1"/>
    </row>
    <row r="2601">
      <c r="A2601" s="1"/>
    </row>
    <row r="2602">
      <c r="A2602" s="1"/>
    </row>
    <row r="2603">
      <c r="A2603" s="1"/>
    </row>
    <row r="2604">
      <c r="A2604" s="1"/>
    </row>
    <row r="2605">
      <c r="A2605" s="1"/>
    </row>
    <row r="2606">
      <c r="A2606" s="1"/>
    </row>
    <row r="2607">
      <c r="A2607" s="1"/>
    </row>
    <row r="2608">
      <c r="A2608" s="1"/>
    </row>
    <row r="2609">
      <c r="A2609" s="1"/>
    </row>
    <row r="2610">
      <c r="A2610" s="1"/>
    </row>
    <row r="2611">
      <c r="A2611" s="1"/>
    </row>
    <row r="2612">
      <c r="A2612" s="1"/>
    </row>
    <row r="2613">
      <c r="A2613" s="1"/>
    </row>
    <row r="2614">
      <c r="A2614" s="1"/>
    </row>
    <row r="2615">
      <c r="A2615" s="1"/>
    </row>
    <row r="2616">
      <c r="A2616" s="1"/>
    </row>
    <row r="2617">
      <c r="A2617" s="1"/>
    </row>
    <row r="2618">
      <c r="A2618" s="1"/>
    </row>
    <row r="2619">
      <c r="A2619" s="1"/>
    </row>
    <row r="2620">
      <c r="A2620" s="1"/>
    </row>
    <row r="2621">
      <c r="A2621" s="1"/>
    </row>
    <row r="2622">
      <c r="A2622" s="1"/>
    </row>
    <row r="2623">
      <c r="A2623" s="1"/>
    </row>
    <row r="2624">
      <c r="A2624" s="1"/>
    </row>
    <row r="2625">
      <c r="A2625" s="1"/>
    </row>
    <row r="2626">
      <c r="A2626" s="1"/>
    </row>
    <row r="2627">
      <c r="A2627" s="1"/>
    </row>
    <row r="2628">
      <c r="A2628" s="1"/>
    </row>
    <row r="2629">
      <c r="A2629" s="1"/>
    </row>
    <row r="2630">
      <c r="A2630" s="1"/>
    </row>
    <row r="2631">
      <c r="A2631" s="1"/>
    </row>
    <row r="2632">
      <c r="A2632" s="1"/>
    </row>
    <row r="2633">
      <c r="A2633" s="1"/>
    </row>
    <row r="2634">
      <c r="A2634" s="1"/>
    </row>
    <row r="2635">
      <c r="A2635" s="1"/>
    </row>
    <row r="2636">
      <c r="A2636" s="1"/>
    </row>
    <row r="2637">
      <c r="A2637" s="1"/>
    </row>
    <row r="2638">
      <c r="A2638" s="1"/>
    </row>
    <row r="2639">
      <c r="A2639" s="1"/>
    </row>
    <row r="2640">
      <c r="A2640" s="1"/>
    </row>
    <row r="2641">
      <c r="A2641" s="1"/>
    </row>
    <row r="2642">
      <c r="A2642" s="1"/>
    </row>
    <row r="2643">
      <c r="A2643" s="1"/>
    </row>
    <row r="2644">
      <c r="A2644" s="1"/>
    </row>
    <row r="2645">
      <c r="A2645" s="1"/>
    </row>
    <row r="2646">
      <c r="A2646" s="1"/>
    </row>
    <row r="2647">
      <c r="A2647" s="1"/>
    </row>
    <row r="2648">
      <c r="A2648" s="1"/>
    </row>
    <row r="2649">
      <c r="A2649" s="1"/>
    </row>
    <row r="2650">
      <c r="A2650" s="1"/>
    </row>
    <row r="2651">
      <c r="A2651" s="1"/>
    </row>
    <row r="2652">
      <c r="A2652" s="1"/>
    </row>
    <row r="2653">
      <c r="A2653" s="1"/>
    </row>
    <row r="2654">
      <c r="A2654" s="1"/>
    </row>
    <row r="2655">
      <c r="A2655" s="1"/>
    </row>
    <row r="2656">
      <c r="A2656" s="1"/>
    </row>
    <row r="2657">
      <c r="A2657" s="1"/>
    </row>
    <row r="2658">
      <c r="A2658" s="1"/>
    </row>
    <row r="2659">
      <c r="A2659" s="1"/>
    </row>
    <row r="2660">
      <c r="A2660" s="1"/>
    </row>
    <row r="2661">
      <c r="A2661" s="1"/>
    </row>
    <row r="2662">
      <c r="A2662" s="1"/>
    </row>
    <row r="2663">
      <c r="A2663" s="1"/>
    </row>
    <row r="2664">
      <c r="A2664" s="1"/>
    </row>
    <row r="2665">
      <c r="A2665" s="1"/>
    </row>
    <row r="2666">
      <c r="A2666" s="1"/>
    </row>
    <row r="2667">
      <c r="A2667" s="1"/>
    </row>
    <row r="2668">
      <c r="A2668" s="1"/>
    </row>
    <row r="2669">
      <c r="A2669" s="1"/>
    </row>
    <row r="2670">
      <c r="A2670" s="1"/>
    </row>
    <row r="2671">
      <c r="A2671" s="1"/>
    </row>
    <row r="2672">
      <c r="A2672" s="1"/>
    </row>
    <row r="2673">
      <c r="A2673" s="1"/>
    </row>
    <row r="2674">
      <c r="A2674" s="1"/>
    </row>
    <row r="2675">
      <c r="A2675" s="1"/>
    </row>
    <row r="2676">
      <c r="A2676" s="1"/>
    </row>
    <row r="2677">
      <c r="A2677" s="1"/>
    </row>
    <row r="2678">
      <c r="A2678" s="1"/>
    </row>
    <row r="2679">
      <c r="A2679" s="1"/>
    </row>
    <row r="2680">
      <c r="A2680" s="1"/>
    </row>
    <row r="2681">
      <c r="A2681" s="1"/>
    </row>
    <row r="2682">
      <c r="A2682" s="1"/>
    </row>
    <row r="2683">
      <c r="A2683" s="1"/>
    </row>
    <row r="2684">
      <c r="A2684" s="1"/>
    </row>
    <row r="2685">
      <c r="A2685" s="1"/>
    </row>
    <row r="2686">
      <c r="A2686" s="1"/>
    </row>
    <row r="2687">
      <c r="A2687" s="1"/>
    </row>
    <row r="2688">
      <c r="A2688" s="1"/>
    </row>
    <row r="2689">
      <c r="A2689" s="1"/>
    </row>
    <row r="2690">
      <c r="A2690" s="1"/>
    </row>
    <row r="2691">
      <c r="A2691" s="1"/>
    </row>
    <row r="2692">
      <c r="A2692" s="1"/>
    </row>
    <row r="2693">
      <c r="A2693" s="1"/>
    </row>
    <row r="2694">
      <c r="A2694" s="1"/>
    </row>
    <row r="2695">
      <c r="A2695" s="1"/>
    </row>
    <row r="2696">
      <c r="A2696" s="1"/>
    </row>
    <row r="2697">
      <c r="A2697" s="1"/>
    </row>
    <row r="2698">
      <c r="A2698" s="1"/>
    </row>
    <row r="2699">
      <c r="A2699" s="1"/>
    </row>
    <row r="2700">
      <c r="A2700" s="1"/>
    </row>
    <row r="2701">
      <c r="A2701" s="1"/>
    </row>
    <row r="2702">
      <c r="A2702" s="1"/>
    </row>
    <row r="2703">
      <c r="A2703" s="1"/>
    </row>
    <row r="2704">
      <c r="A2704" s="1"/>
    </row>
    <row r="2705">
      <c r="A2705" s="1"/>
    </row>
    <row r="2706">
      <c r="A2706" s="1"/>
    </row>
    <row r="2707">
      <c r="A2707" s="1"/>
    </row>
    <row r="2708">
      <c r="A2708" s="1"/>
    </row>
    <row r="2709">
      <c r="A2709" s="1"/>
    </row>
    <row r="2710">
      <c r="A2710" s="1"/>
    </row>
    <row r="2711">
      <c r="A2711" s="1"/>
    </row>
    <row r="2712">
      <c r="A2712" s="1"/>
    </row>
    <row r="2713">
      <c r="A2713" s="1"/>
    </row>
    <row r="2714">
      <c r="A2714" s="1"/>
    </row>
    <row r="2715">
      <c r="A2715" s="1"/>
    </row>
    <row r="2716">
      <c r="A2716" s="1"/>
    </row>
    <row r="2717">
      <c r="A2717" s="1"/>
    </row>
    <row r="2718">
      <c r="A2718" s="1"/>
    </row>
    <row r="2719">
      <c r="A2719" s="1"/>
    </row>
    <row r="2720">
      <c r="A2720" s="1"/>
    </row>
    <row r="2721">
      <c r="A2721" s="1"/>
    </row>
    <row r="2722">
      <c r="A2722" s="1"/>
    </row>
    <row r="2723">
      <c r="A2723" s="1"/>
    </row>
    <row r="2724">
      <c r="A2724" s="1"/>
    </row>
    <row r="2725">
      <c r="A2725" s="1"/>
    </row>
    <row r="2726">
      <c r="A2726" s="1"/>
    </row>
    <row r="2727">
      <c r="A2727" s="1"/>
    </row>
    <row r="2728">
      <c r="A2728" s="1"/>
    </row>
    <row r="2729">
      <c r="A2729" s="1"/>
    </row>
    <row r="2730">
      <c r="A2730" s="1"/>
    </row>
    <row r="2731">
      <c r="A2731" s="1"/>
    </row>
    <row r="2732">
      <c r="A2732" s="1"/>
    </row>
    <row r="2733">
      <c r="A2733" s="1"/>
    </row>
    <row r="2734">
      <c r="A2734" s="1"/>
    </row>
    <row r="2735">
      <c r="A2735" s="1"/>
    </row>
    <row r="2736">
      <c r="A2736" s="1"/>
    </row>
    <row r="2737">
      <c r="A2737" s="1"/>
    </row>
    <row r="2738">
      <c r="A2738" s="1"/>
    </row>
    <row r="2739">
      <c r="A2739" s="1"/>
    </row>
    <row r="2740">
      <c r="A2740" s="1"/>
    </row>
    <row r="2741">
      <c r="A2741" s="1"/>
    </row>
    <row r="2742">
      <c r="A2742" s="1"/>
    </row>
    <row r="2743">
      <c r="A2743" s="1"/>
    </row>
    <row r="2744">
      <c r="A2744" s="1"/>
    </row>
    <row r="2745">
      <c r="A2745" s="1"/>
    </row>
    <row r="2746">
      <c r="A2746" s="1"/>
    </row>
    <row r="2747">
      <c r="A2747" s="1"/>
    </row>
    <row r="2748">
      <c r="A2748" s="1"/>
    </row>
    <row r="2749">
      <c r="A2749" s="1"/>
    </row>
    <row r="2750">
      <c r="A2750" s="1"/>
    </row>
    <row r="2751">
      <c r="A2751" s="1"/>
    </row>
    <row r="2752">
      <c r="A2752" s="1"/>
    </row>
    <row r="2753">
      <c r="A2753" s="1"/>
    </row>
    <row r="2754">
      <c r="A2754" s="1"/>
    </row>
    <row r="2755">
      <c r="A2755" s="1"/>
    </row>
    <row r="2756">
      <c r="A2756" s="1"/>
    </row>
    <row r="2757">
      <c r="A2757" s="1"/>
    </row>
    <row r="2758">
      <c r="A2758" s="1"/>
    </row>
    <row r="2759">
      <c r="A2759" s="1"/>
    </row>
    <row r="2760">
      <c r="A2760" s="1"/>
    </row>
    <row r="2761">
      <c r="A2761" s="1"/>
    </row>
    <row r="2762">
      <c r="A2762" s="1"/>
    </row>
    <row r="2763">
      <c r="A2763" s="1"/>
    </row>
    <row r="2764">
      <c r="A2764" s="1"/>
    </row>
    <row r="2765">
      <c r="A2765" s="1"/>
    </row>
    <row r="2766">
      <c r="A2766" s="1"/>
    </row>
    <row r="2767">
      <c r="A2767" s="1"/>
    </row>
    <row r="2768">
      <c r="A2768" s="1"/>
    </row>
    <row r="2769">
      <c r="A2769" s="1"/>
    </row>
    <row r="2770">
      <c r="A2770" s="1"/>
    </row>
    <row r="2771">
      <c r="A2771" s="1"/>
    </row>
    <row r="2772">
      <c r="A2772" s="1"/>
    </row>
    <row r="2773">
      <c r="A2773" s="1"/>
    </row>
    <row r="2774">
      <c r="A2774" s="1"/>
    </row>
    <row r="2775">
      <c r="A2775" s="1"/>
    </row>
    <row r="2776">
      <c r="A2776" s="1"/>
    </row>
    <row r="2777">
      <c r="A2777" s="1"/>
    </row>
    <row r="2778">
      <c r="A2778" s="1"/>
    </row>
    <row r="2779">
      <c r="A2779" s="1"/>
    </row>
    <row r="2780">
      <c r="A2780" s="1"/>
    </row>
    <row r="2781">
      <c r="A2781" s="1"/>
    </row>
    <row r="2782">
      <c r="A2782" s="1"/>
    </row>
    <row r="2783">
      <c r="A2783" s="1"/>
    </row>
    <row r="2784">
      <c r="A2784" s="1"/>
    </row>
    <row r="2785">
      <c r="A2785" s="1"/>
    </row>
    <row r="2786">
      <c r="A2786" s="1"/>
    </row>
    <row r="2787">
      <c r="A2787" s="1"/>
    </row>
    <row r="2788">
      <c r="A2788" s="1"/>
    </row>
    <row r="2789">
      <c r="A2789" s="1"/>
    </row>
    <row r="2790">
      <c r="A2790" s="1"/>
    </row>
    <row r="2791">
      <c r="A2791" s="1"/>
    </row>
    <row r="2792">
      <c r="A2792" s="1"/>
    </row>
    <row r="2793">
      <c r="A2793" s="1"/>
    </row>
    <row r="2794">
      <c r="A2794" s="1"/>
    </row>
    <row r="2795">
      <c r="A2795" s="1"/>
    </row>
    <row r="2796">
      <c r="A2796" s="1"/>
    </row>
    <row r="2797">
      <c r="A2797" s="1"/>
    </row>
    <row r="2798">
      <c r="A2798" s="1"/>
    </row>
    <row r="2799">
      <c r="A2799" s="1"/>
    </row>
    <row r="2800">
      <c r="A2800" s="1"/>
    </row>
    <row r="2801">
      <c r="A2801" s="1"/>
    </row>
    <row r="2802">
      <c r="A2802" s="1"/>
    </row>
    <row r="2803">
      <c r="A2803" s="1"/>
    </row>
    <row r="2804">
      <c r="A2804" s="1"/>
    </row>
    <row r="2805">
      <c r="A2805" s="1"/>
    </row>
    <row r="2806">
      <c r="A2806" s="1"/>
    </row>
    <row r="2807">
      <c r="A2807" s="1"/>
    </row>
    <row r="2808">
      <c r="A2808" s="1"/>
    </row>
    <row r="2809">
      <c r="A2809" s="1"/>
    </row>
    <row r="2810">
      <c r="A2810" s="1"/>
    </row>
    <row r="2811">
      <c r="A2811" s="1"/>
    </row>
    <row r="2812">
      <c r="A2812" s="1"/>
    </row>
    <row r="2813">
      <c r="A2813" s="1"/>
    </row>
    <row r="2814">
      <c r="A2814" s="1"/>
    </row>
    <row r="2815">
      <c r="A2815" s="1"/>
    </row>
    <row r="2816">
      <c r="A2816" s="1"/>
    </row>
    <row r="2817">
      <c r="A2817" s="1"/>
    </row>
    <row r="2818">
      <c r="A2818" s="1"/>
    </row>
    <row r="2819">
      <c r="A2819" s="1"/>
    </row>
    <row r="2820">
      <c r="A2820" s="1"/>
    </row>
    <row r="2821">
      <c r="A2821" s="1"/>
    </row>
    <row r="2822">
      <c r="A2822" s="1"/>
    </row>
    <row r="2823">
      <c r="A2823" s="1"/>
    </row>
    <row r="2824">
      <c r="A2824" s="1"/>
    </row>
    <row r="2825">
      <c r="A2825" s="1"/>
    </row>
    <row r="2826">
      <c r="A2826" s="1"/>
    </row>
    <row r="2827">
      <c r="A2827" s="1"/>
    </row>
    <row r="2828">
      <c r="A2828" s="1"/>
    </row>
    <row r="2829">
      <c r="A2829" s="1"/>
    </row>
    <row r="2830">
      <c r="A2830" s="1"/>
    </row>
    <row r="2831">
      <c r="A2831" s="1"/>
    </row>
    <row r="2832">
      <c r="A2832" s="1"/>
    </row>
    <row r="2833">
      <c r="A2833" s="1"/>
    </row>
    <row r="2834">
      <c r="A2834" s="1"/>
    </row>
    <row r="2835">
      <c r="A2835" s="1"/>
    </row>
    <row r="2836">
      <c r="A2836" s="1"/>
    </row>
    <row r="2837">
      <c r="A2837" s="1"/>
    </row>
    <row r="2838">
      <c r="A2838" s="1"/>
    </row>
    <row r="2839">
      <c r="A2839" s="1"/>
    </row>
    <row r="2840">
      <c r="A2840" s="1"/>
    </row>
    <row r="2841">
      <c r="A2841" s="1"/>
    </row>
    <row r="2842">
      <c r="A2842" s="1"/>
    </row>
    <row r="2843">
      <c r="A2843" s="1"/>
    </row>
    <row r="2844">
      <c r="A2844" s="1"/>
    </row>
    <row r="2845">
      <c r="A2845" s="1"/>
    </row>
    <row r="2846">
      <c r="A2846" s="1"/>
    </row>
    <row r="2847">
      <c r="A2847" s="1"/>
    </row>
    <row r="2848">
      <c r="A2848" s="1"/>
    </row>
    <row r="2849">
      <c r="A2849" s="1"/>
    </row>
    <row r="2850">
      <c r="A2850" s="1"/>
    </row>
    <row r="2851">
      <c r="A2851" s="1"/>
    </row>
    <row r="2852">
      <c r="A2852" s="1"/>
    </row>
    <row r="2853">
      <c r="A2853" s="1"/>
    </row>
    <row r="2854">
      <c r="A2854" s="1"/>
    </row>
    <row r="2855">
      <c r="A2855" s="1"/>
    </row>
    <row r="2856">
      <c r="A2856" s="1"/>
    </row>
    <row r="2857">
      <c r="A2857" s="1"/>
    </row>
    <row r="2858">
      <c r="A2858" s="1"/>
    </row>
    <row r="2859">
      <c r="A2859" s="1"/>
    </row>
    <row r="2860">
      <c r="A2860" s="1"/>
    </row>
    <row r="2861">
      <c r="A2861" s="1"/>
    </row>
    <row r="2862">
      <c r="A2862" s="1"/>
    </row>
    <row r="2863">
      <c r="A2863" s="1"/>
    </row>
    <row r="2864">
      <c r="A2864" s="1"/>
    </row>
    <row r="2865">
      <c r="A2865" s="1"/>
    </row>
    <row r="2866">
      <c r="A2866" s="1"/>
    </row>
    <row r="2867">
      <c r="A2867" s="1"/>
    </row>
    <row r="2868">
      <c r="A2868" s="1"/>
    </row>
    <row r="2869">
      <c r="A2869" s="1"/>
    </row>
    <row r="2870">
      <c r="A2870" s="1"/>
    </row>
    <row r="2871">
      <c r="A2871" s="1"/>
    </row>
    <row r="2872">
      <c r="A2872" s="1"/>
    </row>
    <row r="2873">
      <c r="A2873" s="1"/>
    </row>
    <row r="2874">
      <c r="A2874" s="1"/>
    </row>
    <row r="2875">
      <c r="A2875" s="1"/>
    </row>
    <row r="2876">
      <c r="A2876" s="1"/>
    </row>
    <row r="2877">
      <c r="A2877" s="1"/>
    </row>
    <row r="2878">
      <c r="A2878" s="1"/>
    </row>
    <row r="2879">
      <c r="A2879" s="1"/>
    </row>
    <row r="2880">
      <c r="A2880" s="1"/>
    </row>
    <row r="2881">
      <c r="A2881" s="1"/>
    </row>
    <row r="2882">
      <c r="A2882" s="1"/>
    </row>
    <row r="2883">
      <c r="A2883" s="1"/>
    </row>
    <row r="2884">
      <c r="A2884" s="1"/>
    </row>
    <row r="2885">
      <c r="A2885" s="1"/>
    </row>
    <row r="2886">
      <c r="A2886" s="1"/>
    </row>
    <row r="2887">
      <c r="A2887" s="1"/>
    </row>
    <row r="2888">
      <c r="A2888" s="1"/>
    </row>
    <row r="2889">
      <c r="A2889" s="1"/>
    </row>
    <row r="2890">
      <c r="A2890" s="1"/>
    </row>
    <row r="2891">
      <c r="A2891" s="1"/>
    </row>
    <row r="2892">
      <c r="A2892" s="1"/>
    </row>
    <row r="2893">
      <c r="A2893" s="1"/>
    </row>
    <row r="2894">
      <c r="A2894" s="1"/>
    </row>
    <row r="2895">
      <c r="A2895" s="1"/>
    </row>
    <row r="2896">
      <c r="A2896" s="1"/>
    </row>
    <row r="2897">
      <c r="A2897" s="1"/>
    </row>
    <row r="2898">
      <c r="A2898" s="1"/>
    </row>
    <row r="2899">
      <c r="A2899" s="1"/>
    </row>
    <row r="2900">
      <c r="A2900" s="1"/>
    </row>
    <row r="2901">
      <c r="A2901" s="1"/>
    </row>
    <row r="2902">
      <c r="A2902" s="1"/>
    </row>
    <row r="2903">
      <c r="A2903" s="1"/>
    </row>
    <row r="2904">
      <c r="A2904" s="1"/>
    </row>
    <row r="2905">
      <c r="A2905" s="1"/>
    </row>
    <row r="2906">
      <c r="A2906" s="1"/>
    </row>
    <row r="2907">
      <c r="A2907" s="1"/>
    </row>
    <row r="2908">
      <c r="A2908" s="1"/>
    </row>
    <row r="2909">
      <c r="A2909" s="1"/>
    </row>
    <row r="2910">
      <c r="A2910" s="1"/>
    </row>
    <row r="2911">
      <c r="A2911" s="1"/>
    </row>
    <row r="2912">
      <c r="A2912" s="1"/>
    </row>
    <row r="2913">
      <c r="A2913" s="1"/>
    </row>
    <row r="2914">
      <c r="A2914" s="1"/>
    </row>
    <row r="2915">
      <c r="A2915" s="1"/>
    </row>
    <row r="2916">
      <c r="A2916" s="1"/>
    </row>
    <row r="2917">
      <c r="A2917" s="1"/>
    </row>
    <row r="2918">
      <c r="A2918" s="1"/>
    </row>
    <row r="2919">
      <c r="A2919" s="1"/>
    </row>
    <row r="2920">
      <c r="A2920" s="1"/>
    </row>
    <row r="2921">
      <c r="A2921" s="1"/>
    </row>
    <row r="2922">
      <c r="A2922" s="1"/>
    </row>
    <row r="2923">
      <c r="A2923" s="1"/>
    </row>
    <row r="2924">
      <c r="A2924" s="1"/>
    </row>
    <row r="2925">
      <c r="A2925" s="1"/>
    </row>
    <row r="2926">
      <c r="A2926" s="1"/>
    </row>
    <row r="2927">
      <c r="A2927" s="1"/>
    </row>
    <row r="2928">
      <c r="A2928" s="1"/>
    </row>
    <row r="2929">
      <c r="A2929" s="1"/>
    </row>
    <row r="2930">
      <c r="A2930" s="1"/>
    </row>
    <row r="2931">
      <c r="A2931" s="1"/>
    </row>
    <row r="2932">
      <c r="A2932" s="1"/>
    </row>
    <row r="2933">
      <c r="A2933" s="1"/>
    </row>
    <row r="2934">
      <c r="A2934" s="1"/>
    </row>
    <row r="2935">
      <c r="A2935" s="1"/>
    </row>
    <row r="2936">
      <c r="A2936" s="1"/>
    </row>
    <row r="2937">
      <c r="A2937" s="1"/>
    </row>
    <row r="2938">
      <c r="A2938" s="1"/>
    </row>
    <row r="2939">
      <c r="A2939" s="1"/>
    </row>
    <row r="2940">
      <c r="A2940" s="1"/>
    </row>
    <row r="2941">
      <c r="A2941" s="1"/>
    </row>
    <row r="2942">
      <c r="A2942" s="1"/>
    </row>
    <row r="2943">
      <c r="A2943" s="1"/>
    </row>
    <row r="2944">
      <c r="A2944" s="1"/>
    </row>
    <row r="2945">
      <c r="A2945" s="1"/>
    </row>
    <row r="2946">
      <c r="A2946" s="1"/>
    </row>
    <row r="2947">
      <c r="A2947" s="1"/>
    </row>
    <row r="2948">
      <c r="A2948" s="1"/>
    </row>
    <row r="2949">
      <c r="A2949" s="1"/>
    </row>
    <row r="2950">
      <c r="A2950" s="1"/>
    </row>
    <row r="2951">
      <c r="A2951" s="1"/>
    </row>
    <row r="2952">
      <c r="A2952" s="1"/>
    </row>
    <row r="2953">
      <c r="A2953" s="1"/>
    </row>
    <row r="2954">
      <c r="A2954" s="1"/>
    </row>
    <row r="2955">
      <c r="A2955" s="1"/>
    </row>
    <row r="2956">
      <c r="A2956" s="1"/>
    </row>
    <row r="2957">
      <c r="A2957" s="1"/>
    </row>
    <row r="2958">
      <c r="A2958" s="1"/>
    </row>
    <row r="2959">
      <c r="A2959" s="1"/>
    </row>
    <row r="2960">
      <c r="A2960" s="1"/>
    </row>
    <row r="2961">
      <c r="A2961" s="1"/>
    </row>
    <row r="2962">
      <c r="A2962" s="1"/>
    </row>
    <row r="2963">
      <c r="A2963" s="1"/>
    </row>
    <row r="2964">
      <c r="A2964" s="1"/>
    </row>
    <row r="2965">
      <c r="A2965" s="1"/>
    </row>
    <row r="2966">
      <c r="A2966" s="1"/>
    </row>
    <row r="2967">
      <c r="A2967" s="1"/>
    </row>
    <row r="2968">
      <c r="A2968" s="1"/>
    </row>
    <row r="2969">
      <c r="A2969" s="1"/>
    </row>
    <row r="2970">
      <c r="A2970" s="1"/>
    </row>
    <row r="2971">
      <c r="A2971" s="1"/>
    </row>
    <row r="2972">
      <c r="A2972" s="1"/>
    </row>
    <row r="2973">
      <c r="A2973" s="1"/>
    </row>
    <row r="2974">
      <c r="A2974" s="1"/>
    </row>
    <row r="2975">
      <c r="A2975" s="1"/>
    </row>
    <row r="2976">
      <c r="A2976" s="1"/>
    </row>
    <row r="2977">
      <c r="A2977" s="1"/>
    </row>
    <row r="2978">
      <c r="A2978" s="1"/>
    </row>
    <row r="2979">
      <c r="A2979" s="1"/>
    </row>
    <row r="2980">
      <c r="A2980" s="1"/>
    </row>
    <row r="2981">
      <c r="A2981" s="1"/>
    </row>
    <row r="2982">
      <c r="A2982" s="1"/>
    </row>
    <row r="2983">
      <c r="A2983" s="1"/>
    </row>
    <row r="2984">
      <c r="A2984" s="1"/>
    </row>
    <row r="2985">
      <c r="A2985" s="1"/>
    </row>
    <row r="2986">
      <c r="A2986" s="1"/>
    </row>
    <row r="2987">
      <c r="A2987" s="1"/>
    </row>
    <row r="2988">
      <c r="A2988" s="1"/>
    </row>
    <row r="2989">
      <c r="A2989" s="1"/>
    </row>
    <row r="2990">
      <c r="A2990" s="1"/>
    </row>
    <row r="2991">
      <c r="A2991" s="1"/>
    </row>
    <row r="2992">
      <c r="A2992" s="1"/>
    </row>
    <row r="2993">
      <c r="A2993" s="1"/>
    </row>
    <row r="2994">
      <c r="A2994" s="1"/>
    </row>
    <row r="2995">
      <c r="A2995" s="1"/>
    </row>
    <row r="2996">
      <c r="A2996" s="1"/>
    </row>
    <row r="2997">
      <c r="A2997" s="1"/>
    </row>
    <row r="2998">
      <c r="A2998" s="1"/>
    </row>
    <row r="2999">
      <c r="A2999" s="1"/>
    </row>
    <row r="3000">
      <c r="A3000" s="1"/>
    </row>
    <row r="3001">
      <c r="A3001" s="1"/>
    </row>
    <row r="3002">
      <c r="A3002" s="1"/>
    </row>
    <row r="3003">
      <c r="A3003" s="1"/>
    </row>
    <row r="3004">
      <c r="A3004" s="1"/>
    </row>
    <row r="3005">
      <c r="A3005" s="1"/>
    </row>
    <row r="3006">
      <c r="A3006" s="1"/>
    </row>
    <row r="3007">
      <c r="A3007" s="1"/>
    </row>
    <row r="3008">
      <c r="A3008" s="1"/>
    </row>
    <row r="3009">
      <c r="A3009" s="1"/>
    </row>
    <row r="3010">
      <c r="A3010" s="1"/>
    </row>
    <row r="3011">
      <c r="A3011" s="1"/>
    </row>
    <row r="3012">
      <c r="A3012" s="1"/>
    </row>
    <row r="3013">
      <c r="A3013" s="1"/>
    </row>
    <row r="3014">
      <c r="A3014" s="1"/>
    </row>
    <row r="3015">
      <c r="A3015" s="1"/>
    </row>
    <row r="3016">
      <c r="A3016" s="1"/>
    </row>
    <row r="3017">
      <c r="A3017" s="1"/>
    </row>
    <row r="3018">
      <c r="A3018" s="1"/>
    </row>
    <row r="3019">
      <c r="A3019" s="1"/>
    </row>
    <row r="3020">
      <c r="A3020" s="1"/>
    </row>
    <row r="3021">
      <c r="A3021" s="1"/>
    </row>
    <row r="3022">
      <c r="A3022" s="1"/>
    </row>
    <row r="3023">
      <c r="A3023" s="1"/>
    </row>
    <row r="3024">
      <c r="A3024" s="1"/>
    </row>
    <row r="3025">
      <c r="A3025" s="1"/>
    </row>
    <row r="3026">
      <c r="A3026" s="1"/>
    </row>
    <row r="3027">
      <c r="A3027" s="1"/>
    </row>
    <row r="3028">
      <c r="A3028" s="1"/>
    </row>
    <row r="3029">
      <c r="A3029" s="1"/>
    </row>
    <row r="3030">
      <c r="A3030" s="1"/>
    </row>
    <row r="3031">
      <c r="A3031" s="1"/>
    </row>
    <row r="3032">
      <c r="A3032" s="1"/>
    </row>
    <row r="3033">
      <c r="A3033" s="1"/>
    </row>
    <row r="3034">
      <c r="A3034" s="1"/>
    </row>
    <row r="3035">
      <c r="A3035" s="1"/>
    </row>
    <row r="3036">
      <c r="A3036" s="1"/>
    </row>
    <row r="3037">
      <c r="A3037" s="1"/>
    </row>
    <row r="3038">
      <c r="A3038" s="1"/>
    </row>
    <row r="3039">
      <c r="A3039" s="1"/>
    </row>
    <row r="3040">
      <c r="A3040" s="1"/>
    </row>
    <row r="3041">
      <c r="A3041" s="1"/>
    </row>
    <row r="3042">
      <c r="A3042" s="1"/>
    </row>
    <row r="3043">
      <c r="A3043" s="1"/>
    </row>
    <row r="3044">
      <c r="A3044" s="1"/>
    </row>
    <row r="3045">
      <c r="A3045" s="1"/>
    </row>
    <row r="3046">
      <c r="A3046" s="1"/>
    </row>
    <row r="3047">
      <c r="A3047" s="1"/>
    </row>
    <row r="3048">
      <c r="A3048" s="1"/>
    </row>
    <row r="3049">
      <c r="A3049" s="1"/>
    </row>
    <row r="3050">
      <c r="A3050" s="1"/>
    </row>
    <row r="3051">
      <c r="A3051" s="1"/>
    </row>
    <row r="3052">
      <c r="A3052" s="1"/>
    </row>
    <row r="3053">
      <c r="A3053" s="1"/>
    </row>
    <row r="3054">
      <c r="A3054" s="1"/>
    </row>
    <row r="3055">
      <c r="A3055" s="1"/>
    </row>
    <row r="3056">
      <c r="A3056" s="1"/>
    </row>
    <row r="3057">
      <c r="A3057" s="1"/>
    </row>
    <row r="3058">
      <c r="A3058" s="1"/>
    </row>
    <row r="3059">
      <c r="A3059" s="1"/>
    </row>
    <row r="3060">
      <c r="A3060" s="1"/>
    </row>
    <row r="3061">
      <c r="A3061" s="1"/>
    </row>
    <row r="3062">
      <c r="A3062" s="1"/>
    </row>
    <row r="3063">
      <c r="A3063" s="1"/>
    </row>
    <row r="3064">
      <c r="A3064" s="1"/>
    </row>
    <row r="3065">
      <c r="A3065" s="1"/>
    </row>
    <row r="3066">
      <c r="A3066" s="1"/>
    </row>
    <row r="3067">
      <c r="A3067" s="1"/>
    </row>
    <row r="3068">
      <c r="A3068" s="1"/>
    </row>
    <row r="3069">
      <c r="A3069" s="1"/>
    </row>
    <row r="3070">
      <c r="A3070" s="1"/>
    </row>
    <row r="3071">
      <c r="A3071" s="1"/>
    </row>
    <row r="3072">
      <c r="A3072" s="1"/>
    </row>
    <row r="3073">
      <c r="A3073" s="1"/>
    </row>
    <row r="3074">
      <c r="A3074" s="1"/>
    </row>
    <row r="3075">
      <c r="A3075" s="1"/>
    </row>
    <row r="3076">
      <c r="A3076" s="1"/>
    </row>
    <row r="3077">
      <c r="A3077" s="1"/>
    </row>
    <row r="3078">
      <c r="A3078" s="1"/>
    </row>
    <row r="3079">
      <c r="A3079" s="1"/>
    </row>
    <row r="3080">
      <c r="A3080" s="1"/>
    </row>
    <row r="3081">
      <c r="A3081" s="1"/>
    </row>
    <row r="3082">
      <c r="A3082" s="1"/>
    </row>
    <row r="3083">
      <c r="A3083" s="1"/>
    </row>
    <row r="3084">
      <c r="A3084" s="1"/>
    </row>
    <row r="3085">
      <c r="A3085" s="1"/>
    </row>
    <row r="3086">
      <c r="A3086" s="1"/>
    </row>
    <row r="3087">
      <c r="A3087" s="1"/>
    </row>
    <row r="3088">
      <c r="A3088" s="1"/>
    </row>
    <row r="3089">
      <c r="A3089" s="1"/>
    </row>
    <row r="3090">
      <c r="A3090" s="1"/>
    </row>
    <row r="3091">
      <c r="A3091" s="1"/>
    </row>
    <row r="3092">
      <c r="A3092" s="1"/>
    </row>
    <row r="3093">
      <c r="A3093" s="1"/>
    </row>
    <row r="3094">
      <c r="A3094" s="1"/>
    </row>
    <row r="3095">
      <c r="A3095" s="1"/>
    </row>
    <row r="3096">
      <c r="A3096" s="1"/>
    </row>
    <row r="3097">
      <c r="A3097" s="1"/>
    </row>
    <row r="3098">
      <c r="A3098" s="1"/>
    </row>
    <row r="3099">
      <c r="A3099" s="1"/>
    </row>
    <row r="3100">
      <c r="A3100" s="1"/>
    </row>
    <row r="3101">
      <c r="A3101" s="1"/>
    </row>
    <row r="3102">
      <c r="A3102" s="1"/>
    </row>
    <row r="3103">
      <c r="A3103" s="1"/>
    </row>
    <row r="3104">
      <c r="A3104" s="1"/>
    </row>
    <row r="3105">
      <c r="A3105" s="1"/>
    </row>
    <row r="3106">
      <c r="A3106" s="1"/>
    </row>
    <row r="3107">
      <c r="A3107" s="1"/>
    </row>
    <row r="3108">
      <c r="A3108" s="1"/>
    </row>
    <row r="3109">
      <c r="A3109" s="1"/>
    </row>
    <row r="3110">
      <c r="A3110" s="1"/>
    </row>
    <row r="3111">
      <c r="A3111" s="1"/>
    </row>
    <row r="3112">
      <c r="A3112" s="1"/>
    </row>
    <row r="3113">
      <c r="A3113" s="1"/>
    </row>
    <row r="3114">
      <c r="A3114" s="1"/>
    </row>
    <row r="3115">
      <c r="A3115" s="1"/>
    </row>
    <row r="3116">
      <c r="A3116" s="1"/>
    </row>
    <row r="3117">
      <c r="A3117" s="1"/>
    </row>
    <row r="3118">
      <c r="A3118" s="1"/>
    </row>
    <row r="3119">
      <c r="A3119" s="1"/>
    </row>
    <row r="3120">
      <c r="A3120" s="1"/>
    </row>
    <row r="3121">
      <c r="A3121" s="1"/>
    </row>
    <row r="3122">
      <c r="A3122" s="1"/>
    </row>
    <row r="3123">
      <c r="A3123" s="1"/>
    </row>
    <row r="3124">
      <c r="A3124" s="1"/>
    </row>
    <row r="3125">
      <c r="A3125" s="1"/>
    </row>
    <row r="3126">
      <c r="A3126" s="1"/>
    </row>
    <row r="3127">
      <c r="A3127" s="1"/>
    </row>
    <row r="3128">
      <c r="A3128" s="1"/>
    </row>
    <row r="3129">
      <c r="A3129" s="1"/>
    </row>
    <row r="3130">
      <c r="A3130" s="1"/>
    </row>
    <row r="3131">
      <c r="A3131" s="1"/>
    </row>
    <row r="3132">
      <c r="A3132" s="1"/>
    </row>
    <row r="3133">
      <c r="A3133" s="1"/>
    </row>
    <row r="3134">
      <c r="A3134" s="1"/>
    </row>
    <row r="3135">
      <c r="A3135" s="1"/>
    </row>
    <row r="3136">
      <c r="A3136" s="1"/>
    </row>
    <row r="3137">
      <c r="A3137" s="1"/>
    </row>
    <row r="3138">
      <c r="A3138" s="1"/>
    </row>
    <row r="3139">
      <c r="A3139" s="1"/>
    </row>
    <row r="3140">
      <c r="A3140" s="1"/>
    </row>
    <row r="3141">
      <c r="A3141" s="1"/>
    </row>
    <row r="3142">
      <c r="A3142" s="1"/>
    </row>
    <row r="3143">
      <c r="A3143" s="1"/>
    </row>
    <row r="3144">
      <c r="A3144" s="1"/>
    </row>
    <row r="3145">
      <c r="A3145" s="1"/>
    </row>
    <row r="3146">
      <c r="A3146" s="1"/>
    </row>
    <row r="3147">
      <c r="A3147" s="1"/>
    </row>
    <row r="3148">
      <c r="A3148" s="1"/>
    </row>
    <row r="3149">
      <c r="A3149" s="1"/>
    </row>
    <row r="3150">
      <c r="A3150" s="1"/>
    </row>
    <row r="3151">
      <c r="A3151" s="1"/>
    </row>
    <row r="3152">
      <c r="A3152" s="1"/>
    </row>
    <row r="3153">
      <c r="A3153" s="1"/>
    </row>
    <row r="3154">
      <c r="A3154" s="1"/>
    </row>
    <row r="3155">
      <c r="A3155" s="1"/>
    </row>
    <row r="3156">
      <c r="A3156" s="1"/>
    </row>
    <row r="3157">
      <c r="A3157" s="1"/>
    </row>
    <row r="3158">
      <c r="A3158" s="1"/>
    </row>
    <row r="3159">
      <c r="A3159" s="1"/>
    </row>
    <row r="3160">
      <c r="A3160" s="1"/>
    </row>
    <row r="3161">
      <c r="A3161" s="1"/>
    </row>
    <row r="3162">
      <c r="A3162" s="1"/>
    </row>
    <row r="3163">
      <c r="A3163" s="1"/>
    </row>
    <row r="3164">
      <c r="A3164" s="1"/>
    </row>
    <row r="3165">
      <c r="A3165" s="1"/>
    </row>
    <row r="3166">
      <c r="A3166" s="1"/>
    </row>
    <row r="3167">
      <c r="A3167" s="1"/>
    </row>
    <row r="3168">
      <c r="A3168" s="1"/>
    </row>
    <row r="3169">
      <c r="A3169" s="1"/>
    </row>
    <row r="3170">
      <c r="A3170" s="1"/>
    </row>
    <row r="3171">
      <c r="A3171" s="1"/>
    </row>
    <row r="3172">
      <c r="A3172" s="1"/>
    </row>
    <row r="3173">
      <c r="A3173" s="1"/>
    </row>
    <row r="3174">
      <c r="A3174" s="1"/>
    </row>
    <row r="3175">
      <c r="A3175" s="1"/>
    </row>
    <row r="3176">
      <c r="A3176" s="1"/>
    </row>
    <row r="3177">
      <c r="A3177" s="1"/>
    </row>
    <row r="3178">
      <c r="A3178" s="1"/>
    </row>
    <row r="3179">
      <c r="A3179" s="1"/>
    </row>
    <row r="3180">
      <c r="A3180" s="1"/>
    </row>
    <row r="3181">
      <c r="A3181" s="1"/>
    </row>
    <row r="3182">
      <c r="A3182" s="1"/>
    </row>
    <row r="3183">
      <c r="A3183" s="1"/>
    </row>
    <row r="3184">
      <c r="A3184" s="1"/>
    </row>
    <row r="3185">
      <c r="A3185" s="1"/>
    </row>
    <row r="3186">
      <c r="A3186" s="1"/>
    </row>
    <row r="3187">
      <c r="A3187" s="1"/>
    </row>
    <row r="3188">
      <c r="A3188" s="1"/>
    </row>
    <row r="3189">
      <c r="A3189" s="1"/>
    </row>
    <row r="3190">
      <c r="A3190" s="1"/>
    </row>
    <row r="3191">
      <c r="A3191" s="1"/>
    </row>
    <row r="3192">
      <c r="A3192" s="1"/>
    </row>
    <row r="3193">
      <c r="A3193" s="1"/>
    </row>
    <row r="3194">
      <c r="A3194" s="1"/>
    </row>
    <row r="3195">
      <c r="A3195" s="1"/>
    </row>
    <row r="3196">
      <c r="A3196" s="1"/>
    </row>
    <row r="3197">
      <c r="A3197" s="1"/>
    </row>
    <row r="3198">
      <c r="A3198" s="1"/>
    </row>
    <row r="3199">
      <c r="A3199" s="1"/>
    </row>
    <row r="3200">
      <c r="A3200" s="1"/>
    </row>
    <row r="3201">
      <c r="A3201" s="1"/>
    </row>
    <row r="3202">
      <c r="A3202" s="1"/>
    </row>
    <row r="3203">
      <c r="A3203" s="1"/>
    </row>
    <row r="3204">
      <c r="A3204" s="1"/>
    </row>
    <row r="3205">
      <c r="A3205" s="1"/>
    </row>
    <row r="3206">
      <c r="A3206" s="1"/>
    </row>
    <row r="3207">
      <c r="A3207" s="1"/>
    </row>
    <row r="3208">
      <c r="A3208" s="1"/>
    </row>
    <row r="3209">
      <c r="A3209" s="1"/>
    </row>
    <row r="3210">
      <c r="A3210" s="1"/>
    </row>
    <row r="3211">
      <c r="A3211" s="1"/>
    </row>
    <row r="3212">
      <c r="A3212" s="1"/>
    </row>
    <row r="3213">
      <c r="A3213" s="1"/>
    </row>
    <row r="3214">
      <c r="A3214" s="1"/>
    </row>
    <row r="3215">
      <c r="A3215" s="1"/>
    </row>
    <row r="3216">
      <c r="A3216" s="1"/>
    </row>
    <row r="3217">
      <c r="A3217" s="1"/>
    </row>
    <row r="3218">
      <c r="A3218" s="1"/>
    </row>
    <row r="3219">
      <c r="A3219" s="1"/>
    </row>
    <row r="3220">
      <c r="A3220" s="1"/>
    </row>
    <row r="3221">
      <c r="A3221" s="1"/>
    </row>
    <row r="3222">
      <c r="A3222" s="1"/>
    </row>
    <row r="3223">
      <c r="A3223" s="1"/>
    </row>
    <row r="3224">
      <c r="A3224" s="1"/>
    </row>
    <row r="3225">
      <c r="A3225" s="1"/>
    </row>
    <row r="3226">
      <c r="A3226" s="1"/>
    </row>
    <row r="3227">
      <c r="A3227" s="1"/>
    </row>
    <row r="3228">
      <c r="A3228" s="1"/>
    </row>
    <row r="3229">
      <c r="A3229" s="1"/>
    </row>
    <row r="3230">
      <c r="A3230" s="1"/>
    </row>
    <row r="3231">
      <c r="A3231" s="1"/>
    </row>
    <row r="3232">
      <c r="A3232" s="1"/>
    </row>
    <row r="3233">
      <c r="A3233" s="1"/>
    </row>
    <row r="3234">
      <c r="A3234" s="1"/>
    </row>
    <row r="3235">
      <c r="A3235" s="1"/>
    </row>
    <row r="3236">
      <c r="A3236" s="1"/>
    </row>
    <row r="3237">
      <c r="A3237" s="1"/>
    </row>
    <row r="3238">
      <c r="A3238" s="1"/>
    </row>
    <row r="3239">
      <c r="A3239" s="1"/>
    </row>
    <row r="3240">
      <c r="A3240" s="1"/>
    </row>
    <row r="3241">
      <c r="A3241" s="1"/>
    </row>
    <row r="3242">
      <c r="A3242" s="1"/>
    </row>
    <row r="3243">
      <c r="A3243" s="1"/>
    </row>
    <row r="3244">
      <c r="A3244" s="1"/>
    </row>
    <row r="3245">
      <c r="A3245" s="1"/>
    </row>
    <row r="3246">
      <c r="A3246" s="1"/>
    </row>
    <row r="3247">
      <c r="A3247" s="1"/>
    </row>
    <row r="3248">
      <c r="A3248" s="1"/>
    </row>
    <row r="3249">
      <c r="A3249" s="1"/>
    </row>
    <row r="3250">
      <c r="A3250" s="1"/>
    </row>
    <row r="3251">
      <c r="A3251" s="1"/>
    </row>
    <row r="3252">
      <c r="A3252" s="1"/>
    </row>
    <row r="3253">
      <c r="A3253" s="1"/>
    </row>
    <row r="3254">
      <c r="A3254" s="1"/>
    </row>
    <row r="3255">
      <c r="A3255" s="1"/>
    </row>
    <row r="3256">
      <c r="A3256" s="1"/>
    </row>
    <row r="3257">
      <c r="A3257" s="1"/>
    </row>
    <row r="3258">
      <c r="A3258" s="1"/>
    </row>
    <row r="3259">
      <c r="A3259" s="1"/>
    </row>
    <row r="3260">
      <c r="A3260" s="1"/>
    </row>
    <row r="3261">
      <c r="A3261" s="1"/>
    </row>
    <row r="3262">
      <c r="A3262" s="1"/>
    </row>
    <row r="3263">
      <c r="A3263" s="1"/>
    </row>
    <row r="3264">
      <c r="A3264" s="1"/>
    </row>
    <row r="3265">
      <c r="A3265" s="1"/>
    </row>
    <row r="3266">
      <c r="A3266" s="1"/>
    </row>
    <row r="3267">
      <c r="A3267" s="1"/>
    </row>
    <row r="3268">
      <c r="A3268" s="1"/>
    </row>
    <row r="3269">
      <c r="A3269" s="1"/>
    </row>
    <row r="3270">
      <c r="A3270" s="1"/>
    </row>
    <row r="3271">
      <c r="A3271" s="1"/>
    </row>
    <row r="3272">
      <c r="A3272" s="1"/>
    </row>
    <row r="3273">
      <c r="A3273" s="1"/>
    </row>
    <row r="3274">
      <c r="A3274" s="1"/>
    </row>
    <row r="3275">
      <c r="A3275" s="1"/>
    </row>
    <row r="3276">
      <c r="A3276" s="1"/>
    </row>
    <row r="3277">
      <c r="A3277" s="1"/>
    </row>
    <row r="3278">
      <c r="A3278" s="1"/>
    </row>
    <row r="3279">
      <c r="A3279" s="1"/>
    </row>
    <row r="3280">
      <c r="A3280" s="1"/>
    </row>
    <row r="3281">
      <c r="A3281" s="1"/>
    </row>
    <row r="3282">
      <c r="A3282" s="1"/>
    </row>
    <row r="3283">
      <c r="A3283" s="1"/>
    </row>
    <row r="3284">
      <c r="A3284" s="1"/>
    </row>
    <row r="3285">
      <c r="A3285" s="1"/>
    </row>
    <row r="3286">
      <c r="A3286" s="1"/>
    </row>
    <row r="3287">
      <c r="A3287" s="1"/>
    </row>
    <row r="3288">
      <c r="A3288" s="1"/>
    </row>
    <row r="3289">
      <c r="A3289" s="1"/>
    </row>
    <row r="3290">
      <c r="A3290" s="1"/>
    </row>
    <row r="3291">
      <c r="A3291" s="1"/>
    </row>
    <row r="3292">
      <c r="A3292" s="1"/>
    </row>
    <row r="3293">
      <c r="A3293" s="1"/>
    </row>
    <row r="3294">
      <c r="A3294" s="1"/>
    </row>
    <row r="3295">
      <c r="A3295" s="1"/>
    </row>
    <row r="3296">
      <c r="A3296" s="1"/>
    </row>
    <row r="3297">
      <c r="A3297" s="1"/>
    </row>
    <row r="3298">
      <c r="A3298" s="1"/>
    </row>
    <row r="3299">
      <c r="A3299" s="1"/>
    </row>
    <row r="3300">
      <c r="A3300" s="1"/>
    </row>
    <row r="3301">
      <c r="A3301" s="1"/>
    </row>
    <row r="3302">
      <c r="A3302" s="1"/>
    </row>
    <row r="3303">
      <c r="A3303" s="1"/>
    </row>
    <row r="3304">
      <c r="A3304" s="1"/>
    </row>
    <row r="3305">
      <c r="A3305" s="1"/>
    </row>
    <row r="3306">
      <c r="A3306" s="1"/>
    </row>
    <row r="3307">
      <c r="A3307" s="1"/>
    </row>
    <row r="3308">
      <c r="A3308" s="1"/>
    </row>
    <row r="3309">
      <c r="A3309" s="1"/>
    </row>
    <row r="3310">
      <c r="A3310" s="1"/>
    </row>
    <row r="3311">
      <c r="A3311" s="1"/>
    </row>
    <row r="3312">
      <c r="A3312" s="1"/>
    </row>
    <row r="3313">
      <c r="A3313" s="1"/>
    </row>
    <row r="3314">
      <c r="A3314" s="1"/>
    </row>
    <row r="3315">
      <c r="A3315" s="1"/>
    </row>
    <row r="3316">
      <c r="A3316" s="1"/>
    </row>
    <row r="3317">
      <c r="A3317" s="1"/>
    </row>
    <row r="3318">
      <c r="A3318" s="1"/>
    </row>
    <row r="3319">
      <c r="A3319" s="1"/>
    </row>
    <row r="3320">
      <c r="A3320" s="1"/>
    </row>
    <row r="3321">
      <c r="A3321" s="1"/>
    </row>
    <row r="3322">
      <c r="A3322" s="1"/>
    </row>
    <row r="3323">
      <c r="A3323" s="1"/>
    </row>
    <row r="3324">
      <c r="A3324" s="1"/>
    </row>
    <row r="3325">
      <c r="A3325" s="1"/>
    </row>
    <row r="3326">
      <c r="A3326" s="1"/>
    </row>
    <row r="3327">
      <c r="A3327" s="1"/>
    </row>
    <row r="3328">
      <c r="A3328" s="1"/>
    </row>
    <row r="3329">
      <c r="A3329" s="1"/>
    </row>
    <row r="3330">
      <c r="A3330" s="1"/>
    </row>
    <row r="3331">
      <c r="A3331" s="1"/>
    </row>
    <row r="3332">
      <c r="A3332" s="1"/>
    </row>
    <row r="3333">
      <c r="A3333" s="1"/>
    </row>
    <row r="3334">
      <c r="A3334" s="1"/>
    </row>
    <row r="3335">
      <c r="A3335" s="1"/>
    </row>
    <row r="3336">
      <c r="A3336" s="1"/>
    </row>
    <row r="3337">
      <c r="A3337" s="1"/>
    </row>
    <row r="3338">
      <c r="A3338" s="1"/>
    </row>
    <row r="3339">
      <c r="A3339" s="1"/>
    </row>
    <row r="3340">
      <c r="A3340" s="1"/>
    </row>
    <row r="3341">
      <c r="A3341" s="1"/>
    </row>
    <row r="3342">
      <c r="A3342" s="1"/>
    </row>
    <row r="3343">
      <c r="A3343" s="1"/>
    </row>
    <row r="3344">
      <c r="A3344" s="1"/>
    </row>
    <row r="3345">
      <c r="A3345" s="1"/>
    </row>
    <row r="3346">
      <c r="A3346" s="1"/>
    </row>
    <row r="3347">
      <c r="A3347" s="1"/>
    </row>
    <row r="3348">
      <c r="A3348" s="1"/>
    </row>
    <row r="3349">
      <c r="A3349" s="1"/>
    </row>
    <row r="3350">
      <c r="A3350" s="1"/>
    </row>
    <row r="3351">
      <c r="A3351" s="1"/>
    </row>
    <row r="3352">
      <c r="A3352" s="1"/>
    </row>
    <row r="3353">
      <c r="A3353" s="1"/>
    </row>
    <row r="3354">
      <c r="A3354" s="1"/>
    </row>
    <row r="3355">
      <c r="A3355" s="1"/>
    </row>
    <row r="3356">
      <c r="A3356" s="1"/>
    </row>
    <row r="3357">
      <c r="A3357" s="1"/>
    </row>
    <row r="3358">
      <c r="A3358" s="1"/>
    </row>
    <row r="3359">
      <c r="A3359" s="1"/>
    </row>
    <row r="3360">
      <c r="A3360" s="1"/>
    </row>
    <row r="3361">
      <c r="A3361" s="1"/>
    </row>
    <row r="3362">
      <c r="A3362" s="1"/>
    </row>
    <row r="3363">
      <c r="A3363" s="1"/>
    </row>
    <row r="3364">
      <c r="A3364" s="1"/>
    </row>
    <row r="3365">
      <c r="A3365" s="1"/>
    </row>
    <row r="3366">
      <c r="A3366" s="1"/>
    </row>
    <row r="3367">
      <c r="A3367" s="1"/>
    </row>
    <row r="3368">
      <c r="A3368" s="1"/>
    </row>
    <row r="3369">
      <c r="A3369" s="1"/>
    </row>
    <row r="3370">
      <c r="A3370" s="1"/>
    </row>
    <row r="3371">
      <c r="A3371" s="1"/>
    </row>
    <row r="3372">
      <c r="A3372" s="1"/>
    </row>
    <row r="3373">
      <c r="A3373" s="1"/>
    </row>
    <row r="3374">
      <c r="A3374" s="1"/>
    </row>
    <row r="3375">
      <c r="A3375" s="1"/>
    </row>
    <row r="3376">
      <c r="A3376" s="1"/>
    </row>
    <row r="3377">
      <c r="A3377" s="1"/>
    </row>
    <row r="3378">
      <c r="A3378" s="1"/>
    </row>
    <row r="3379">
      <c r="A3379" s="1"/>
    </row>
    <row r="3380">
      <c r="A3380" s="1"/>
    </row>
    <row r="3381">
      <c r="A3381" s="1"/>
    </row>
    <row r="3382">
      <c r="A3382" s="1"/>
    </row>
    <row r="3383">
      <c r="A3383" s="1"/>
    </row>
    <row r="3384">
      <c r="A3384" s="1"/>
    </row>
    <row r="3385">
      <c r="A3385" s="1"/>
    </row>
    <row r="3386">
      <c r="A3386" s="1"/>
    </row>
    <row r="3387">
      <c r="A3387" s="1"/>
    </row>
    <row r="3388">
      <c r="A3388" s="1"/>
    </row>
    <row r="3389">
      <c r="A3389" s="1"/>
    </row>
    <row r="3390">
      <c r="A3390" s="1"/>
    </row>
    <row r="3391">
      <c r="A3391" s="1"/>
    </row>
    <row r="3392">
      <c r="A3392" s="1"/>
    </row>
    <row r="3393">
      <c r="A3393" s="1"/>
    </row>
    <row r="3394">
      <c r="A3394" s="1"/>
    </row>
    <row r="3395">
      <c r="A3395" s="1"/>
    </row>
    <row r="3396">
      <c r="A3396" s="1"/>
    </row>
    <row r="3397">
      <c r="A3397" s="1"/>
    </row>
    <row r="3398">
      <c r="A3398" s="1"/>
    </row>
    <row r="3399">
      <c r="A3399" s="1"/>
    </row>
    <row r="3400">
      <c r="A3400" s="1"/>
    </row>
    <row r="3401">
      <c r="A3401" s="1"/>
    </row>
    <row r="3402">
      <c r="A3402" s="1"/>
    </row>
    <row r="3403">
      <c r="A3403" s="1"/>
    </row>
    <row r="3404">
      <c r="A3404" s="1"/>
    </row>
    <row r="3405">
      <c r="A3405" s="1"/>
    </row>
    <row r="3406">
      <c r="A3406" s="1"/>
    </row>
    <row r="3407">
      <c r="A3407" s="1"/>
    </row>
    <row r="3408">
      <c r="A3408" s="1"/>
    </row>
    <row r="3409">
      <c r="A3409" s="1"/>
    </row>
    <row r="3410">
      <c r="A3410" s="1"/>
    </row>
    <row r="3411">
      <c r="A3411" s="1"/>
    </row>
    <row r="3412">
      <c r="A3412" s="1"/>
    </row>
    <row r="3413">
      <c r="A3413" s="1"/>
    </row>
    <row r="3414">
      <c r="A3414" s="1"/>
    </row>
    <row r="3415">
      <c r="A3415" s="1"/>
    </row>
    <row r="3416">
      <c r="A3416" s="1"/>
    </row>
    <row r="3417">
      <c r="A3417" s="1"/>
    </row>
    <row r="3418">
      <c r="A3418" s="1"/>
    </row>
    <row r="3419">
      <c r="A3419" s="1"/>
    </row>
    <row r="3420">
      <c r="A3420" s="1"/>
    </row>
    <row r="3421">
      <c r="A3421" s="1"/>
    </row>
    <row r="3422">
      <c r="A3422" s="1"/>
    </row>
    <row r="3423">
      <c r="A3423" s="1"/>
    </row>
    <row r="3424">
      <c r="A3424" s="1"/>
    </row>
    <row r="3425">
      <c r="A3425" s="1"/>
    </row>
    <row r="3426">
      <c r="A3426" s="1"/>
    </row>
    <row r="3427">
      <c r="A3427" s="1"/>
    </row>
    <row r="3428">
      <c r="A3428" s="1"/>
    </row>
    <row r="3429">
      <c r="A3429" s="1"/>
    </row>
    <row r="3430">
      <c r="A3430" s="1"/>
    </row>
    <row r="3431">
      <c r="A3431" s="1"/>
    </row>
    <row r="3432">
      <c r="A3432" s="1"/>
    </row>
    <row r="3433">
      <c r="A3433" s="1"/>
    </row>
    <row r="3434">
      <c r="A3434" s="1"/>
    </row>
    <row r="3435">
      <c r="A3435" s="1"/>
    </row>
    <row r="3436">
      <c r="A3436" s="1"/>
    </row>
    <row r="3437">
      <c r="A3437" s="1"/>
    </row>
    <row r="3438">
      <c r="A3438" s="1"/>
    </row>
    <row r="3439">
      <c r="A3439" s="1"/>
    </row>
    <row r="3440">
      <c r="A3440" s="1"/>
    </row>
    <row r="3441">
      <c r="A3441" s="1"/>
    </row>
    <row r="3442">
      <c r="A3442" s="1"/>
    </row>
    <row r="3443">
      <c r="A3443" s="1"/>
    </row>
    <row r="3444">
      <c r="A3444" s="1"/>
    </row>
    <row r="3445">
      <c r="A3445" s="1"/>
    </row>
    <row r="3446">
      <c r="A3446" s="1"/>
    </row>
    <row r="3447">
      <c r="A3447" s="1"/>
    </row>
    <row r="3448">
      <c r="A3448" s="1"/>
    </row>
    <row r="3449">
      <c r="A3449" s="1"/>
    </row>
    <row r="3450">
      <c r="A3450" s="1"/>
    </row>
    <row r="3451">
      <c r="A3451" s="1"/>
    </row>
    <row r="3452">
      <c r="A3452" s="1"/>
    </row>
    <row r="3453">
      <c r="A3453" s="1"/>
    </row>
    <row r="3454">
      <c r="A3454" s="1"/>
    </row>
    <row r="3455">
      <c r="A3455" s="1"/>
    </row>
    <row r="3456">
      <c r="A3456" s="1"/>
    </row>
    <row r="3457">
      <c r="A3457" s="1"/>
    </row>
    <row r="3458">
      <c r="A3458" s="1"/>
    </row>
    <row r="3459">
      <c r="A3459" s="1"/>
    </row>
    <row r="3460">
      <c r="A3460" s="1"/>
    </row>
    <row r="3461">
      <c r="A3461" s="1"/>
    </row>
    <row r="3462">
      <c r="A3462" s="1"/>
    </row>
    <row r="3463">
      <c r="A3463" s="1"/>
    </row>
    <row r="3464">
      <c r="A3464" s="1"/>
    </row>
    <row r="3465">
      <c r="A3465" s="1"/>
    </row>
    <row r="3466">
      <c r="A3466" s="1"/>
    </row>
    <row r="3467">
      <c r="A3467" s="1"/>
    </row>
    <row r="3468">
      <c r="A3468" s="1"/>
    </row>
    <row r="3469">
      <c r="A3469" s="1"/>
    </row>
    <row r="3470">
      <c r="A3470" s="1"/>
    </row>
    <row r="3471">
      <c r="A3471" s="1"/>
    </row>
    <row r="3472">
      <c r="A3472" s="1"/>
    </row>
    <row r="3473">
      <c r="A3473" s="1"/>
    </row>
    <row r="3474">
      <c r="A3474" s="1"/>
    </row>
    <row r="3475">
      <c r="A3475" s="1"/>
    </row>
    <row r="3476">
      <c r="A3476" s="1"/>
    </row>
    <row r="3477">
      <c r="A3477" s="1"/>
    </row>
    <row r="3478">
      <c r="A3478" s="1"/>
    </row>
    <row r="3479">
      <c r="A3479" s="1"/>
    </row>
    <row r="3480">
      <c r="A3480" s="1"/>
    </row>
    <row r="3481">
      <c r="A3481" s="1"/>
    </row>
    <row r="3482">
      <c r="A3482" s="1"/>
    </row>
    <row r="3483">
      <c r="A3483" s="1"/>
    </row>
    <row r="3484">
      <c r="A3484" s="1"/>
    </row>
    <row r="3485">
      <c r="A3485" s="1"/>
    </row>
    <row r="3486">
      <c r="A3486" s="1"/>
    </row>
    <row r="3487">
      <c r="A3487" s="1"/>
    </row>
    <row r="3488">
      <c r="A3488" s="1"/>
    </row>
    <row r="3489">
      <c r="A3489" s="1"/>
    </row>
    <row r="3490">
      <c r="A3490" s="1"/>
    </row>
    <row r="3491">
      <c r="A3491" s="1"/>
    </row>
    <row r="3492">
      <c r="A3492" s="1"/>
    </row>
    <row r="3493">
      <c r="A3493" s="1"/>
    </row>
    <row r="3494">
      <c r="A3494" s="1"/>
    </row>
    <row r="3495">
      <c r="A3495" s="1"/>
    </row>
    <row r="3496">
      <c r="A3496" s="1"/>
    </row>
    <row r="3497">
      <c r="A3497" s="1"/>
    </row>
    <row r="3498">
      <c r="A3498" s="1"/>
    </row>
    <row r="3499">
      <c r="A3499" s="1"/>
    </row>
    <row r="3500">
      <c r="A3500" s="1"/>
    </row>
    <row r="3501">
      <c r="A3501" s="1"/>
    </row>
    <row r="3502">
      <c r="A3502" s="1"/>
    </row>
    <row r="3503">
      <c r="A3503" s="1"/>
    </row>
    <row r="3504">
      <c r="A3504" s="1"/>
    </row>
    <row r="3505">
      <c r="A3505" s="1"/>
    </row>
    <row r="3506">
      <c r="A3506" s="1"/>
    </row>
    <row r="3507">
      <c r="A3507" s="1"/>
    </row>
    <row r="3508">
      <c r="A3508" s="1"/>
    </row>
    <row r="3509">
      <c r="A3509" s="1"/>
    </row>
    <row r="3510">
      <c r="A3510" s="1"/>
    </row>
    <row r="3511">
      <c r="A3511" s="1"/>
    </row>
    <row r="3512">
      <c r="A3512" s="1"/>
    </row>
    <row r="3513">
      <c r="A3513" s="1"/>
    </row>
    <row r="3514">
      <c r="A3514" s="1"/>
    </row>
    <row r="3515">
      <c r="A3515" s="1"/>
    </row>
    <row r="3516">
      <c r="A3516" s="1"/>
    </row>
    <row r="3517">
      <c r="A3517" s="1"/>
    </row>
    <row r="3518">
      <c r="A3518" s="1"/>
    </row>
    <row r="3519">
      <c r="A3519" s="1"/>
    </row>
    <row r="3520">
      <c r="A3520" s="1"/>
    </row>
    <row r="3521">
      <c r="A3521" s="1"/>
    </row>
    <row r="3522">
      <c r="A3522" s="1"/>
    </row>
    <row r="3523">
      <c r="A3523" s="1"/>
    </row>
    <row r="3524">
      <c r="A3524" s="1"/>
    </row>
    <row r="3525">
      <c r="A3525" s="1"/>
    </row>
    <row r="3526">
      <c r="A3526" s="1"/>
    </row>
    <row r="3527">
      <c r="A3527" s="1"/>
    </row>
    <row r="3528">
      <c r="A3528" s="1"/>
    </row>
    <row r="3529">
      <c r="A3529" s="1"/>
    </row>
    <row r="3530">
      <c r="A3530" s="1"/>
    </row>
    <row r="3531">
      <c r="A3531" s="1"/>
    </row>
    <row r="3532">
      <c r="A3532" s="1"/>
    </row>
    <row r="3533">
      <c r="A3533" s="1"/>
    </row>
    <row r="3534">
      <c r="A3534" s="1"/>
    </row>
    <row r="3535">
      <c r="A3535" s="1"/>
    </row>
    <row r="3536">
      <c r="A3536" s="1"/>
    </row>
    <row r="3537">
      <c r="A3537" s="1"/>
    </row>
    <row r="3538">
      <c r="A3538" s="1"/>
    </row>
    <row r="3539">
      <c r="A3539" s="1"/>
    </row>
    <row r="3540">
      <c r="A3540" s="1"/>
    </row>
    <row r="3541">
      <c r="A3541" s="1"/>
    </row>
    <row r="3542">
      <c r="A3542" s="1"/>
    </row>
    <row r="3543">
      <c r="A3543" s="1"/>
    </row>
    <row r="3544">
      <c r="A3544" s="1"/>
    </row>
    <row r="3545">
      <c r="A3545" s="1"/>
    </row>
    <row r="3546">
      <c r="A3546" s="1"/>
    </row>
    <row r="3547">
      <c r="A3547" s="1"/>
    </row>
    <row r="3548">
      <c r="A3548" s="1"/>
    </row>
    <row r="3549">
      <c r="A3549" s="1"/>
    </row>
    <row r="3550">
      <c r="A3550" s="1"/>
    </row>
    <row r="3551">
      <c r="A3551" s="1"/>
    </row>
    <row r="3552">
      <c r="A3552" s="1"/>
    </row>
    <row r="3553">
      <c r="A3553" s="1"/>
    </row>
    <row r="3554">
      <c r="A3554" s="1"/>
    </row>
    <row r="3555">
      <c r="A3555" s="1"/>
    </row>
    <row r="3556">
      <c r="A3556" s="1"/>
    </row>
    <row r="3557">
      <c r="A3557" s="1"/>
    </row>
    <row r="3558">
      <c r="A3558" s="1"/>
    </row>
    <row r="3559">
      <c r="A3559" s="1"/>
    </row>
    <row r="3560">
      <c r="A3560" s="1"/>
    </row>
    <row r="3561">
      <c r="A3561" s="1"/>
    </row>
    <row r="3562">
      <c r="A3562" s="1"/>
    </row>
    <row r="3563">
      <c r="A3563" s="1"/>
    </row>
    <row r="3564">
      <c r="A3564" s="1"/>
    </row>
    <row r="3565">
      <c r="A3565" s="1"/>
    </row>
    <row r="3566">
      <c r="A3566" s="1"/>
    </row>
    <row r="3567">
      <c r="A3567" s="1"/>
    </row>
    <row r="3568">
      <c r="A3568" s="1"/>
    </row>
    <row r="3569">
      <c r="A3569" s="1"/>
    </row>
    <row r="3570">
      <c r="A3570" s="1"/>
    </row>
    <row r="3571">
      <c r="A3571" s="1"/>
    </row>
    <row r="3572">
      <c r="A3572" s="1"/>
    </row>
    <row r="3573">
      <c r="A3573" s="1"/>
    </row>
    <row r="3574">
      <c r="A3574" s="1"/>
    </row>
    <row r="3575">
      <c r="A3575" s="1"/>
    </row>
    <row r="3576">
      <c r="A3576" s="1"/>
    </row>
    <row r="3577">
      <c r="A3577" s="1"/>
    </row>
    <row r="3578">
      <c r="A3578" s="1"/>
    </row>
    <row r="3579">
      <c r="A3579" s="1"/>
    </row>
    <row r="3580">
      <c r="A3580" s="1"/>
    </row>
    <row r="3581">
      <c r="A3581" s="1"/>
    </row>
    <row r="3582">
      <c r="A3582" s="1"/>
    </row>
    <row r="3583">
      <c r="A3583" s="1"/>
    </row>
    <row r="3584">
      <c r="A3584" s="1"/>
    </row>
    <row r="3585">
      <c r="A3585" s="1"/>
    </row>
    <row r="3586">
      <c r="A3586" s="1"/>
    </row>
    <row r="3587">
      <c r="A3587" s="1"/>
    </row>
    <row r="3588">
      <c r="A3588" s="1"/>
    </row>
    <row r="3589">
      <c r="A3589" s="1"/>
    </row>
    <row r="3590">
      <c r="A3590" s="1"/>
    </row>
    <row r="3591">
      <c r="A3591" s="1"/>
    </row>
    <row r="3592">
      <c r="A3592" s="1"/>
    </row>
    <row r="3593">
      <c r="A3593" s="1"/>
    </row>
    <row r="3594">
      <c r="A3594" s="1"/>
    </row>
    <row r="3595">
      <c r="A3595" s="1"/>
    </row>
    <row r="3596">
      <c r="A3596" s="1"/>
    </row>
    <row r="3597">
      <c r="A3597" s="1"/>
    </row>
    <row r="3598">
      <c r="A3598" s="1"/>
    </row>
    <row r="3599">
      <c r="A3599" s="1"/>
    </row>
    <row r="3600">
      <c r="A3600" s="1"/>
    </row>
    <row r="3601">
      <c r="A3601" s="1"/>
    </row>
    <row r="3602">
      <c r="A3602" s="1"/>
    </row>
    <row r="3603">
      <c r="A3603" s="1"/>
    </row>
    <row r="3604">
      <c r="A3604" s="1"/>
    </row>
    <row r="3605">
      <c r="A3605" s="1"/>
    </row>
    <row r="3606">
      <c r="A3606" s="1"/>
    </row>
    <row r="3607">
      <c r="A3607" s="1"/>
    </row>
    <row r="3608">
      <c r="A3608" s="1"/>
    </row>
    <row r="3609">
      <c r="A3609" s="1"/>
    </row>
    <row r="3610">
      <c r="A3610" s="1"/>
    </row>
    <row r="3611">
      <c r="A3611" s="1"/>
    </row>
    <row r="3612">
      <c r="A3612" s="1"/>
    </row>
    <row r="3613">
      <c r="A3613" s="1"/>
    </row>
    <row r="3614">
      <c r="A3614" s="1"/>
    </row>
    <row r="3615">
      <c r="A3615" s="1"/>
    </row>
    <row r="3616">
      <c r="A3616" s="1"/>
    </row>
    <row r="3617">
      <c r="A3617" s="1"/>
    </row>
    <row r="3618">
      <c r="A3618" s="1"/>
    </row>
    <row r="3619">
      <c r="A3619" s="1"/>
    </row>
    <row r="3620">
      <c r="A3620" s="1"/>
    </row>
    <row r="3621">
      <c r="A3621" s="1"/>
    </row>
    <row r="3622">
      <c r="A3622" s="1"/>
    </row>
    <row r="3623">
      <c r="A3623" s="1"/>
    </row>
    <row r="3624">
      <c r="A3624" s="1"/>
    </row>
    <row r="3625">
      <c r="A3625" s="1"/>
    </row>
    <row r="3626">
      <c r="A3626" s="1"/>
    </row>
    <row r="3627">
      <c r="A3627" s="1"/>
    </row>
    <row r="3628">
      <c r="A3628" s="1"/>
    </row>
    <row r="3629">
      <c r="A3629" s="1"/>
    </row>
    <row r="3630">
      <c r="A3630" s="1"/>
    </row>
    <row r="3631">
      <c r="A3631" s="1"/>
    </row>
    <row r="3632">
      <c r="A3632" s="1"/>
    </row>
    <row r="3633">
      <c r="A3633" s="1"/>
    </row>
    <row r="3634">
      <c r="A3634" s="1"/>
    </row>
    <row r="3635">
      <c r="A3635" s="1"/>
    </row>
    <row r="3636">
      <c r="A3636" s="1"/>
    </row>
    <row r="3637">
      <c r="A3637" s="1"/>
    </row>
    <row r="3638">
      <c r="A3638" s="1"/>
    </row>
    <row r="3639">
      <c r="A3639" s="1"/>
    </row>
    <row r="3640">
      <c r="A3640" s="1"/>
    </row>
    <row r="3641">
      <c r="A3641" s="1"/>
    </row>
    <row r="3642">
      <c r="A3642" s="1"/>
    </row>
    <row r="3643">
      <c r="A3643" s="1"/>
    </row>
    <row r="3644">
      <c r="A3644" s="1"/>
    </row>
    <row r="3645">
      <c r="A3645" s="1"/>
    </row>
    <row r="3646">
      <c r="A3646" s="1"/>
    </row>
    <row r="3647">
      <c r="A3647" s="1"/>
    </row>
    <row r="3648">
      <c r="A3648" s="1"/>
    </row>
    <row r="3649">
      <c r="A3649" s="1"/>
    </row>
    <row r="3650">
      <c r="A3650" s="1"/>
    </row>
    <row r="3651">
      <c r="A3651" s="1"/>
    </row>
    <row r="3652">
      <c r="A3652" s="1"/>
    </row>
    <row r="3653">
      <c r="A3653" s="1"/>
    </row>
    <row r="3654">
      <c r="A3654" s="1"/>
    </row>
    <row r="3655">
      <c r="A3655" s="1"/>
    </row>
    <row r="3656">
      <c r="A3656" s="1"/>
    </row>
    <row r="3657">
      <c r="A3657" s="1"/>
    </row>
    <row r="3658">
      <c r="A3658" s="1"/>
    </row>
    <row r="3659">
      <c r="A3659" s="1"/>
    </row>
    <row r="3660">
      <c r="A3660" s="1"/>
    </row>
    <row r="3661">
      <c r="A3661" s="1"/>
    </row>
    <row r="3662">
      <c r="A3662" s="1"/>
    </row>
    <row r="3663">
      <c r="A3663" s="1"/>
    </row>
    <row r="3664">
      <c r="A3664" s="1"/>
    </row>
    <row r="3665">
      <c r="A3665" s="1"/>
    </row>
    <row r="3666">
      <c r="A3666" s="1"/>
    </row>
    <row r="3667">
      <c r="A3667" s="1"/>
    </row>
    <row r="3668">
      <c r="A3668" s="1"/>
    </row>
    <row r="3669">
      <c r="A3669" s="1"/>
    </row>
    <row r="3670">
      <c r="A3670" s="1"/>
    </row>
    <row r="3671">
      <c r="A3671" s="1"/>
    </row>
    <row r="3672">
      <c r="A3672" s="1"/>
    </row>
    <row r="3673">
      <c r="A3673" s="1"/>
    </row>
    <row r="3674">
      <c r="A3674" s="1"/>
    </row>
    <row r="3675">
      <c r="A3675" s="1"/>
    </row>
    <row r="3676">
      <c r="A3676" s="1"/>
    </row>
    <row r="3677">
      <c r="A3677" s="1"/>
    </row>
    <row r="3678">
      <c r="A3678" s="1"/>
    </row>
    <row r="3679">
      <c r="A3679" s="1"/>
    </row>
    <row r="3680">
      <c r="A3680" s="1"/>
    </row>
    <row r="3681">
      <c r="A3681" s="1"/>
    </row>
    <row r="3682">
      <c r="A3682" s="1"/>
    </row>
    <row r="3683">
      <c r="A3683" s="1"/>
    </row>
    <row r="3684">
      <c r="A3684" s="1"/>
    </row>
    <row r="3685">
      <c r="A3685" s="1"/>
    </row>
    <row r="3686">
      <c r="A3686" s="1"/>
    </row>
    <row r="3687">
      <c r="A3687" s="1"/>
    </row>
    <row r="3688">
      <c r="A3688" s="1"/>
    </row>
    <row r="3689">
      <c r="A3689" s="1"/>
    </row>
    <row r="3690">
      <c r="A3690" s="1"/>
    </row>
    <row r="3691">
      <c r="A3691" s="1"/>
    </row>
    <row r="3692">
      <c r="A3692" s="1"/>
    </row>
    <row r="3693">
      <c r="A3693" s="1"/>
    </row>
    <row r="3694">
      <c r="A3694" s="1"/>
    </row>
    <row r="3695">
      <c r="A3695" s="1"/>
    </row>
    <row r="3696">
      <c r="A3696" s="1"/>
    </row>
    <row r="3697">
      <c r="A3697" s="1"/>
    </row>
    <row r="3698">
      <c r="A3698" s="1"/>
    </row>
    <row r="3699">
      <c r="A3699" s="1"/>
    </row>
    <row r="3700">
      <c r="A3700" s="1"/>
    </row>
    <row r="3701">
      <c r="A3701" s="1"/>
    </row>
    <row r="3702">
      <c r="A3702" s="1"/>
    </row>
    <row r="3703">
      <c r="A3703" s="1"/>
    </row>
    <row r="3704">
      <c r="A3704" s="1"/>
    </row>
    <row r="3705">
      <c r="A3705" s="1"/>
    </row>
    <row r="3706">
      <c r="A3706" s="1"/>
    </row>
    <row r="3707">
      <c r="A3707" s="1"/>
    </row>
    <row r="3708">
      <c r="A3708" s="1"/>
    </row>
    <row r="3709">
      <c r="A3709" s="1"/>
    </row>
    <row r="3710">
      <c r="A3710" s="1"/>
    </row>
    <row r="3711">
      <c r="A3711" s="1"/>
    </row>
    <row r="3712">
      <c r="A3712" s="1"/>
    </row>
    <row r="3713">
      <c r="A3713" s="1"/>
    </row>
    <row r="3714">
      <c r="A3714" s="1"/>
    </row>
    <row r="3715">
      <c r="A3715" s="1"/>
    </row>
    <row r="3716">
      <c r="A3716" s="1"/>
    </row>
    <row r="3717">
      <c r="A3717" s="1"/>
    </row>
    <row r="3718">
      <c r="A3718" s="1"/>
    </row>
    <row r="3719">
      <c r="A3719" s="1"/>
    </row>
    <row r="3720">
      <c r="A3720" s="1"/>
    </row>
    <row r="3721">
      <c r="A3721" s="1"/>
    </row>
    <row r="3722">
      <c r="A3722" s="1"/>
    </row>
    <row r="3723">
      <c r="A3723" s="1"/>
    </row>
    <row r="3724">
      <c r="A3724" s="1"/>
    </row>
    <row r="3725">
      <c r="A3725" s="1"/>
    </row>
    <row r="3726">
      <c r="A3726" s="1"/>
    </row>
    <row r="3727">
      <c r="A3727" s="1"/>
    </row>
    <row r="3728">
      <c r="A3728" s="1"/>
    </row>
    <row r="3729">
      <c r="A3729" s="1"/>
    </row>
    <row r="3730">
      <c r="A3730" s="1"/>
    </row>
    <row r="3731">
      <c r="A3731" s="1"/>
    </row>
    <row r="3732">
      <c r="A3732" s="1"/>
    </row>
    <row r="3733">
      <c r="A3733" s="1"/>
    </row>
    <row r="3734">
      <c r="A3734" s="1"/>
    </row>
    <row r="3735">
      <c r="A3735" s="1"/>
    </row>
    <row r="3736">
      <c r="A3736" s="1"/>
    </row>
    <row r="3737">
      <c r="A3737" s="1"/>
    </row>
    <row r="3738">
      <c r="A3738" s="1"/>
    </row>
    <row r="3739">
      <c r="A3739" s="1"/>
    </row>
    <row r="3740">
      <c r="A3740" s="1"/>
    </row>
    <row r="3741">
      <c r="A3741" s="1"/>
    </row>
    <row r="3742">
      <c r="A3742" s="1"/>
    </row>
    <row r="3743">
      <c r="A3743" s="1"/>
    </row>
    <row r="3744">
      <c r="A3744" s="1"/>
    </row>
    <row r="3745">
      <c r="A3745" s="1"/>
    </row>
    <row r="3746">
      <c r="A3746" s="1"/>
    </row>
    <row r="3747">
      <c r="A3747" s="1"/>
    </row>
    <row r="3748">
      <c r="A3748" s="1"/>
    </row>
    <row r="3749">
      <c r="A3749" s="1"/>
    </row>
    <row r="3750">
      <c r="A3750" s="1"/>
    </row>
    <row r="3751">
      <c r="A3751" s="1"/>
    </row>
    <row r="3752">
      <c r="A3752" s="1"/>
    </row>
    <row r="3753">
      <c r="A3753" s="1"/>
    </row>
    <row r="3754">
      <c r="A3754" s="1"/>
    </row>
    <row r="3755">
      <c r="A3755" s="1"/>
    </row>
    <row r="3756">
      <c r="A3756" s="1"/>
    </row>
    <row r="3757">
      <c r="A3757" s="1"/>
    </row>
    <row r="3758">
      <c r="A3758" s="1"/>
    </row>
    <row r="3759">
      <c r="A3759" s="1"/>
    </row>
    <row r="3760">
      <c r="A3760" s="1"/>
    </row>
    <row r="3761">
      <c r="A3761" s="1"/>
    </row>
    <row r="3762">
      <c r="A3762" s="1"/>
    </row>
    <row r="3763">
      <c r="A3763" s="1"/>
    </row>
    <row r="3764">
      <c r="A3764" s="1"/>
    </row>
    <row r="3765">
      <c r="A3765" s="1"/>
    </row>
    <row r="3766">
      <c r="A3766" s="1"/>
    </row>
    <row r="3767">
      <c r="A3767" s="1"/>
    </row>
    <row r="3768">
      <c r="A3768" s="1"/>
    </row>
    <row r="3769">
      <c r="A3769" s="1"/>
    </row>
    <row r="3770">
      <c r="A3770" s="1"/>
    </row>
    <row r="3771">
      <c r="A3771" s="1"/>
    </row>
    <row r="3772">
      <c r="A3772" s="1"/>
    </row>
    <row r="3773">
      <c r="A3773" s="1"/>
    </row>
    <row r="3774">
      <c r="A3774" s="1"/>
    </row>
    <row r="3775">
      <c r="A3775" s="1"/>
    </row>
    <row r="3776">
      <c r="A3776" s="1"/>
    </row>
    <row r="3777">
      <c r="A3777" s="1"/>
    </row>
    <row r="3778">
      <c r="A3778" s="1"/>
    </row>
    <row r="3779">
      <c r="A3779" s="1"/>
    </row>
    <row r="3780">
      <c r="A3780" s="1"/>
    </row>
    <row r="3781">
      <c r="A3781" s="1"/>
    </row>
    <row r="3782">
      <c r="A3782" s="1"/>
    </row>
    <row r="3783">
      <c r="A3783" s="1"/>
    </row>
    <row r="3784">
      <c r="A3784" s="1"/>
    </row>
    <row r="3785">
      <c r="A3785" s="1"/>
    </row>
    <row r="3786">
      <c r="A3786" s="1"/>
    </row>
    <row r="3787">
      <c r="A3787" s="1"/>
    </row>
    <row r="3788">
      <c r="A3788" s="1"/>
    </row>
    <row r="3789">
      <c r="A3789" s="1"/>
    </row>
    <row r="3790">
      <c r="A3790" s="1"/>
    </row>
    <row r="3791">
      <c r="A3791" s="1"/>
    </row>
    <row r="3792">
      <c r="A3792" s="1"/>
    </row>
    <row r="3793">
      <c r="A3793" s="1"/>
    </row>
    <row r="3794">
      <c r="A3794" s="1"/>
    </row>
    <row r="3795">
      <c r="A3795" s="1"/>
    </row>
    <row r="3796">
      <c r="A3796" s="1"/>
    </row>
    <row r="3797">
      <c r="A3797" s="1"/>
    </row>
    <row r="3798">
      <c r="A3798" s="1"/>
    </row>
    <row r="3799">
      <c r="A3799" s="1"/>
    </row>
    <row r="3800">
      <c r="A3800" s="1"/>
    </row>
    <row r="3801">
      <c r="A3801" s="1"/>
    </row>
    <row r="3802">
      <c r="A3802" s="1"/>
    </row>
    <row r="3803">
      <c r="A3803" s="1"/>
    </row>
    <row r="3804">
      <c r="A3804" s="1"/>
    </row>
    <row r="3805">
      <c r="A3805" s="1"/>
    </row>
    <row r="3806">
      <c r="A3806" s="1"/>
    </row>
    <row r="3807">
      <c r="A3807" s="1"/>
    </row>
    <row r="3808">
      <c r="A3808" s="1"/>
    </row>
    <row r="3809">
      <c r="A3809" s="1"/>
    </row>
    <row r="3810">
      <c r="A3810" s="1"/>
    </row>
    <row r="3811">
      <c r="A3811" s="1"/>
    </row>
    <row r="3812">
      <c r="A3812" s="1"/>
    </row>
    <row r="3813">
      <c r="A3813" s="1"/>
    </row>
    <row r="3814">
      <c r="A3814" s="1"/>
    </row>
    <row r="3815">
      <c r="A3815" s="1"/>
    </row>
    <row r="3816">
      <c r="A3816" s="1"/>
    </row>
    <row r="3817">
      <c r="A3817" s="1"/>
    </row>
    <row r="3818">
      <c r="A3818" s="1"/>
    </row>
    <row r="3819">
      <c r="A3819" s="1"/>
    </row>
    <row r="3820">
      <c r="A3820" s="1"/>
    </row>
    <row r="3821">
      <c r="A3821" s="1"/>
    </row>
    <row r="3822">
      <c r="A3822" s="1"/>
    </row>
    <row r="3823">
      <c r="A3823" s="1"/>
    </row>
    <row r="3824">
      <c r="A3824" s="1"/>
    </row>
    <row r="3825">
      <c r="A3825" s="1"/>
    </row>
    <row r="3826">
      <c r="A3826" s="1"/>
    </row>
    <row r="3827">
      <c r="A3827" s="1"/>
    </row>
    <row r="3828">
      <c r="A3828" s="1"/>
    </row>
    <row r="3829">
      <c r="A3829" s="1"/>
    </row>
    <row r="3830">
      <c r="A3830" s="1"/>
    </row>
    <row r="3831">
      <c r="A3831" s="1"/>
    </row>
    <row r="3832">
      <c r="A3832" s="1"/>
    </row>
    <row r="3833">
      <c r="A3833" s="1"/>
    </row>
    <row r="3834">
      <c r="A3834" s="1"/>
    </row>
    <row r="3835">
      <c r="A3835" s="1"/>
    </row>
    <row r="3836">
      <c r="A3836" s="1"/>
    </row>
    <row r="3837">
      <c r="A3837" s="1"/>
    </row>
    <row r="3838">
      <c r="A3838" s="1"/>
    </row>
    <row r="3839">
      <c r="A3839" s="1"/>
    </row>
    <row r="3840">
      <c r="A3840" s="1"/>
    </row>
    <row r="3841">
      <c r="A3841" s="1"/>
    </row>
    <row r="3842">
      <c r="A3842" s="1"/>
    </row>
    <row r="3843">
      <c r="A3843" s="1"/>
    </row>
    <row r="3844">
      <c r="A3844" s="1"/>
    </row>
    <row r="3845">
      <c r="A3845" s="1"/>
    </row>
    <row r="3846">
      <c r="A3846" s="1"/>
    </row>
    <row r="3847">
      <c r="A3847" s="1"/>
    </row>
    <row r="3848">
      <c r="A3848" s="1"/>
    </row>
    <row r="3849">
      <c r="A3849" s="1"/>
    </row>
    <row r="3850">
      <c r="A3850" s="1"/>
    </row>
    <row r="3851">
      <c r="A3851" s="1"/>
    </row>
    <row r="3852">
      <c r="A3852" s="1"/>
    </row>
    <row r="3853">
      <c r="A3853" s="1"/>
    </row>
    <row r="3854">
      <c r="A3854" s="1"/>
    </row>
    <row r="3855">
      <c r="A3855" s="1"/>
    </row>
    <row r="3856">
      <c r="A3856" s="1"/>
    </row>
    <row r="3857">
      <c r="A3857" s="1"/>
    </row>
    <row r="3858">
      <c r="A3858" s="1"/>
    </row>
    <row r="3859">
      <c r="A3859" s="1"/>
    </row>
    <row r="3860">
      <c r="A3860" s="1"/>
    </row>
    <row r="3861">
      <c r="A3861" s="1"/>
    </row>
    <row r="3862">
      <c r="A3862" s="1"/>
    </row>
    <row r="3863">
      <c r="A3863" s="1"/>
    </row>
    <row r="3864">
      <c r="A3864" s="1"/>
    </row>
    <row r="3865">
      <c r="A3865" s="1"/>
    </row>
    <row r="3866">
      <c r="A3866" s="1"/>
    </row>
    <row r="3867">
      <c r="A3867" s="1"/>
    </row>
    <row r="3868">
      <c r="A3868" s="1"/>
    </row>
    <row r="3869">
      <c r="A3869" s="1"/>
    </row>
    <row r="3870">
      <c r="A3870" s="1"/>
    </row>
    <row r="3871">
      <c r="A3871" s="1"/>
    </row>
    <row r="3872">
      <c r="A3872" s="1"/>
    </row>
    <row r="3873">
      <c r="A3873" s="1"/>
    </row>
    <row r="3874">
      <c r="A3874" s="1"/>
    </row>
    <row r="3875">
      <c r="A3875" s="1"/>
    </row>
    <row r="3876">
      <c r="A3876" s="1"/>
    </row>
    <row r="3877">
      <c r="A3877" s="1"/>
    </row>
    <row r="3878">
      <c r="A3878" s="1"/>
    </row>
    <row r="3879">
      <c r="A3879" s="1"/>
    </row>
    <row r="3880">
      <c r="A3880" s="1"/>
    </row>
    <row r="3881">
      <c r="A3881" s="1"/>
    </row>
    <row r="3882">
      <c r="A3882" s="1"/>
    </row>
    <row r="3883">
      <c r="A3883" s="1"/>
    </row>
    <row r="3884">
      <c r="A3884" s="1"/>
    </row>
    <row r="3885">
      <c r="A3885" s="1"/>
    </row>
    <row r="3886">
      <c r="A3886" s="1"/>
    </row>
    <row r="3887">
      <c r="A3887" s="1"/>
    </row>
    <row r="3888">
      <c r="A3888" s="1"/>
    </row>
    <row r="3889">
      <c r="A3889" s="1"/>
    </row>
    <row r="3890">
      <c r="A3890" s="1"/>
    </row>
    <row r="3891">
      <c r="A3891" s="1"/>
    </row>
    <row r="3892">
      <c r="A3892" s="1"/>
    </row>
    <row r="3893">
      <c r="A3893" s="1"/>
    </row>
    <row r="3894">
      <c r="A3894" s="1"/>
    </row>
    <row r="3895">
      <c r="A3895" s="1"/>
    </row>
    <row r="3896">
      <c r="A3896" s="1"/>
    </row>
    <row r="3897">
      <c r="A3897" s="1"/>
    </row>
    <row r="3898">
      <c r="A3898" s="1"/>
    </row>
    <row r="3899">
      <c r="A3899" s="1"/>
    </row>
    <row r="3900">
      <c r="A3900" s="1"/>
    </row>
    <row r="3901">
      <c r="A3901" s="1"/>
    </row>
    <row r="3902">
      <c r="A3902" s="1"/>
    </row>
    <row r="3903">
      <c r="A3903" s="1"/>
    </row>
    <row r="3904">
      <c r="A3904" s="1"/>
    </row>
    <row r="3905">
      <c r="A3905" s="1"/>
    </row>
    <row r="3906">
      <c r="A3906" s="1"/>
    </row>
    <row r="3907">
      <c r="A3907" s="1"/>
    </row>
    <row r="3908">
      <c r="A3908" s="1"/>
    </row>
    <row r="3909">
      <c r="A3909" s="1"/>
    </row>
    <row r="3910">
      <c r="A3910" s="1"/>
    </row>
    <row r="3911">
      <c r="A3911" s="1"/>
    </row>
    <row r="3912">
      <c r="A3912" s="1"/>
    </row>
    <row r="3913">
      <c r="A3913" s="1"/>
    </row>
    <row r="3914">
      <c r="A3914" s="1"/>
    </row>
    <row r="3915">
      <c r="A3915" s="1"/>
    </row>
    <row r="3916">
      <c r="A3916" s="1"/>
    </row>
    <row r="3917">
      <c r="A3917" s="1"/>
    </row>
    <row r="3918">
      <c r="A3918" s="1"/>
    </row>
    <row r="3919">
      <c r="A3919" s="1"/>
    </row>
    <row r="3920">
      <c r="A3920" s="1"/>
    </row>
    <row r="3921">
      <c r="A3921" s="1"/>
    </row>
    <row r="3922">
      <c r="A3922" s="1"/>
    </row>
    <row r="3923">
      <c r="A3923" s="1"/>
    </row>
    <row r="3924">
      <c r="A3924" s="1"/>
    </row>
    <row r="3925">
      <c r="A3925" s="1"/>
    </row>
    <row r="3926">
      <c r="A3926" s="1"/>
    </row>
    <row r="3927">
      <c r="A3927" s="1"/>
    </row>
    <row r="3928">
      <c r="A3928" s="1"/>
    </row>
    <row r="3929">
      <c r="A3929" s="1"/>
    </row>
    <row r="3930">
      <c r="A3930" s="1"/>
    </row>
    <row r="3931">
      <c r="A3931" s="1"/>
    </row>
    <row r="3932">
      <c r="A3932" s="1"/>
    </row>
    <row r="3933">
      <c r="A3933" s="1"/>
    </row>
    <row r="3934">
      <c r="A3934" s="1"/>
    </row>
    <row r="3935">
      <c r="A3935" s="1"/>
    </row>
    <row r="3936">
      <c r="A3936" s="1"/>
    </row>
    <row r="3937">
      <c r="A3937" s="1"/>
    </row>
    <row r="3938">
      <c r="A3938" s="1"/>
    </row>
    <row r="3939">
      <c r="A3939" s="1"/>
    </row>
    <row r="3940">
      <c r="A3940" s="1"/>
    </row>
    <row r="3941">
      <c r="A3941" s="1"/>
    </row>
    <row r="3942">
      <c r="A3942" s="1"/>
    </row>
    <row r="3943">
      <c r="A3943" s="1"/>
    </row>
    <row r="3944">
      <c r="A3944" s="1"/>
    </row>
    <row r="3945">
      <c r="A3945" s="1"/>
    </row>
    <row r="3946">
      <c r="A3946" s="1"/>
    </row>
    <row r="3947">
      <c r="A3947" s="1"/>
    </row>
    <row r="3948">
      <c r="A3948" s="1"/>
    </row>
    <row r="3949">
      <c r="A3949" s="1"/>
    </row>
    <row r="3950">
      <c r="A3950" s="1"/>
    </row>
    <row r="3951">
      <c r="A3951" s="1"/>
    </row>
    <row r="3952">
      <c r="A3952" s="1"/>
    </row>
    <row r="3953">
      <c r="A3953" s="1"/>
    </row>
    <row r="3954">
      <c r="A3954" s="1"/>
    </row>
    <row r="3955">
      <c r="A3955" s="1"/>
    </row>
    <row r="3956">
      <c r="A3956" s="1"/>
    </row>
    <row r="3957">
      <c r="A3957" s="1"/>
    </row>
    <row r="3958">
      <c r="A3958" s="1"/>
    </row>
    <row r="3959">
      <c r="A3959" s="1"/>
    </row>
    <row r="3960">
      <c r="A3960" s="1"/>
    </row>
    <row r="3961">
      <c r="A3961" s="1"/>
    </row>
    <row r="3962">
      <c r="A3962" s="1"/>
    </row>
    <row r="3963">
      <c r="A3963" s="1"/>
    </row>
    <row r="3964">
      <c r="A3964" s="1"/>
    </row>
    <row r="3965">
      <c r="A3965" s="1"/>
    </row>
    <row r="3966">
      <c r="A3966" s="1"/>
    </row>
    <row r="3967">
      <c r="A3967" s="1"/>
    </row>
    <row r="3968">
      <c r="A3968" s="1"/>
    </row>
    <row r="3969">
      <c r="A3969" s="1"/>
    </row>
    <row r="3970">
      <c r="A3970" s="1"/>
    </row>
    <row r="3971">
      <c r="A3971" s="1"/>
    </row>
    <row r="3972">
      <c r="A3972" s="1"/>
    </row>
    <row r="3973">
      <c r="A3973" s="1"/>
    </row>
    <row r="3974">
      <c r="A3974" s="1"/>
    </row>
    <row r="3975">
      <c r="A3975" s="1"/>
    </row>
    <row r="3976">
      <c r="A3976" s="1"/>
    </row>
    <row r="3977">
      <c r="A3977" s="1"/>
    </row>
    <row r="3978">
      <c r="A3978" s="1"/>
    </row>
    <row r="3979">
      <c r="A3979" s="1"/>
    </row>
    <row r="3980">
      <c r="A3980" s="1"/>
    </row>
    <row r="3981">
      <c r="A3981" s="1"/>
    </row>
    <row r="3982">
      <c r="A3982" s="1"/>
    </row>
    <row r="3983">
      <c r="A3983" s="1"/>
    </row>
    <row r="3984">
      <c r="A3984" s="1"/>
    </row>
    <row r="3985">
      <c r="A3985" s="1"/>
    </row>
    <row r="3986">
      <c r="A3986" s="1"/>
    </row>
    <row r="3987">
      <c r="A3987" s="1"/>
    </row>
    <row r="3988">
      <c r="A3988" s="1"/>
    </row>
    <row r="3989">
      <c r="A3989" s="1"/>
    </row>
    <row r="3990">
      <c r="A3990" s="1"/>
    </row>
    <row r="3991">
      <c r="A3991" s="1"/>
    </row>
    <row r="3992">
      <c r="A3992" s="1"/>
    </row>
    <row r="3993">
      <c r="A3993" s="1"/>
    </row>
    <row r="3994">
      <c r="A3994" s="1"/>
    </row>
    <row r="3995">
      <c r="A3995" s="1"/>
    </row>
    <row r="3996">
      <c r="A3996" s="1"/>
    </row>
    <row r="3997">
      <c r="A3997" s="1"/>
    </row>
    <row r="3998">
      <c r="A3998" s="1"/>
    </row>
    <row r="3999">
      <c r="A3999" s="1"/>
    </row>
    <row r="4000">
      <c r="A4000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2038</v>
      </c>
    </row>
    <row r="5">
      <c r="D5" s="1" t="s">
        <v>407</v>
      </c>
      <c r="E5" s="1" t="s">
        <v>267</v>
      </c>
      <c r="F5" s="1" t="s">
        <v>165</v>
      </c>
      <c r="G5" s="1" t="s">
        <v>129</v>
      </c>
    </row>
    <row r="6">
      <c r="C6" s="1" t="s">
        <v>614</v>
      </c>
      <c r="D6" s="1" t="s">
        <v>2039</v>
      </c>
      <c r="E6" s="30">
        <v>-0.0147</v>
      </c>
      <c r="F6" s="30">
        <v>-0.0127</v>
      </c>
      <c r="G6" s="30">
        <v>0.4579</v>
      </c>
    </row>
    <row r="7">
      <c r="C7" s="1" t="s">
        <v>267</v>
      </c>
      <c r="D7" s="30">
        <v>-0.0147</v>
      </c>
      <c r="E7" s="1" t="s">
        <v>2039</v>
      </c>
      <c r="F7" s="30">
        <v>0.0944</v>
      </c>
      <c r="G7" s="30">
        <v>-0.0125</v>
      </c>
    </row>
    <row r="8">
      <c r="C8" s="1" t="s">
        <v>165</v>
      </c>
      <c r="D8" s="30">
        <v>-0.0127</v>
      </c>
      <c r="E8" s="30">
        <v>0.0944</v>
      </c>
      <c r="F8" s="1" t="s">
        <v>2039</v>
      </c>
      <c r="G8" s="30">
        <v>0.0743</v>
      </c>
    </row>
    <row r="9">
      <c r="C9" s="1" t="s">
        <v>129</v>
      </c>
      <c r="D9" s="30">
        <v>0.4579</v>
      </c>
      <c r="E9" s="30">
        <v>-0.0125</v>
      </c>
      <c r="F9" s="30">
        <v>0.0743</v>
      </c>
      <c r="G9" s="1" t="s">
        <v>2039</v>
      </c>
    </row>
    <row r="13">
      <c r="C13" s="1" t="s">
        <v>2040</v>
      </c>
    </row>
    <row r="14">
      <c r="C14" s="1" t="s">
        <v>2041</v>
      </c>
    </row>
    <row r="15">
      <c r="C15" s="1" t="s">
        <v>2042</v>
      </c>
    </row>
  </sheetData>
  <drawing r:id="rId1"/>
</worksheet>
</file>