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503" documentId="11_0B1D56BE9CDCCE836B02CE7A5FB0D4A9BBFD1C62" xr6:coauthVersionLast="47" xr6:coauthVersionMax="47" xr10:uidLastSave="{2C89617D-3496-4039-B4C3-224BE03BAFCC}"/>
  <bookViews>
    <workbookView xWindow="240" yWindow="105" windowWidth="14805" windowHeight="8010" firstSheet="2" xr2:uid="{00000000-000D-0000-FFFF-FFFF00000000}"/>
  </bookViews>
  <sheets>
    <sheet name="Spring Constant" sheetId="1" r:id="rId1"/>
    <sheet name="Spring Constant Error" sheetId="2" r:id="rId2"/>
    <sheet name="Normal Mode Frequenc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8" i="3"/>
  <c r="D7" i="3"/>
  <c r="D2" i="3"/>
  <c r="C2" i="3"/>
  <c r="J9" i="3" s="1"/>
  <c r="E20" i="2" a="1"/>
  <c r="E12" i="2" a="1"/>
  <c r="I4" i="2"/>
  <c r="H4" i="2"/>
  <c r="E4" i="2" a="1"/>
  <c r="E4" i="2"/>
  <c r="G4" i="1"/>
  <c r="J21" i="1"/>
  <c r="J22" i="1"/>
  <c r="J23" i="1"/>
  <c r="J24" i="1"/>
  <c r="J20" i="1"/>
  <c r="G24" i="1"/>
  <c r="K24" i="1" s="1"/>
  <c r="G23" i="1"/>
  <c r="K23" i="1" s="1"/>
  <c r="G22" i="1"/>
  <c r="K22" i="1" s="1"/>
  <c r="G21" i="1"/>
  <c r="K21" i="1" s="1"/>
  <c r="G20" i="1"/>
  <c r="K20" i="1" s="1"/>
  <c r="J13" i="1"/>
  <c r="J14" i="1"/>
  <c r="J15" i="1"/>
  <c r="J16" i="1"/>
  <c r="J12" i="1"/>
  <c r="G16" i="1"/>
  <c r="K16" i="1" s="1"/>
  <c r="G15" i="1"/>
  <c r="K15" i="1" s="1"/>
  <c r="G14" i="1"/>
  <c r="K14" i="1" s="1"/>
  <c r="G13" i="1"/>
  <c r="K13" i="1" s="1"/>
  <c r="G12" i="1"/>
  <c r="K12" i="1" s="1"/>
  <c r="G5" i="1"/>
  <c r="K5" i="1" s="1"/>
  <c r="G6" i="1"/>
  <c r="K6" i="1" s="1"/>
  <c r="G7" i="1"/>
  <c r="K7" i="1" s="1"/>
  <c r="G8" i="1"/>
  <c r="K8" i="1" s="1"/>
  <c r="K4" i="1"/>
  <c r="J5" i="1"/>
  <c r="J6" i="1"/>
  <c r="J7" i="1"/>
  <c r="J8" i="1"/>
  <c r="J4" i="1"/>
  <c r="J7" i="3" l="1"/>
  <c r="J5" i="3"/>
  <c r="J12" i="3" s="1"/>
  <c r="H9" i="3"/>
  <c r="H5" i="3"/>
  <c r="H12" i="3" s="1"/>
  <c r="C8" i="3"/>
  <c r="C7" i="3"/>
  <c r="I20" i="2"/>
  <c r="E20" i="2"/>
  <c r="H20" i="2" s="1"/>
  <c r="I12" i="2"/>
  <c r="E12" i="2"/>
  <c r="H12" i="2" s="1"/>
  <c r="F7" i="3" l="1"/>
  <c r="C10" i="3"/>
  <c r="F8" i="3"/>
  <c r="C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<sst xmlns="http://schemas.openxmlformats.org/spreadsheetml/2006/main" count="77" uniqueCount="45">
  <si>
    <t>Gravitational field strength</t>
  </si>
  <si>
    <t>g [m/s^2]=</t>
  </si>
  <si>
    <t>Hanging</t>
  </si>
  <si>
    <t>m</t>
  </si>
  <si>
    <t>x_1</t>
  </si>
  <si>
    <t>\Delta x_1</t>
  </si>
  <si>
    <t>F</t>
  </si>
  <si>
    <t>Spring 1</t>
  </si>
  <si>
    <t>Mass (g)</t>
  </si>
  <si>
    <t>Mass (kg)</t>
  </si>
  <si>
    <t>Position (m)</t>
  </si>
  <si>
    <t>Displacement (m)</t>
  </si>
  <si>
    <t>Weight (N)</t>
  </si>
  <si>
    <t>Spring 1 equilibrium</t>
  </si>
  <si>
    <t>x_0 [m]=</t>
  </si>
  <si>
    <t>x_2</t>
  </si>
  <si>
    <t>\Delta x_2</t>
  </si>
  <si>
    <t>Spring 2</t>
  </si>
  <si>
    <t>Spring 2 equilibrium</t>
  </si>
  <si>
    <t>x_3</t>
  </si>
  <si>
    <t>\Delta x_3</t>
  </si>
  <si>
    <t>Spring 3</t>
  </si>
  <si>
    <t>k Value</t>
  </si>
  <si>
    <t>Error (+/-)</t>
  </si>
  <si>
    <t>Value</t>
  </si>
  <si>
    <t>Error</t>
  </si>
  <si>
    <t>k</t>
  </si>
  <si>
    <t>omega_1 = sqrt(k / m)</t>
  </si>
  <si>
    <t>omega_2 = sqrt((k + 2k') / m)</t>
  </si>
  <si>
    <t>k'</t>
  </si>
  <si>
    <t>d(omega_1)/dk = 1/2sqrt(km)</t>
  </si>
  <si>
    <t>d(omega_2)/dk = 1/2sqrt(m(k+2k'))</t>
  </si>
  <si>
    <t>Theoretical</t>
  </si>
  <si>
    <t>Measured</t>
  </si>
  <si>
    <t>% Error</t>
  </si>
  <si>
    <t>d(omega_2)/dk' = 1/sqrt(m(k+2k'))</t>
  </si>
  <si>
    <t>omega_1</t>
  </si>
  <si>
    <t>omega_2</t>
  </si>
  <si>
    <t>d(omega_1)/dm = -k/2sqrt(km^3)</t>
  </si>
  <si>
    <t>d(omega_2)/dm = -(k+2k')/2sqrt(m^3(k+2k'))</t>
  </si>
  <si>
    <t>f_1</t>
  </si>
  <si>
    <t>f_2</t>
  </si>
  <si>
    <t>omega_1 error</t>
  </si>
  <si>
    <t>omega_2 error</t>
  </si>
  <si>
    <t>0.18cm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</si>
</sst>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"/>
    <numFmt numFmtId="167" formatCode="0.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64" fontId="0" fillId="0" borderId="0" xfId="0" applyNumberFormat="1" applyAlignment="1">
      <alignment horizontal="left"/>
    </xf>
    <xf numFmtId="10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Determination of Spring Constant 1</a:t>
            </a:r>
          </a:p>
        </c:rich>
      </c:tx>
      <c:layout>
        <c:manualLayout>
          <c:xMode val="edge"/>
          <c:yMode val="edge"/>
          <c:x val="8.908333333333332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112423447069116E-2"/>
                  <c:y val="-0.20444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Constant'!$J$4:$J$8</c:f>
              <c:numCache>
                <c:formatCode>General</c:formatCode>
                <c:ptCount val="5"/>
                <c:pt idx="0">
                  <c:v>2.1799999999999986E-2</c:v>
                </c:pt>
                <c:pt idx="1">
                  <c:v>4.3899999999999995E-2</c:v>
                </c:pt>
                <c:pt idx="2">
                  <c:v>6.7199999999999982E-2</c:v>
                </c:pt>
                <c:pt idx="3" formatCode="0.0000">
                  <c:v>8.9000000000000024E-2</c:v>
                </c:pt>
                <c:pt idx="4">
                  <c:v>0.11049999999999999</c:v>
                </c:pt>
              </c:numCache>
            </c:numRef>
          </c:xVal>
          <c:yVal>
            <c:numRef>
              <c:f>'Spring Constant'!$K$4:$K$8</c:f>
              <c:numCache>
                <c:formatCode>General</c:formatCode>
                <c:ptCount val="5"/>
                <c:pt idx="0">
                  <c:v>0.39240000000000003</c:v>
                </c:pt>
                <c:pt idx="1">
                  <c:v>0.78480000000000005</c:v>
                </c:pt>
                <c:pt idx="2">
                  <c:v>1.1772</c:v>
                </c:pt>
                <c:pt idx="3">
                  <c:v>1.5696000000000001</c:v>
                </c:pt>
                <c:pt idx="4">
                  <c:v>1.9620000000000002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9-4536-8EE0-C15F72A50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900616"/>
        <c:axId val="1156186632"/>
      </c:scatterChart>
      <c:valAx>
        <c:axId val="184090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86632"/>
        <c:crosses val="autoZero"/>
        <c:crossBetween val="midCat"/>
      </c:valAx>
      <c:valAx>
        <c:axId val="115618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90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Determination of Spring Constant 2</a:t>
            </a:r>
          </a:p>
        </c:rich>
      </c:tx>
      <c:layout>
        <c:manualLayout>
          <c:xMode val="edge"/>
          <c:yMode val="edge"/>
          <c:x val="0.11824999999999999"/>
          <c:y val="3.1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99759405074366E-2"/>
                  <c:y val="-0.21972404491105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Constant'!$J$12:$J$16</c:f>
              <c:numCache>
                <c:formatCode>General</c:formatCode>
                <c:ptCount val="5"/>
                <c:pt idx="0">
                  <c:v>1.7299999999999982E-2</c:v>
                </c:pt>
                <c:pt idx="1">
                  <c:v>3.5399999999999987E-2</c:v>
                </c:pt>
                <c:pt idx="2">
                  <c:v>5.3800000000000014E-2</c:v>
                </c:pt>
                <c:pt idx="3">
                  <c:v>7.3000000000000009E-2</c:v>
                </c:pt>
                <c:pt idx="4">
                  <c:v>9.1800000000000048E-2</c:v>
                </c:pt>
              </c:numCache>
            </c:numRef>
          </c:xVal>
          <c:yVal>
            <c:numRef>
              <c:f>'Spring Constant'!$K$12:$K$16</c:f>
              <c:numCache>
                <c:formatCode>General</c:formatCode>
                <c:ptCount val="5"/>
                <c:pt idx="0">
                  <c:v>0.39240000000000003</c:v>
                </c:pt>
                <c:pt idx="1">
                  <c:v>0.78480000000000005</c:v>
                </c:pt>
                <c:pt idx="2">
                  <c:v>1.1772</c:v>
                </c:pt>
                <c:pt idx="3">
                  <c:v>1.5696000000000001</c:v>
                </c:pt>
                <c:pt idx="4">
                  <c:v>1.9620000000000002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2-405E-8463-046032BA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435720"/>
        <c:axId val="2128459784"/>
      </c:scatterChart>
      <c:valAx>
        <c:axId val="2128435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59784"/>
        <c:crosses val="autoZero"/>
        <c:crossBetween val="midCat"/>
      </c:valAx>
      <c:valAx>
        <c:axId val="21284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35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Determination of Spring Constant 3</a:t>
            </a:r>
          </a:p>
        </c:rich>
      </c:tx>
      <c:layout>
        <c:manualLayout>
          <c:xMode val="edge"/>
          <c:yMode val="edge"/>
          <c:x val="9.7416666666666651E-2"/>
          <c:y val="3.819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541972878390202"/>
                  <c:y val="-0.21847003499562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Constant'!$J$20:$J$24</c:f>
              <c:numCache>
                <c:formatCode>0.0000</c:formatCode>
                <c:ptCount val="5"/>
                <c:pt idx="0">
                  <c:v>1.8199999999999994E-2</c:v>
                </c:pt>
                <c:pt idx="1">
                  <c:v>3.9600000000000024E-2</c:v>
                </c:pt>
                <c:pt idx="2">
                  <c:v>5.6200000000000028E-2</c:v>
                </c:pt>
                <c:pt idx="3">
                  <c:v>7.7599999999999947E-2</c:v>
                </c:pt>
                <c:pt idx="4">
                  <c:v>9.5599999999999963E-2</c:v>
                </c:pt>
              </c:numCache>
            </c:numRef>
          </c:xVal>
          <c:yVal>
            <c:numRef>
              <c:f>'Spring Constant'!$K$20:$K$24</c:f>
              <c:numCache>
                <c:formatCode>General</c:formatCode>
                <c:ptCount val="5"/>
                <c:pt idx="0">
                  <c:v>0.39240000000000003</c:v>
                </c:pt>
                <c:pt idx="1">
                  <c:v>0.78480000000000005</c:v>
                </c:pt>
                <c:pt idx="2">
                  <c:v>1.1772</c:v>
                </c:pt>
                <c:pt idx="3">
                  <c:v>1.5696000000000001</c:v>
                </c:pt>
                <c:pt idx="4">
                  <c:v>1.9620000000000002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40-4A2B-A399-7D3198FE4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043975"/>
        <c:axId val="314050056"/>
      </c:scatterChart>
      <c:valAx>
        <c:axId val="1601043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50056"/>
        <c:crosses val="autoZero"/>
        <c:crossBetween val="midCat"/>
      </c:valAx>
      <c:valAx>
        <c:axId val="31405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43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310788</xdr:colOff>
      <xdr:row>0</xdr:row>
      <xdr:rowOff>44087</xdr:rowOff>
    </xdr:from>
    <xdr:to>
      <xdr:col>22</xdr:col>
      <xdr:colOff>5988</xdr:colOff>
      <xdr:row>14</xdr:row>
      <xdr:rowOff>120287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5F29303A-1AA7-7831-BA14-0DCF70966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16</xdr:row>
      <xdr:rowOff>104775</xdr:rowOff>
    </xdr:from>
    <xdr:to>
      <xdr:col>22</xdr:col>
      <xdr:colOff>19050</xdr:colOff>
      <xdr:row>30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E2C123-FD18-F6FE-E40A-F7145F8E2D83}"/>
            </a:ext>
            <a:ext uri="{147F2762-F138-4A5C-976F-8EAC2B608ADB}">
              <a16:predDERef xmlns:a16="http://schemas.microsoft.com/office/drawing/2014/main" pred="{5F29303A-1AA7-7831-BA14-0DCF70966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323850</xdr:colOff>
      <xdr:row>31</xdr:row>
      <xdr:rowOff>171450</xdr:rowOff>
    </xdr:from>
    <xdr:to>
      <xdr:col>22</xdr:col>
      <xdr:colOff>19050</xdr:colOff>
      <xdr:row>46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E272D6-F00E-2D83-DAAC-A187C65A3DC6}"/>
            </a:ext>
            <a:ext uri="{147F2762-F138-4A5C-976F-8EAC2B608ADB}">
              <a16:predDERef xmlns:a16="http://schemas.microsoft.com/office/drawing/2014/main" pred="{C2E2C123-FD18-F6FE-E40A-F7145F8E2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8"/>
  <sheetViews>
    <sheetView tabSelected="1" topLeftCell="J1" workbookViewId="0">
      <selection activeCell="L37" sqref="L37"/>
    </sheetView>
  </sheetViews>
  <sheetFormatPr defaultRowHeight="15"/>
  <cols>
    <col min="2" max="2" width="10" customWidth="1"/>
    <col min="6" max="6" width="13.5703125" customWidth="1"/>
    <col min="7" max="7" width="14" customWidth="1"/>
    <col min="8" max="8" width="16.140625" bestFit="1" customWidth="1"/>
    <col min="9" max="9" width="12.42578125" customWidth="1"/>
    <col min="10" max="11" width="15.42578125" customWidth="1"/>
  </cols>
  <sheetData>
    <row r="1" spans="2:11">
      <c r="B1" t="s">
        <v>0</v>
      </c>
    </row>
    <row r="2" spans="2:11">
      <c r="B2" s="1" t="s">
        <v>1</v>
      </c>
      <c r="C2" s="2">
        <v>9.81</v>
      </c>
      <c r="F2" t="s">
        <v>2</v>
      </c>
      <c r="G2" t="s">
        <v>3</v>
      </c>
      <c r="H2" t="s">
        <v>4</v>
      </c>
      <c r="J2" t="s">
        <v>5</v>
      </c>
      <c r="K2" t="s">
        <v>6</v>
      </c>
    </row>
    <row r="3" spans="2:11">
      <c r="D3" t="s">
        <v>7</v>
      </c>
      <c r="F3" t="s">
        <v>8</v>
      </c>
      <c r="G3" t="s">
        <v>9</v>
      </c>
      <c r="H3" t="s">
        <v>10</v>
      </c>
      <c r="J3" t="s">
        <v>11</v>
      </c>
      <c r="K3" t="s">
        <v>12</v>
      </c>
    </row>
    <row r="4" spans="2:11">
      <c r="F4">
        <v>40</v>
      </c>
      <c r="G4">
        <f>F4/1000</f>
        <v>0.04</v>
      </c>
      <c r="H4">
        <v>0.5171</v>
      </c>
      <c r="J4">
        <f>H4-$C$6</f>
        <v>2.1799999999999986E-2</v>
      </c>
      <c r="K4">
        <f>G4*$C$2</f>
        <v>0.39240000000000003</v>
      </c>
    </row>
    <row r="5" spans="2:11">
      <c r="B5" s="12" t="s">
        <v>13</v>
      </c>
      <c r="C5" s="12"/>
      <c r="F5">
        <v>80</v>
      </c>
      <c r="G5">
        <f>F5/1000</f>
        <v>0.08</v>
      </c>
      <c r="H5">
        <v>0.53920000000000001</v>
      </c>
      <c r="J5">
        <f>H5-$C$6</f>
        <v>4.3899999999999995E-2</v>
      </c>
      <c r="K5">
        <f>G5*$C$2</f>
        <v>0.78480000000000005</v>
      </c>
    </row>
    <row r="6" spans="2:11">
      <c r="B6" s="1" t="s">
        <v>14</v>
      </c>
      <c r="C6" s="2">
        <v>0.49530000000000002</v>
      </c>
      <c r="F6">
        <v>120</v>
      </c>
      <c r="G6">
        <f>F6/1000</f>
        <v>0.12</v>
      </c>
      <c r="H6">
        <v>0.5625</v>
      </c>
      <c r="J6">
        <f>H6-$C$6</f>
        <v>6.7199999999999982E-2</v>
      </c>
      <c r="K6">
        <f>G6*$C$2</f>
        <v>1.1772</v>
      </c>
    </row>
    <row r="7" spans="2:11">
      <c r="F7">
        <v>160</v>
      </c>
      <c r="G7">
        <f>F7/1000</f>
        <v>0.16</v>
      </c>
      <c r="H7">
        <v>0.58430000000000004</v>
      </c>
      <c r="J7" s="4">
        <f>H7-$C$6</f>
        <v>8.9000000000000024E-2</v>
      </c>
      <c r="K7">
        <f>G7*$C$2</f>
        <v>1.5696000000000001</v>
      </c>
    </row>
    <row r="8" spans="2:11">
      <c r="F8">
        <v>200</v>
      </c>
      <c r="G8">
        <f>F8/1000</f>
        <v>0.2</v>
      </c>
      <c r="H8">
        <v>0.60580000000000001</v>
      </c>
      <c r="J8">
        <f>H8-$C$6</f>
        <v>0.11049999999999999</v>
      </c>
      <c r="K8">
        <f>G8*$C$2</f>
        <v>1.9620000000000002</v>
      </c>
    </row>
    <row r="10" spans="2:11">
      <c r="H10" t="s">
        <v>15</v>
      </c>
      <c r="J10" t="s">
        <v>16</v>
      </c>
      <c r="K10" t="s">
        <v>6</v>
      </c>
    </row>
    <row r="11" spans="2:11">
      <c r="D11" t="s">
        <v>17</v>
      </c>
      <c r="F11" t="s">
        <v>8</v>
      </c>
      <c r="G11" t="s">
        <v>9</v>
      </c>
      <c r="H11" t="s">
        <v>10</v>
      </c>
      <c r="J11" t="s">
        <v>11</v>
      </c>
      <c r="K11" t="s">
        <v>12</v>
      </c>
    </row>
    <row r="12" spans="2:11">
      <c r="F12">
        <v>40</v>
      </c>
      <c r="G12">
        <f>F12/1000</f>
        <v>0.04</v>
      </c>
      <c r="H12">
        <v>0.44919999999999999</v>
      </c>
      <c r="J12">
        <f>H12-$C$15</f>
        <v>1.7299999999999982E-2</v>
      </c>
      <c r="K12">
        <f>G12*$C$2</f>
        <v>0.39240000000000003</v>
      </c>
    </row>
    <row r="13" spans="2:11">
      <c r="F13">
        <v>80</v>
      </c>
      <c r="G13">
        <f t="shared" ref="G13:G16" si="0">F13/1000</f>
        <v>0.08</v>
      </c>
      <c r="H13">
        <v>0.46729999999999999</v>
      </c>
      <c r="J13">
        <f>H13-$C$15</f>
        <v>3.5399999999999987E-2</v>
      </c>
      <c r="K13">
        <f>G13*$C$2</f>
        <v>0.78480000000000005</v>
      </c>
    </row>
    <row r="14" spans="2:11">
      <c r="B14" s="12" t="s">
        <v>18</v>
      </c>
      <c r="C14" s="12"/>
      <c r="F14">
        <v>120</v>
      </c>
      <c r="G14">
        <f t="shared" si="0"/>
        <v>0.12</v>
      </c>
      <c r="H14">
        <v>0.48570000000000002</v>
      </c>
      <c r="J14">
        <f>H14-$C$15</f>
        <v>5.3800000000000014E-2</v>
      </c>
      <c r="K14">
        <f>G14*$C$2</f>
        <v>1.1772</v>
      </c>
    </row>
    <row r="15" spans="2:11">
      <c r="B15" s="1" t="s">
        <v>14</v>
      </c>
      <c r="C15" s="2">
        <v>0.43190000000000001</v>
      </c>
      <c r="F15">
        <v>160</v>
      </c>
      <c r="G15">
        <f t="shared" si="0"/>
        <v>0.16</v>
      </c>
      <c r="H15">
        <v>0.50490000000000002</v>
      </c>
      <c r="J15">
        <f>H15-$C$15</f>
        <v>7.3000000000000009E-2</v>
      </c>
      <c r="K15">
        <f>G15*$C$2</f>
        <v>1.5696000000000001</v>
      </c>
    </row>
    <row r="16" spans="2:11">
      <c r="F16">
        <v>200</v>
      </c>
      <c r="G16">
        <f t="shared" si="0"/>
        <v>0.2</v>
      </c>
      <c r="H16">
        <v>0.52370000000000005</v>
      </c>
      <c r="J16">
        <f>H16-$C$15</f>
        <v>9.1800000000000048E-2</v>
      </c>
      <c r="K16">
        <f>G16*$C$2</f>
        <v>1.9620000000000002</v>
      </c>
    </row>
    <row r="18" spans="2:11">
      <c r="H18" t="s">
        <v>19</v>
      </c>
      <c r="J18" t="s">
        <v>20</v>
      </c>
      <c r="K18" t="s">
        <v>6</v>
      </c>
    </row>
    <row r="19" spans="2:11">
      <c r="D19" t="s">
        <v>21</v>
      </c>
      <c r="F19" t="s">
        <v>8</v>
      </c>
      <c r="G19" t="s">
        <v>9</v>
      </c>
      <c r="H19" t="s">
        <v>10</v>
      </c>
      <c r="J19" t="s">
        <v>11</v>
      </c>
      <c r="K19" t="s">
        <v>12</v>
      </c>
    </row>
    <row r="20" spans="2:11">
      <c r="F20">
        <v>40</v>
      </c>
      <c r="G20">
        <f>F20/1000</f>
        <v>0.04</v>
      </c>
      <c r="H20">
        <v>0.45319999999999999</v>
      </c>
      <c r="J20" s="4">
        <f>H20-$C$23</f>
        <v>1.8199999999999994E-2</v>
      </c>
      <c r="K20">
        <f>G20*$C$2</f>
        <v>0.39240000000000003</v>
      </c>
    </row>
    <row r="21" spans="2:11">
      <c r="F21">
        <v>80</v>
      </c>
      <c r="G21">
        <f t="shared" ref="G21:G24" si="1">F21/1000</f>
        <v>0.08</v>
      </c>
      <c r="H21">
        <v>0.47460000000000002</v>
      </c>
      <c r="J21" s="4">
        <f t="shared" ref="J21:J24" si="2">H21-$C$23</f>
        <v>3.9600000000000024E-2</v>
      </c>
      <c r="K21">
        <f t="shared" ref="K21:K24" si="3">G21*$C$2</f>
        <v>0.78480000000000005</v>
      </c>
    </row>
    <row r="22" spans="2:11">
      <c r="B22" s="12" t="s">
        <v>18</v>
      </c>
      <c r="C22" s="12"/>
      <c r="F22">
        <v>120</v>
      </c>
      <c r="G22">
        <f t="shared" si="1"/>
        <v>0.12</v>
      </c>
      <c r="H22">
        <v>0.49120000000000003</v>
      </c>
      <c r="J22" s="4">
        <f t="shared" si="2"/>
        <v>5.6200000000000028E-2</v>
      </c>
      <c r="K22">
        <f t="shared" si="3"/>
        <v>1.1772</v>
      </c>
    </row>
    <row r="23" spans="2:11">
      <c r="B23" s="1" t="s">
        <v>14</v>
      </c>
      <c r="C23" s="6">
        <v>0.435</v>
      </c>
      <c r="F23">
        <v>160</v>
      </c>
      <c r="G23">
        <f t="shared" si="1"/>
        <v>0.16</v>
      </c>
      <c r="H23">
        <v>0.51259999999999994</v>
      </c>
      <c r="J23" s="4">
        <f t="shared" si="2"/>
        <v>7.7599999999999947E-2</v>
      </c>
      <c r="K23">
        <f t="shared" si="3"/>
        <v>1.5696000000000001</v>
      </c>
    </row>
    <row r="24" spans="2:11">
      <c r="F24">
        <v>200</v>
      </c>
      <c r="G24">
        <f t="shared" si="1"/>
        <v>0.2</v>
      </c>
      <c r="H24">
        <v>0.53059999999999996</v>
      </c>
      <c r="J24" s="4">
        <f t="shared" si="2"/>
        <v>9.5599999999999963E-2</v>
      </c>
      <c r="K24">
        <f t="shared" si="3"/>
        <v>1.9620000000000002</v>
      </c>
    </row>
    <row r="58" spans="10:10">
      <c r="J58" s="4"/>
    </row>
  </sheetData>
  <mergeCells count="3">
    <mergeCell ref="B5:C5"/>
    <mergeCell ref="B14:C14"/>
    <mergeCell ref="B22:C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CA49-492A-4AA8-AE98-424DC6C8DE8A}">
  <dimension ref="B2:L24"/>
  <sheetViews>
    <sheetView topLeftCell="C1" workbookViewId="0">
      <selection activeCell="K5" sqref="K5"/>
    </sheetView>
  </sheetViews>
  <sheetFormatPr defaultRowHeight="15"/>
  <cols>
    <col min="2" max="2" width="17.140625" customWidth="1"/>
    <col min="3" max="3" width="19.42578125" customWidth="1"/>
    <col min="9" max="9" width="9.5703125" bestFit="1" customWidth="1"/>
  </cols>
  <sheetData>
    <row r="2" spans="2:9">
      <c r="B2" t="s">
        <v>5</v>
      </c>
      <c r="C2" t="s">
        <v>6</v>
      </c>
    </row>
    <row r="3" spans="2:9">
      <c r="B3" t="s">
        <v>11</v>
      </c>
      <c r="C3" t="s">
        <v>12</v>
      </c>
      <c r="H3" t="s">
        <v>22</v>
      </c>
      <c r="I3" t="s">
        <v>23</v>
      </c>
    </row>
    <row r="4" spans="2:9">
      <c r="B4">
        <v>2.1799999999999986E-2</v>
      </c>
      <c r="C4">
        <v>0.39240000000000003</v>
      </c>
      <c r="E4" cm="1">
        <f t="array" ref="E4:F8">LINEST(C4:C8,B4:B8,TRUE,TRUE)</f>
        <v>17.632525161624923</v>
      </c>
      <c r="F4">
        <v>4.9897272551755467E-3</v>
      </c>
      <c r="H4" s="3">
        <f>E4</f>
        <v>17.632525161624923</v>
      </c>
      <c r="I4" s="3">
        <f>E5</f>
        <v>0.14198321736536021</v>
      </c>
    </row>
    <row r="5" spans="2:9">
      <c r="B5">
        <v>4.3899999999999995E-2</v>
      </c>
      <c r="C5">
        <v>0.78480000000000005</v>
      </c>
      <c r="E5">
        <v>0.14198321736536021</v>
      </c>
      <c r="F5">
        <v>1.0443160506430427E-2</v>
      </c>
    </row>
    <row r="6" spans="2:9">
      <c r="B6">
        <v>6.7199999999999982E-2</v>
      </c>
      <c r="C6">
        <v>1.1772</v>
      </c>
      <c r="E6">
        <v>0.99980551693719266</v>
      </c>
      <c r="F6">
        <v>9.9910070178154693E-3</v>
      </c>
    </row>
    <row r="7" spans="2:9">
      <c r="B7">
        <v>8.9000000000000024E-2</v>
      </c>
      <c r="C7">
        <v>1.5696000000000001</v>
      </c>
      <c r="E7">
        <v>15422.507788161958</v>
      </c>
      <c r="F7">
        <v>3</v>
      </c>
    </row>
    <row r="8" spans="2:9">
      <c r="B8">
        <v>0.11049999999999999</v>
      </c>
      <c r="C8">
        <v>1.9620000000000002</v>
      </c>
      <c r="E8">
        <v>1.5394781393363102</v>
      </c>
      <c r="F8">
        <v>2.9946066369011392E-4</v>
      </c>
    </row>
    <row r="10" spans="2:9">
      <c r="B10" t="s">
        <v>16</v>
      </c>
      <c r="C10" t="s">
        <v>6</v>
      </c>
    </row>
    <row r="11" spans="2:9">
      <c r="B11" t="s">
        <v>11</v>
      </c>
      <c r="C11" t="s">
        <v>12</v>
      </c>
      <c r="H11" t="s">
        <v>22</v>
      </c>
      <c r="I11" t="s">
        <v>23</v>
      </c>
    </row>
    <row r="12" spans="2:9">
      <c r="B12">
        <v>1.7299999999999982E-2</v>
      </c>
      <c r="C12">
        <v>0.39240000000000003</v>
      </c>
      <c r="E12" cm="1">
        <f t="array" ref="E12:F16">LINEST(C12:C16,B12:B16,TRUE,TRUE)</f>
        <v>21.026306056296921</v>
      </c>
      <c r="F12">
        <v>3.6312633385329196E-2</v>
      </c>
      <c r="H12" s="3">
        <f>E12</f>
        <v>21.026306056296921</v>
      </c>
      <c r="I12" s="3">
        <f>E13</f>
        <v>0.13584196636445983</v>
      </c>
    </row>
    <row r="13" spans="2:9">
      <c r="B13">
        <v>3.5399999999999987E-2</v>
      </c>
      <c r="C13">
        <v>0.78480000000000005</v>
      </c>
      <c r="E13">
        <v>0.13584196636445983</v>
      </c>
      <c r="F13">
        <v>8.1963782592501429E-3</v>
      </c>
    </row>
    <row r="14" spans="2:9">
      <c r="B14">
        <v>5.3800000000000014E-2</v>
      </c>
      <c r="C14">
        <v>1.1772</v>
      </c>
      <c r="E14">
        <v>0.99987479870158213</v>
      </c>
      <c r="F14">
        <v>8.0162783300555818E-3</v>
      </c>
    </row>
    <row r="15" spans="2:9">
      <c r="B15">
        <v>7.3000000000000009E-2</v>
      </c>
      <c r="C15">
        <v>1.5696000000000001</v>
      </c>
      <c r="E15">
        <v>23958.412844035978</v>
      </c>
      <c r="F15">
        <v>3</v>
      </c>
    </row>
    <row r="16" spans="2:9">
      <c r="B16">
        <v>9.1800000000000048E-2</v>
      </c>
      <c r="C16">
        <v>1.9620000000000002</v>
      </c>
      <c r="E16">
        <v>1.5395848178452056</v>
      </c>
      <c r="F16">
        <v>1.927821547947561E-4</v>
      </c>
    </row>
    <row r="18" spans="2:12">
      <c r="B18" t="s">
        <v>20</v>
      </c>
      <c r="C18" t="s">
        <v>6</v>
      </c>
    </row>
    <row r="19" spans="2:12">
      <c r="B19" t="s">
        <v>11</v>
      </c>
      <c r="C19" t="s">
        <v>12</v>
      </c>
      <c r="H19" t="s">
        <v>22</v>
      </c>
      <c r="I19" t="s">
        <v>23</v>
      </c>
      <c r="L19" s="5"/>
    </row>
    <row r="20" spans="2:12">
      <c r="B20">
        <v>1.8199999999999994E-2</v>
      </c>
      <c r="C20">
        <v>0.39240000000000003</v>
      </c>
      <c r="E20" cm="1">
        <f t="array" ref="E20:F24">LINEST(C20:C24,B20:B24,TRUE,TRUE)</f>
        <v>20.325313686129046</v>
      </c>
      <c r="F20">
        <v>9.7139818687479451E-3</v>
      </c>
      <c r="H20" s="3">
        <f>E20</f>
        <v>20.325313686129046</v>
      </c>
      <c r="I20" s="3">
        <f>E21</f>
        <v>0.43072666659701836</v>
      </c>
    </row>
    <row r="21" spans="2:12">
      <c r="B21">
        <v>3.9600000000000024E-2</v>
      </c>
      <c r="C21">
        <v>0.78480000000000005</v>
      </c>
      <c r="E21">
        <v>0.43072666659701836</v>
      </c>
      <c r="F21">
        <v>2.7390260609806979E-2</v>
      </c>
    </row>
    <row r="22" spans="2:12">
      <c r="B22">
        <v>5.6200000000000028E-2</v>
      </c>
      <c r="C22">
        <v>1.1772</v>
      </c>
      <c r="E22">
        <v>0.99865455623997901</v>
      </c>
      <c r="F22">
        <v>2.6278534736802684E-2</v>
      </c>
    </row>
    <row r="23" spans="2:12">
      <c r="B23">
        <v>7.7599999999999947E-2</v>
      </c>
      <c r="C23">
        <v>1.5696000000000001</v>
      </c>
      <c r="E23">
        <v>2226.7476038339091</v>
      </c>
      <c r="F23">
        <v>3</v>
      </c>
    </row>
    <row r="24" spans="2:12">
      <c r="B24">
        <v>9.5599999999999963E-2</v>
      </c>
      <c r="C24">
        <v>1.9620000000000002</v>
      </c>
      <c r="E24">
        <v>1.5377059158362603</v>
      </c>
      <c r="F24">
        <v>2.0716841637400361E-3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0662-EC8C-4467-87C8-6EBA6468DDCD}">
  <dimension ref="B1:J17"/>
  <sheetViews>
    <sheetView workbookViewId="0">
      <selection activeCell="H15" sqref="H15"/>
    </sheetView>
  </sheetViews>
  <sheetFormatPr defaultRowHeight="15"/>
  <cols>
    <col min="3" max="3" width="10.42578125" bestFit="1" customWidth="1"/>
    <col min="4" max="4" width="10.7109375" customWidth="1"/>
    <col min="8" max="8" width="28" customWidth="1"/>
    <col min="10" max="10" width="31.7109375" customWidth="1"/>
  </cols>
  <sheetData>
    <row r="1" spans="2:10">
      <c r="C1" t="s">
        <v>24</v>
      </c>
      <c r="D1" t="s">
        <v>25</v>
      </c>
    </row>
    <row r="2" spans="2:10">
      <c r="B2" t="s">
        <v>26</v>
      </c>
      <c r="C2">
        <f>0.5*(20.33+21.03)</f>
        <v>20.68</v>
      </c>
      <c r="D2" s="3">
        <f>SQRT(0.25*(0.14*0.14)+0.25*(0.43*0.43))</f>
        <v>0.22610838109190026</v>
      </c>
      <c r="H2" t="s">
        <v>27</v>
      </c>
      <c r="J2" s="8" t="s">
        <v>28</v>
      </c>
    </row>
    <row r="3" spans="2:10">
      <c r="B3" t="s">
        <v>29</v>
      </c>
      <c r="C3" s="3">
        <v>17.632525161624923</v>
      </c>
      <c r="D3" s="3">
        <v>0.14198321736536021</v>
      </c>
    </row>
    <row r="4" spans="2:10">
      <c r="B4" t="s">
        <v>3</v>
      </c>
      <c r="C4">
        <v>0.2162</v>
      </c>
      <c r="D4">
        <f>0.1/1000</f>
        <v>1E-4</v>
      </c>
      <c r="H4" t="s">
        <v>30</v>
      </c>
      <c r="J4" t="s">
        <v>31</v>
      </c>
    </row>
    <row r="5" spans="2:10">
      <c r="H5" s="10">
        <f>(1/2)*(1/SQRT(C2*C4))</f>
        <v>0.23646501301829098</v>
      </c>
      <c r="J5" s="9">
        <f>(1/2)*(1/SQRT(C4*(C2+2*C3)))</f>
        <v>0.14376770005639977</v>
      </c>
    </row>
    <row r="6" spans="2:10">
      <c r="C6" t="s">
        <v>32</v>
      </c>
      <c r="D6" t="s">
        <v>33</v>
      </c>
      <c r="F6" t="s">
        <v>34</v>
      </c>
      <c r="J6" t="s">
        <v>35</v>
      </c>
    </row>
    <row r="7" spans="2:10">
      <c r="B7" t="s">
        <v>36</v>
      </c>
      <c r="C7" s="9">
        <f>SQRT(C2/C4)</f>
        <v>9.7801929384365156</v>
      </c>
      <c r="D7" s="9">
        <f>2*PI()*D10</f>
        <v>8.6079638708360342</v>
      </c>
      <c r="F7" s="7">
        <f>(C7-D7)/C7</f>
        <v>0.11985745833229713</v>
      </c>
      <c r="J7" s="9">
        <f>1/(SQRT(C4*(C2+2*C3)))</f>
        <v>0.28753540011279954</v>
      </c>
    </row>
    <row r="8" spans="2:10">
      <c r="B8" t="s">
        <v>37</v>
      </c>
      <c r="C8" s="9">
        <f>SQRT((C2+2*C3)/C4)</f>
        <v>16.086182429026348</v>
      </c>
      <c r="D8" s="9">
        <f>2*PI()*D11</f>
        <v>15.268140296446395</v>
      </c>
      <c r="F8" s="7">
        <f>(C8-D8)/C8</f>
        <v>5.0853714744889061E-2</v>
      </c>
      <c r="H8" t="s">
        <v>38</v>
      </c>
      <c r="J8" t="s">
        <v>39</v>
      </c>
    </row>
    <row r="9" spans="2:10">
      <c r="C9" s="9"/>
      <c r="D9" s="9"/>
      <c r="H9" s="4">
        <f>-C2/(2*SQRT(C2*POWER(C4,3)))</f>
        <v>-22.61839254957566</v>
      </c>
      <c r="J9" s="10">
        <f>-(C2+2*C3)/(2*SQRT(C4*C4*C4*(C2+2*C3)))</f>
        <v>-37.202087023650201</v>
      </c>
    </row>
    <row r="10" spans="2:10">
      <c r="B10" t="s">
        <v>40</v>
      </c>
      <c r="C10" s="9">
        <f>C7/(2*PI())</f>
        <v>1.5565660505446204</v>
      </c>
      <c r="D10" s="9">
        <v>1.37</v>
      </c>
      <c r="F10" s="7"/>
    </row>
    <row r="11" spans="2:10">
      <c r="B11" t="s">
        <v>41</v>
      </c>
      <c r="C11" s="9">
        <f>C8/(2*PI())</f>
        <v>2.5601954490575354</v>
      </c>
      <c r="D11" s="9">
        <v>2.4300000000000002</v>
      </c>
      <c r="F11" s="7"/>
      <c r="H11" t="s">
        <v>42</v>
      </c>
      <c r="J11" t="s">
        <v>43</v>
      </c>
    </row>
    <row r="12" spans="2:10">
      <c r="H12" s="11">
        <f>SQRT(H5*H5*D2*D2+H9*H9*D4*D4)</f>
        <v>5.3514541959001675E-2</v>
      </c>
      <c r="J12" s="11">
        <f>SQRT(J5*J5*D2*D2+J7*J7*D3*D3+J9*J9*D4*D4)</f>
        <v>5.231870966959995E-2</v>
      </c>
    </row>
    <row r="17" spans="3:3">
      <c r="C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Temple</cp:lastModifiedBy>
  <cp:revision/>
  <dcterms:created xsi:type="dcterms:W3CDTF">2025-01-29T15:30:35Z</dcterms:created>
  <dcterms:modified xsi:type="dcterms:W3CDTF">2025-02-01T22:17:03Z</dcterms:modified>
  <cp:category/>
  <cp:contentStatus/>
</cp:coreProperties>
</file>