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ransporte/Desktop/Modelos de Demanda/tarea 2/untitled folder/"/>
    </mc:Choice>
  </mc:AlternateContent>
  <xr:revisionPtr revIDLastSave="0" documentId="13_ncr:1_{3BD7DC29-D7D0-0547-82E9-56D55173C565}" xr6:coauthVersionLast="46" xr6:coauthVersionMax="46" xr10:uidLastSave="{00000000-0000-0000-0000-000000000000}"/>
  <bookViews>
    <workbookView xWindow="2380" yWindow="460" windowWidth="24640" windowHeight="13700" xr2:uid="{B104EF14-4AD2-D74A-8729-9A5CD8F89D0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41" i="1" l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40" i="1"/>
  <c r="M33" i="1"/>
  <c r="M32" i="1"/>
  <c r="M31" i="1"/>
  <c r="P8" i="1"/>
  <c r="P9" i="1"/>
  <c r="P10" i="1"/>
  <c r="P11" i="1"/>
  <c r="P12" i="1"/>
  <c r="P13" i="1"/>
  <c r="P14" i="1"/>
  <c r="Q14" i="1" s="1"/>
  <c r="P15" i="1"/>
  <c r="Q15" i="1" s="1"/>
  <c r="P16" i="1"/>
  <c r="P17" i="1"/>
  <c r="P18" i="1"/>
  <c r="Q18" i="1" s="1"/>
  <c r="P19" i="1"/>
  <c r="Q19" i="1" s="1"/>
  <c r="P20" i="1"/>
  <c r="P21" i="1"/>
  <c r="P7" i="1"/>
  <c r="Q8" i="1"/>
  <c r="Q12" i="1"/>
  <c r="Q7" i="1"/>
  <c r="Q16" i="1"/>
  <c r="Q20" i="1"/>
  <c r="N7" i="1"/>
  <c r="S7" i="1" s="1"/>
  <c r="N8" i="1"/>
  <c r="S8" i="1" s="1"/>
  <c r="N9" i="1"/>
  <c r="S9" i="1" s="1"/>
  <c r="N10" i="1"/>
  <c r="V10" i="1" s="1"/>
  <c r="N11" i="1"/>
  <c r="V11" i="1" s="1"/>
  <c r="N12" i="1"/>
  <c r="S12" i="1" s="1"/>
  <c r="N13" i="1"/>
  <c r="S13" i="1" s="1"/>
  <c r="N14" i="1"/>
  <c r="V14" i="1" s="1"/>
  <c r="N15" i="1"/>
  <c r="V15" i="1" s="1"/>
  <c r="N16" i="1"/>
  <c r="S16" i="1" s="1"/>
  <c r="N17" i="1"/>
  <c r="S17" i="1" s="1"/>
  <c r="N18" i="1"/>
  <c r="V18" i="1" s="1"/>
  <c r="N19" i="1"/>
  <c r="V19" i="1" s="1"/>
  <c r="N20" i="1"/>
  <c r="S20" i="1" s="1"/>
  <c r="N21" i="1"/>
  <c r="S21" i="1" s="1"/>
  <c r="F44" i="1"/>
  <c r="F45" i="1"/>
  <c r="F47" i="1"/>
  <c r="F48" i="1"/>
  <c r="F54" i="1"/>
  <c r="F55" i="1"/>
  <c r="F57" i="1"/>
  <c r="E55" i="1"/>
  <c r="E45" i="1"/>
  <c r="F66" i="1"/>
  <c r="F64" i="1"/>
  <c r="G64" i="1" s="1"/>
  <c r="F63" i="1"/>
  <c r="E64" i="1"/>
  <c r="E63" i="1" s="1"/>
  <c r="G63" i="1" s="1"/>
  <c r="F20" i="1"/>
  <c r="J9" i="1" s="1"/>
  <c r="G55" i="1"/>
  <c r="F18" i="1"/>
  <c r="S15" i="1" l="1"/>
  <c r="V7" i="1"/>
  <c r="E44" i="1"/>
  <c r="S18" i="1"/>
  <c r="S14" i="1"/>
  <c r="S10" i="1"/>
  <c r="V21" i="1"/>
  <c r="V17" i="1"/>
  <c r="V13" i="1"/>
  <c r="V9" i="1"/>
  <c r="S19" i="1"/>
  <c r="S11" i="1"/>
  <c r="V20" i="1"/>
  <c r="V16" i="1"/>
  <c r="V12" i="1"/>
  <c r="V8" i="1"/>
  <c r="E48" i="1"/>
  <c r="G48" i="1" s="1"/>
  <c r="E57" i="1"/>
  <c r="E54" i="1"/>
  <c r="G54" i="1" s="1"/>
  <c r="R18" i="1"/>
  <c r="R12" i="1"/>
  <c r="G57" i="1"/>
  <c r="G58" i="1" s="1"/>
  <c r="R16" i="1"/>
  <c r="R8" i="1"/>
  <c r="R19" i="1"/>
  <c r="R15" i="1"/>
  <c r="J16" i="1"/>
  <c r="R7" i="1"/>
  <c r="R22" i="1" s="1"/>
  <c r="R20" i="1"/>
  <c r="R14" i="1"/>
  <c r="Q10" i="1"/>
  <c r="R10" i="1" s="1"/>
  <c r="Q11" i="1"/>
  <c r="R11" i="1" s="1"/>
  <c r="Q21" i="1"/>
  <c r="R21" i="1" s="1"/>
  <c r="Q17" i="1"/>
  <c r="R17" i="1" s="1"/>
  <c r="Q13" i="1"/>
  <c r="R13" i="1" s="1"/>
  <c r="Q9" i="1"/>
  <c r="R9" i="1" s="1"/>
  <c r="G65" i="1"/>
  <c r="G45" i="1"/>
  <c r="G56" i="1"/>
  <c r="J17" i="1"/>
  <c r="E47" i="1"/>
  <c r="J20" i="1"/>
  <c r="H58" i="1" l="1"/>
  <c r="G47" i="1"/>
  <c r="G49" i="1" s="1"/>
  <c r="E66" i="1"/>
  <c r="G66" i="1" s="1"/>
  <c r="G67" i="1" s="1"/>
  <c r="H67" i="1" s="1"/>
  <c r="U8" i="1"/>
  <c r="U12" i="1"/>
  <c r="U16" i="1"/>
  <c r="U20" i="1"/>
  <c r="U9" i="1"/>
  <c r="U13" i="1"/>
  <c r="U17" i="1"/>
  <c r="U21" i="1"/>
  <c r="U11" i="1"/>
  <c r="U15" i="1"/>
  <c r="U19" i="1"/>
  <c r="U10" i="1"/>
  <c r="U14" i="1"/>
  <c r="U18" i="1"/>
  <c r="U7" i="1"/>
  <c r="H65" i="1"/>
  <c r="H56" i="1"/>
  <c r="G44" i="1"/>
  <c r="G46" i="1" s="1"/>
  <c r="U22" i="1" l="1"/>
  <c r="H49" i="1"/>
  <c r="H46" i="1"/>
</calcChain>
</file>

<file path=xl/sharedStrings.xml><?xml version="1.0" encoding="utf-8"?>
<sst xmlns="http://schemas.openxmlformats.org/spreadsheetml/2006/main" count="144" uniqueCount="61">
  <si>
    <t>t value</t>
  </si>
  <si>
    <t>Adultos</t>
  </si>
  <si>
    <t>Estudiantes</t>
  </si>
  <si>
    <t>Jubilados</t>
  </si>
  <si>
    <t>Otros</t>
  </si>
  <si>
    <t>Valor t</t>
  </si>
  <si>
    <t>Intercepto</t>
  </si>
  <si>
    <t>ln(vehiculo)</t>
  </si>
  <si>
    <t>Ingreso del Hogar</t>
  </si>
  <si>
    <t>ln(Bicicletas de niños)</t>
  </si>
  <si>
    <t>ln(Pases Escolares)</t>
  </si>
  <si>
    <t>Adultos Mayores - Estudiantes</t>
  </si>
  <si>
    <t>Adultos - Trabajadores</t>
  </si>
  <si>
    <t>Adultos Mayores</t>
  </si>
  <si>
    <t>Dueños/as de Casa</t>
  </si>
  <si>
    <t>Desempleados/as</t>
  </si>
  <si>
    <t>Otros Ocupaciones</t>
  </si>
  <si>
    <t>R2</t>
  </si>
  <si>
    <t>R2 Ajustado</t>
  </si>
  <si>
    <t>Valor P de la regresión</t>
  </si>
  <si>
    <t>Error Cuadrático medio</t>
  </si>
  <si>
    <t>Modelación Viajes - Otros propósitos</t>
  </si>
  <si>
    <t>Discapacidad</t>
  </si>
  <si>
    <t>Niños</t>
  </si>
  <si>
    <t>Trabajadores</t>
  </si>
  <si>
    <t>Coeficientes</t>
  </si>
  <si>
    <t>Estimador</t>
  </si>
  <si>
    <t>Adultos Jóvenes</t>
  </si>
  <si>
    <t>Jóvenes</t>
  </si>
  <si>
    <t>Modelación Viajes - Trabajo</t>
  </si>
  <si>
    <t>Modelación Viajes - Estudio</t>
  </si>
  <si>
    <t>ln(Bicicletas de adultos)</t>
  </si>
  <si>
    <t>Jóvenes - Estudiantes</t>
  </si>
  <si>
    <t>Adults Jóvenes</t>
  </si>
  <si>
    <t>Trabajo</t>
  </si>
  <si>
    <t>Estudio</t>
  </si>
  <si>
    <t>Otros propósitos</t>
  </si>
  <si>
    <t>Error Absoluto Medio</t>
  </si>
  <si>
    <t>Raíz del Error Cuadrático Medio</t>
  </si>
  <si>
    <t>Predicción de Viajes</t>
  </si>
  <si>
    <t>Error Promedio</t>
  </si>
  <si>
    <t>Viajes de Trabajo</t>
  </si>
  <si>
    <t>Variable</t>
  </si>
  <si>
    <t>Valor Parámetro</t>
  </si>
  <si>
    <t>Efecto sobre Viajes</t>
  </si>
  <si>
    <t>Efecto Corto Plazo</t>
  </si>
  <si>
    <t>Cambio en Variable</t>
  </si>
  <si>
    <t>Efecto Largo Plazo</t>
  </si>
  <si>
    <t>En Porcentaje</t>
  </si>
  <si>
    <t>Viajes de Estudio</t>
  </si>
  <si>
    <t>Viajes con Otros Propósitos</t>
  </si>
  <si>
    <t>Adultos - Estudiantes</t>
  </si>
  <si>
    <t>Viajes al Trabajo</t>
  </si>
  <si>
    <t>Viajes al Estudio</t>
  </si>
  <si>
    <t>Modelo Considerado</t>
  </si>
  <si>
    <t>Error Predicción</t>
  </si>
  <si>
    <t>en porcentaje</t>
  </si>
  <si>
    <t>Coeficiente</t>
  </si>
  <si>
    <t>Total Ponderado</t>
  </si>
  <si>
    <t>Viajes Otros Propósitos</t>
  </si>
  <si>
    <t>Mejora en la predicción por cada variable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</si>
</sst>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E+00"/>
    <numFmt numFmtId="166" formatCode="0.00000"/>
    <numFmt numFmtId="167" formatCode="0.0000000000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rgb="FF000000"/>
      <name val="Times New Roman"/>
      <family val="1"/>
    </font>
    <font>
      <b/>
      <i/>
      <sz val="10"/>
      <color theme="1"/>
      <name val="Times New Roman"/>
      <family val="1"/>
    </font>
    <font>
      <i/>
      <sz val="10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theme="9" tint="0.59999389629810485"/>
        <bgColor theme="0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5">
    <xf numFmtId="0" fontId="0" fillId="0" borderId="0" xfId="0"/>
    <xf numFmtId="0" fontId="2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/>
    <xf numFmtId="0" fontId="2" fillId="2" borderId="0" xfId="0" applyFont="1" applyFill="1" applyAlignment="1">
      <alignment horizontal="center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2" fontId="3" fillId="2" borderId="1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11" fontId="3" fillId="2" borderId="0" xfId="0" applyNumberFormat="1" applyFont="1" applyFill="1"/>
    <xf numFmtId="0" fontId="2" fillId="2" borderId="1" xfId="0" applyFont="1" applyFill="1" applyBorder="1" applyAlignment="1">
      <alignment horizontal="left"/>
    </xf>
    <xf numFmtId="164" fontId="3" fillId="2" borderId="1" xfId="0" applyNumberFormat="1" applyFont="1" applyFill="1" applyBorder="1" applyAlignment="1">
      <alignment horizontal="center"/>
    </xf>
    <xf numFmtId="165" fontId="3" fillId="2" borderId="1" xfId="0" applyNumberFormat="1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/>
    <xf numFmtId="0" fontId="3" fillId="2" borderId="1" xfId="0" applyFont="1" applyFill="1" applyBorder="1"/>
    <xf numFmtId="166" fontId="3" fillId="2" borderId="1" xfId="0" applyNumberFormat="1" applyFont="1" applyFill="1" applyBorder="1" applyAlignment="1">
      <alignment horizontal="center"/>
    </xf>
    <xf numFmtId="0" fontId="2" fillId="2" borderId="2" xfId="0" applyFont="1" applyFill="1" applyBorder="1" applyAlignment="1">
      <alignment horizontal="left"/>
    </xf>
    <xf numFmtId="0" fontId="4" fillId="3" borderId="1" xfId="0" applyFont="1" applyFill="1" applyBorder="1"/>
    <xf numFmtId="0" fontId="2" fillId="2" borderId="4" xfId="0" applyFont="1" applyFill="1" applyBorder="1"/>
    <xf numFmtId="0" fontId="2" fillId="4" borderId="1" xfId="0" applyFont="1" applyFill="1" applyBorder="1"/>
    <xf numFmtId="0" fontId="5" fillId="2" borderId="1" xfId="0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0" fontId="6" fillId="2" borderId="6" xfId="0" applyFont="1" applyFill="1" applyBorder="1" applyAlignment="1">
      <alignment horizontal="center"/>
    </xf>
    <xf numFmtId="10" fontId="5" fillId="2" borderId="1" xfId="1" applyNumberFormat="1" applyFont="1" applyFill="1" applyBorder="1" applyAlignment="1">
      <alignment horizontal="center"/>
    </xf>
    <xf numFmtId="166" fontId="3" fillId="2" borderId="0" xfId="0" applyNumberFormat="1" applyFont="1" applyFill="1"/>
    <xf numFmtId="167" fontId="3" fillId="2" borderId="0" xfId="0" applyNumberFormat="1" applyFont="1" applyFill="1"/>
    <xf numFmtId="0" fontId="3" fillId="4" borderId="0" xfId="0" applyFont="1" applyFill="1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10" fontId="6" fillId="2" borderId="1" xfId="1" applyNumberFormat="1" applyFont="1" applyFill="1" applyBorder="1" applyAlignment="1">
      <alignment horizontal="center"/>
    </xf>
    <xf numFmtId="166" fontId="2" fillId="2" borderId="1" xfId="0" applyNumberFormat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33A1B-80DE-4B42-BCED-D61EF1D956A8}">
  <dimension ref="C3:V67"/>
  <sheetViews>
    <sheetView tabSelected="1" topLeftCell="F34" workbookViewId="0">
      <selection activeCell="K38" sqref="K38:O60"/>
    </sheetView>
  </sheetViews>
  <sheetFormatPr baseColWidth="10" defaultRowHeight="13" x14ac:dyDescent="0.15"/>
  <cols>
    <col min="1" max="2" width="10.83203125" style="3"/>
    <col min="3" max="3" width="26.33203125" style="3" bestFit="1" customWidth="1"/>
    <col min="4" max="4" width="25.83203125" style="2" customWidth="1"/>
    <col min="5" max="5" width="16.5" style="2" customWidth="1"/>
    <col min="6" max="7" width="16.5" style="3" customWidth="1"/>
    <col min="8" max="9" width="10.83203125" style="2"/>
    <col min="10" max="10" width="10.83203125" style="3"/>
    <col min="11" max="11" width="22.83203125" style="3" bestFit="1" customWidth="1"/>
    <col min="12" max="13" width="19.33203125" style="2" customWidth="1"/>
    <col min="14" max="15" width="19.33203125" style="3" customWidth="1"/>
    <col min="16" max="16" width="10.83203125" style="3"/>
    <col min="17" max="17" width="17.1640625" style="3" customWidth="1"/>
    <col min="18" max="19" width="10.83203125" style="3"/>
    <col min="20" max="20" width="12.5" style="3" bestFit="1" customWidth="1"/>
    <col min="21" max="16384" width="10.83203125" style="3"/>
  </cols>
  <sheetData>
    <row r="3" spans="3:22" x14ac:dyDescent="0.15">
      <c r="C3" s="1" t="s">
        <v>21</v>
      </c>
      <c r="G3" s="1" t="s">
        <v>29</v>
      </c>
      <c r="K3" s="1" t="s">
        <v>30</v>
      </c>
      <c r="L3" s="4"/>
    </row>
    <row r="5" spans="3:22" x14ac:dyDescent="0.15">
      <c r="C5" s="5" t="s">
        <v>25</v>
      </c>
      <c r="D5" s="6" t="s">
        <v>26</v>
      </c>
      <c r="E5" s="6" t="s">
        <v>5</v>
      </c>
      <c r="G5" s="5" t="s">
        <v>25</v>
      </c>
      <c r="H5" s="6" t="s">
        <v>26</v>
      </c>
      <c r="I5" s="6" t="s">
        <v>0</v>
      </c>
      <c r="K5" s="5" t="s">
        <v>25</v>
      </c>
      <c r="L5" s="6" t="s">
        <v>26</v>
      </c>
      <c r="M5" s="6" t="s">
        <v>0</v>
      </c>
    </row>
    <row r="6" spans="3:22" x14ac:dyDescent="0.15">
      <c r="C6" s="5" t="s">
        <v>6</v>
      </c>
      <c r="D6" s="7">
        <v>0.98640000000000005</v>
      </c>
      <c r="E6" s="8">
        <v>9.5139999999999993</v>
      </c>
      <c r="G6" s="5" t="s">
        <v>6</v>
      </c>
      <c r="H6" s="7">
        <v>-0.13450000000000001</v>
      </c>
      <c r="I6" s="7">
        <v>-3.097</v>
      </c>
      <c r="K6" s="5" t="s">
        <v>6</v>
      </c>
      <c r="L6" s="8">
        <v>-3.6490000000000002E-2</v>
      </c>
      <c r="M6" s="8">
        <v>-1.002</v>
      </c>
    </row>
    <row r="7" spans="3:22" x14ac:dyDescent="0.15">
      <c r="C7" s="5" t="s">
        <v>7</v>
      </c>
      <c r="D7" s="7">
        <v>1.514</v>
      </c>
      <c r="E7" s="8">
        <v>14.468999999999999</v>
      </c>
      <c r="G7" s="5" t="s">
        <v>7</v>
      </c>
      <c r="H7" s="7">
        <v>0.10639999999999999</v>
      </c>
      <c r="I7" s="7">
        <v>2.4329999999999998</v>
      </c>
      <c r="K7" s="5" t="s">
        <v>31</v>
      </c>
      <c r="L7" s="8">
        <v>0.11436</v>
      </c>
      <c r="M7" s="8">
        <v>3.4910000000000001</v>
      </c>
      <c r="N7" s="3">
        <f t="shared" ref="N7:N21" si="0">L7^2</f>
        <v>1.3078209600000001E-2</v>
      </c>
      <c r="O7" s="3">
        <v>0.37205759999999999</v>
      </c>
      <c r="P7" s="25">
        <f>O7*0.08</f>
        <v>2.9764607999999998E-2</v>
      </c>
      <c r="Q7" s="25">
        <f>P7^2</f>
        <v>8.8593188939366393E-4</v>
      </c>
      <c r="R7" s="3">
        <f>Q7*N7</f>
        <v>1.1586402940814355E-5</v>
      </c>
      <c r="S7" s="3">
        <f>N7*P7*0.05*0.05</f>
        <v>9.731694552145921E-7</v>
      </c>
      <c r="U7" s="3">
        <f t="shared" ref="U7:U21" si="1">S7*(SUM($S$7:$S$21)-S7)</f>
        <v>3.5645587748514427E-10</v>
      </c>
      <c r="V7" s="3">
        <f>N7*((O7*0.08)/0.0120352)</f>
        <v>3.2344105796815743E-2</v>
      </c>
    </row>
    <row r="8" spans="3:22" x14ac:dyDescent="0.15">
      <c r="C8" s="5" t="s">
        <v>8</v>
      </c>
      <c r="D8" s="7">
        <v>1.8449999999999999E-7</v>
      </c>
      <c r="E8" s="8">
        <v>2.879</v>
      </c>
      <c r="G8" s="5" t="s">
        <v>8</v>
      </c>
      <c r="H8" s="7">
        <v>8.3459999999999994E-8</v>
      </c>
      <c r="I8" s="7">
        <v>3.0550000000000002</v>
      </c>
      <c r="K8" s="5" t="s">
        <v>9</v>
      </c>
      <c r="L8" s="8">
        <v>-0.1285</v>
      </c>
      <c r="M8" s="8">
        <v>-2.6019999999999999</v>
      </c>
      <c r="N8" s="3">
        <f t="shared" si="0"/>
        <v>1.6512249999999999E-2</v>
      </c>
      <c r="O8" s="3">
        <v>0.150565</v>
      </c>
      <c r="P8" s="25">
        <f t="shared" ref="P8:P21" si="2">O8*0.08</f>
        <v>1.2045200000000001E-2</v>
      </c>
      <c r="Q8" s="25">
        <f t="shared" ref="Q8:Q21" si="3">P8^2</f>
        <v>1.4508684304000001E-4</v>
      </c>
      <c r="R8" s="3">
        <f t="shared" ref="R8:R21" si="4">Q8*N8</f>
        <v>2.3957102239872399E-6</v>
      </c>
      <c r="S8" s="3">
        <f t="shared" ref="S8:S21" si="5">N8*P8*0.05*0.05</f>
        <v>4.9723338425000003E-7</v>
      </c>
      <c r="U8" s="3">
        <f t="shared" si="1"/>
        <v>1.8236501687002653E-10</v>
      </c>
      <c r="V8" s="3">
        <f t="shared" ref="V8:V21" si="6">N8*((O8*0.08)/0.0120352)</f>
        <v>1.652596996310822E-2</v>
      </c>
    </row>
    <row r="9" spans="3:22" x14ac:dyDescent="0.15">
      <c r="C9" s="5" t="s">
        <v>9</v>
      </c>
      <c r="D9" s="7">
        <v>0.47410000000000002</v>
      </c>
      <c r="E9" s="8">
        <v>3.492</v>
      </c>
      <c r="G9" s="5" t="s">
        <v>12</v>
      </c>
      <c r="H9" s="7">
        <v>0.2445</v>
      </c>
      <c r="I9" s="7">
        <v>2.6669999999999998</v>
      </c>
      <c r="J9" s="3">
        <f>SQRT((-F20+F18)*(8347))*H9</f>
        <v>252.28085935711115</v>
      </c>
      <c r="K9" s="5" t="s">
        <v>10</v>
      </c>
      <c r="L9" s="8">
        <v>-0.24596999999999999</v>
      </c>
      <c r="M9" s="8">
        <v>-4.851</v>
      </c>
      <c r="N9" s="3">
        <f t="shared" si="0"/>
        <v>6.0501240899999996E-2</v>
      </c>
      <c r="O9" s="3">
        <v>0.32481989999999999</v>
      </c>
      <c r="P9" s="25">
        <f t="shared" si="2"/>
        <v>2.5985592000000002E-2</v>
      </c>
      <c r="Q9" s="25">
        <f t="shared" si="3"/>
        <v>6.752509915904641E-4</v>
      </c>
      <c r="R9" s="3">
        <f t="shared" si="4"/>
        <v>4.085352291017854E-5</v>
      </c>
      <c r="S9" s="3">
        <f t="shared" si="5"/>
        <v>3.930401403802782E-6</v>
      </c>
      <c r="U9" s="3">
        <f t="shared" si="1"/>
        <v>1.4280179259106679E-9</v>
      </c>
      <c r="V9" s="3">
        <f t="shared" si="6"/>
        <v>0.13063019821200419</v>
      </c>
    </row>
    <row r="10" spans="3:22" x14ac:dyDescent="0.15">
      <c r="C10" s="5" t="s">
        <v>10</v>
      </c>
      <c r="D10" s="7">
        <v>-1.2669999999999999</v>
      </c>
      <c r="E10" s="8">
        <v>-9.4130000000000003</v>
      </c>
      <c r="G10" s="5" t="s">
        <v>22</v>
      </c>
      <c r="H10" s="7">
        <v>-7.8380000000000005E-2</v>
      </c>
      <c r="I10" s="7">
        <v>-2.1339999999999999</v>
      </c>
      <c r="K10" s="5" t="s">
        <v>32</v>
      </c>
      <c r="L10" s="8">
        <v>0.216</v>
      </c>
      <c r="M10" s="8">
        <v>5.7140000000000004</v>
      </c>
      <c r="N10" s="3">
        <f t="shared" si="0"/>
        <v>4.6655999999999996E-2</v>
      </c>
      <c r="O10" s="3">
        <v>0.60383690000000001</v>
      </c>
      <c r="P10" s="25">
        <f t="shared" si="2"/>
        <v>4.8306952E-2</v>
      </c>
      <c r="Q10" s="25">
        <f t="shared" si="3"/>
        <v>2.3335616115303039E-3</v>
      </c>
      <c r="R10" s="3">
        <f t="shared" si="4"/>
        <v>1.0887465054755785E-4</v>
      </c>
      <c r="S10" s="3">
        <f t="shared" si="5"/>
        <v>5.6345228812799998E-6</v>
      </c>
      <c r="U10" s="3">
        <f t="shared" si="1"/>
        <v>2.0375680469689875E-9</v>
      </c>
      <c r="V10" s="3">
        <f t="shared" si="6"/>
        <v>0.18726810958787557</v>
      </c>
    </row>
    <row r="11" spans="3:22" x14ac:dyDescent="0.15">
      <c r="C11" s="5" t="s">
        <v>11</v>
      </c>
      <c r="D11" s="7">
        <v>0.37190000000000001</v>
      </c>
      <c r="E11" s="8">
        <v>3.1869999999999998</v>
      </c>
      <c r="G11" s="5" t="s">
        <v>13</v>
      </c>
      <c r="H11" s="7">
        <v>0.25900000000000001</v>
      </c>
      <c r="I11" s="7">
        <v>5.1890000000000001</v>
      </c>
      <c r="K11" s="5" t="s">
        <v>51</v>
      </c>
      <c r="L11" s="8">
        <v>8.6889999999999995E-2</v>
      </c>
      <c r="M11" s="8">
        <v>1.917</v>
      </c>
      <c r="N11" s="3">
        <f t="shared" si="0"/>
        <v>7.5498720999999987E-3</v>
      </c>
      <c r="O11" s="3">
        <v>0.3357639</v>
      </c>
      <c r="P11" s="25">
        <f t="shared" si="2"/>
        <v>2.6861111999999999E-2</v>
      </c>
      <c r="Q11" s="25">
        <f t="shared" si="3"/>
        <v>7.2151933787654402E-4</v>
      </c>
      <c r="R11" s="3">
        <f t="shared" si="4"/>
        <v>5.4473787186445919E-6</v>
      </c>
      <c r="S11" s="3">
        <f t="shared" si="5"/>
        <v>5.0699490015943797E-7</v>
      </c>
      <c r="U11" s="3">
        <f t="shared" si="1"/>
        <v>1.8594019553362282E-10</v>
      </c>
      <c r="V11" s="3">
        <f t="shared" si="6"/>
        <v>1.6850402158981585E-2</v>
      </c>
    </row>
    <row r="12" spans="3:22" x14ac:dyDescent="0.15">
      <c r="C12" s="5" t="s">
        <v>12</v>
      </c>
      <c r="D12" s="7">
        <v>-0.22040000000000001</v>
      </c>
      <c r="E12" s="8">
        <v>-2.0819999999999999</v>
      </c>
      <c r="G12" s="5" t="s">
        <v>1</v>
      </c>
      <c r="H12" s="7">
        <v>0.21779999999999999</v>
      </c>
      <c r="I12" s="7">
        <v>3.9380000000000002</v>
      </c>
      <c r="J12" s="9"/>
      <c r="K12" s="5" t="s">
        <v>22</v>
      </c>
      <c r="L12" s="8">
        <v>-6.5079999999999999E-2</v>
      </c>
      <c r="M12" s="8">
        <v>-2.0960000000000001</v>
      </c>
      <c r="N12" s="3">
        <f t="shared" si="0"/>
        <v>4.2354063999999999E-3</v>
      </c>
      <c r="O12" s="3">
        <v>0.2470628</v>
      </c>
      <c r="P12" s="25">
        <f t="shared" si="2"/>
        <v>1.9765023999999999E-2</v>
      </c>
      <c r="Q12" s="25">
        <f t="shared" si="3"/>
        <v>3.9065617372057598E-4</v>
      </c>
      <c r="R12" s="3">
        <f t="shared" si="4"/>
        <v>1.6545876583756393E-6</v>
      </c>
      <c r="S12" s="3">
        <f t="shared" si="5"/>
        <v>2.0928227286438401E-7</v>
      </c>
      <c r="U12" s="3">
        <f t="shared" si="1"/>
        <v>7.6816503553791233E-11</v>
      </c>
      <c r="V12" s="3">
        <f t="shared" si="6"/>
        <v>6.9556724562743946E-3</v>
      </c>
    </row>
    <row r="13" spans="3:22" x14ac:dyDescent="0.15">
      <c r="C13" s="5" t="s">
        <v>13</v>
      </c>
      <c r="D13" s="7">
        <v>-0.2394</v>
      </c>
      <c r="E13" s="8">
        <v>-2.3439999999999999</v>
      </c>
      <c r="G13" s="5" t="s">
        <v>27</v>
      </c>
      <c r="H13" s="7">
        <v>0.30819999999999997</v>
      </c>
      <c r="I13" s="7">
        <v>6.9720000000000004</v>
      </c>
      <c r="J13" s="9"/>
      <c r="K13" s="5" t="s">
        <v>13</v>
      </c>
      <c r="L13" s="8">
        <v>0.29056999999999999</v>
      </c>
      <c r="M13" s="8">
        <v>7.3339999999999996</v>
      </c>
      <c r="N13" s="3">
        <f t="shared" si="0"/>
        <v>8.4430924899999996E-2</v>
      </c>
      <c r="O13" s="3">
        <v>0.45104719999999998</v>
      </c>
      <c r="P13" s="25">
        <f t="shared" si="2"/>
        <v>3.6083775999999998E-2</v>
      </c>
      <c r="Q13" s="25">
        <f t="shared" si="3"/>
        <v>1.3020388904181758E-3</v>
      </c>
      <c r="R13" s="3">
        <f t="shared" si="4"/>
        <v>1.0993234777377632E-4</v>
      </c>
      <c r="S13" s="3">
        <f t="shared" si="5"/>
        <v>7.6164664539110559E-6</v>
      </c>
      <c r="U13" s="3">
        <f t="shared" si="1"/>
        <v>2.7391872546884567E-9</v>
      </c>
      <c r="V13" s="3">
        <f t="shared" si="6"/>
        <v>0.25313967209223132</v>
      </c>
    </row>
    <row r="14" spans="3:22" x14ac:dyDescent="0.15">
      <c r="C14" s="5" t="s">
        <v>1</v>
      </c>
      <c r="D14" s="7">
        <v>0.19370000000000001</v>
      </c>
      <c r="E14" s="8">
        <v>1.8320000000000001</v>
      </c>
      <c r="G14" s="5" t="s">
        <v>28</v>
      </c>
      <c r="H14" s="7">
        <v>0.1943</v>
      </c>
      <c r="I14" s="7">
        <v>4.548</v>
      </c>
      <c r="J14" s="9"/>
      <c r="K14" s="5" t="s">
        <v>1</v>
      </c>
      <c r="L14" s="8">
        <v>0.23408000000000001</v>
      </c>
      <c r="M14" s="8">
        <v>7.2380000000000004</v>
      </c>
      <c r="N14" s="3">
        <f t="shared" si="0"/>
        <v>5.4793446400000008E-2</v>
      </c>
      <c r="O14" s="3">
        <v>1.782564</v>
      </c>
      <c r="P14" s="25">
        <f t="shared" si="2"/>
        <v>0.14260512</v>
      </c>
      <c r="Q14" s="25">
        <f t="shared" si="3"/>
        <v>2.03362202502144E-2</v>
      </c>
      <c r="R14" s="3">
        <f t="shared" si="4"/>
        <v>1.1142915942587174E-3</v>
      </c>
      <c r="S14" s="3">
        <f t="shared" si="5"/>
        <v>1.9534564997713928E-5</v>
      </c>
      <c r="U14" s="3">
        <f t="shared" si="1"/>
        <v>6.7925993147063875E-9</v>
      </c>
      <c r="V14" s="3">
        <f t="shared" si="6"/>
        <v>0.64924770665095466</v>
      </c>
    </row>
    <row r="15" spans="3:22" x14ac:dyDescent="0.15">
      <c r="C15" s="5" t="s">
        <v>2</v>
      </c>
      <c r="D15" s="7">
        <v>0.86709999999999998</v>
      </c>
      <c r="E15" s="8">
        <v>13.904999999999999</v>
      </c>
      <c r="G15" s="5" t="s">
        <v>23</v>
      </c>
      <c r="H15" s="7">
        <v>0.1188</v>
      </c>
      <c r="I15" s="7">
        <v>2.2229999999999999</v>
      </c>
      <c r="J15" s="9"/>
      <c r="K15" s="5" t="s">
        <v>33</v>
      </c>
      <c r="L15" s="8">
        <v>0.20008000000000001</v>
      </c>
      <c r="M15" s="8">
        <v>5.4880000000000004</v>
      </c>
      <c r="N15" s="3">
        <f t="shared" si="0"/>
        <v>4.00320064E-2</v>
      </c>
      <c r="O15" s="3">
        <v>0.35552529999999999</v>
      </c>
      <c r="P15" s="25">
        <f t="shared" si="2"/>
        <v>2.8442024E-2</v>
      </c>
      <c r="Q15" s="25">
        <f t="shared" si="3"/>
        <v>8.0894872921657599E-4</v>
      </c>
      <c r="R15" s="3">
        <f t="shared" si="4"/>
        <v>3.2383840705269836E-5</v>
      </c>
      <c r="S15" s="3">
        <f t="shared" si="5"/>
        <v>2.8464782169923842E-6</v>
      </c>
      <c r="U15" s="3">
        <f t="shared" si="1"/>
        <v>1.0372855641691742E-9</v>
      </c>
      <c r="V15" s="3">
        <f t="shared" si="6"/>
        <v>9.4605098942847132E-2</v>
      </c>
    </row>
    <row r="16" spans="3:22" x14ac:dyDescent="0.15">
      <c r="C16" s="5" t="s">
        <v>3</v>
      </c>
      <c r="D16" s="7">
        <v>1.0049999999999999</v>
      </c>
      <c r="E16" s="8">
        <v>9.5609999999999999</v>
      </c>
      <c r="G16" s="5" t="s">
        <v>24</v>
      </c>
      <c r="H16" s="7">
        <v>1.167</v>
      </c>
      <c r="I16" s="7">
        <v>17.178000000000001</v>
      </c>
      <c r="J16" s="3">
        <f>H16*F20</f>
        <v>-33.084450000000004</v>
      </c>
      <c r="K16" s="20" t="s">
        <v>24</v>
      </c>
      <c r="L16" s="8">
        <v>-0.22342000000000001</v>
      </c>
      <c r="M16" s="8">
        <v>-7.3680000000000003</v>
      </c>
      <c r="N16" s="3">
        <f t="shared" si="0"/>
        <v>4.9916496400000003E-2</v>
      </c>
      <c r="O16" s="3">
        <v>1.4212499999999999</v>
      </c>
      <c r="P16" s="25">
        <f t="shared" si="2"/>
        <v>0.1137</v>
      </c>
      <c r="Q16" s="25">
        <f t="shared" si="3"/>
        <v>1.2927689999999999E-2</v>
      </c>
      <c r="R16" s="3">
        <f t="shared" si="4"/>
        <v>6.4530499134531592E-4</v>
      </c>
      <c r="S16" s="3">
        <f t="shared" si="5"/>
        <v>1.4188764101700004E-5</v>
      </c>
      <c r="U16" s="3">
        <f t="shared" si="1"/>
        <v>5.009596686383729E-9</v>
      </c>
      <c r="V16" s="3">
        <f t="shared" si="6"/>
        <v>0.47157551521204472</v>
      </c>
    </row>
    <row r="17" spans="3:22" x14ac:dyDescent="0.15">
      <c r="C17" s="5" t="s">
        <v>14</v>
      </c>
      <c r="D17" s="7">
        <v>1.071</v>
      </c>
      <c r="E17" s="8">
        <v>13.683</v>
      </c>
      <c r="G17" s="5" t="s">
        <v>2</v>
      </c>
      <c r="H17" s="7">
        <v>-0.25230000000000002</v>
      </c>
      <c r="I17" s="7">
        <v>-6.1749999999999998</v>
      </c>
      <c r="J17" s="3">
        <f>H17*(F20+F18)</f>
        <v>-17.875454999999999</v>
      </c>
      <c r="K17" s="20" t="s">
        <v>2</v>
      </c>
      <c r="L17" s="8">
        <v>1.3082199999999999</v>
      </c>
      <c r="M17" s="8">
        <v>22.704000000000001</v>
      </c>
      <c r="N17" s="3">
        <f t="shared" si="0"/>
        <v>1.7114395683999999</v>
      </c>
      <c r="O17" s="3">
        <v>0.87910779999999999</v>
      </c>
      <c r="P17" s="25">
        <f t="shared" si="2"/>
        <v>7.0328624000000006E-2</v>
      </c>
      <c r="Q17" s="25">
        <f t="shared" si="3"/>
        <v>4.9461153537333769E-3</v>
      </c>
      <c r="R17" s="3">
        <f t="shared" si="4"/>
        <v>8.4649775262500629E-3</v>
      </c>
      <c r="S17" s="3">
        <f t="shared" si="5"/>
        <v>3.0090797476181477E-4</v>
      </c>
      <c r="U17" s="3">
        <f t="shared" si="1"/>
        <v>1.9964840011637726E-8</v>
      </c>
      <c r="V17" s="3">
        <f t="shared" si="6"/>
        <v>10.000929764750556</v>
      </c>
    </row>
    <row r="18" spans="3:22" x14ac:dyDescent="0.15">
      <c r="C18" s="5" t="s">
        <v>15</v>
      </c>
      <c r="D18" s="7">
        <v>1.1719999999999999</v>
      </c>
      <c r="E18" s="8">
        <v>8.4559999999999995</v>
      </c>
      <c r="F18" s="3">
        <f>1984*0.05</f>
        <v>99.2</v>
      </c>
      <c r="G18" s="5" t="s">
        <v>3</v>
      </c>
      <c r="H18" s="7">
        <v>-0.1234</v>
      </c>
      <c r="I18" s="7">
        <v>-2.496</v>
      </c>
      <c r="J18" s="9"/>
      <c r="K18" s="5" t="s">
        <v>3</v>
      </c>
      <c r="L18" s="8">
        <v>-0.22236</v>
      </c>
      <c r="M18" s="8">
        <v>-5.4050000000000002</v>
      </c>
      <c r="N18" s="3">
        <f t="shared" si="0"/>
        <v>4.9443969599999998E-2</v>
      </c>
      <c r="O18" s="3">
        <v>0.33168740000000002</v>
      </c>
      <c r="P18" s="25">
        <f t="shared" si="2"/>
        <v>2.6534992000000004E-2</v>
      </c>
      <c r="Q18" s="25">
        <f t="shared" si="3"/>
        <v>7.0410580044006417E-4</v>
      </c>
      <c r="R18" s="3">
        <f t="shared" si="4"/>
        <v>3.4813785792142198E-5</v>
      </c>
      <c r="S18" s="3">
        <f t="shared" si="5"/>
        <v>3.2799883444606089E-6</v>
      </c>
      <c r="U18" s="3">
        <f t="shared" si="1"/>
        <v>1.1938391481258741E-9</v>
      </c>
      <c r="V18" s="3">
        <f t="shared" si="6"/>
        <v>0.10901317284168469</v>
      </c>
    </row>
    <row r="19" spans="3:22" x14ac:dyDescent="0.15">
      <c r="C19" s="5" t="s">
        <v>16</v>
      </c>
      <c r="D19" s="7">
        <v>0.72940000000000005</v>
      </c>
      <c r="E19" s="8">
        <v>9.7989999999999995</v>
      </c>
      <c r="G19" s="5" t="s">
        <v>14</v>
      </c>
      <c r="H19" s="7">
        <v>-0.16070000000000001</v>
      </c>
      <c r="I19" s="7">
        <v>-4.26</v>
      </c>
      <c r="K19" s="5" t="s">
        <v>14</v>
      </c>
      <c r="L19" s="8">
        <v>-0.23408000000000001</v>
      </c>
      <c r="M19" s="8">
        <v>-7.665</v>
      </c>
      <c r="N19" s="3">
        <f t="shared" si="0"/>
        <v>5.4793446400000008E-2</v>
      </c>
      <c r="O19" s="3">
        <v>0.53345819999999999</v>
      </c>
      <c r="P19" s="25">
        <f t="shared" si="2"/>
        <v>4.2676656E-2</v>
      </c>
      <c r="Q19" s="25">
        <f t="shared" si="3"/>
        <v>1.821296967342336E-3</v>
      </c>
      <c r="R19" s="3">
        <f t="shared" si="4"/>
        <v>9.9795137758554851E-5</v>
      </c>
      <c r="S19" s="3">
        <f t="shared" si="5"/>
        <v>5.8460026576680975E-6</v>
      </c>
      <c r="U19" s="3">
        <f t="shared" si="1"/>
        <v>2.1128074983611644E-9</v>
      </c>
      <c r="V19" s="3">
        <f t="shared" si="6"/>
        <v>0.19429681792302902</v>
      </c>
    </row>
    <row r="20" spans="3:22" x14ac:dyDescent="0.15">
      <c r="F20" s="3">
        <f>-567*0.05</f>
        <v>-28.35</v>
      </c>
      <c r="G20" s="5" t="s">
        <v>15</v>
      </c>
      <c r="H20" s="7">
        <v>-0.17299999999999999</v>
      </c>
      <c r="I20" s="7">
        <v>-2.6869999999999998</v>
      </c>
      <c r="J20" s="9">
        <f>F20*H20</f>
        <v>4.9045499999999995</v>
      </c>
      <c r="K20" s="20" t="s">
        <v>15</v>
      </c>
      <c r="L20" s="8">
        <v>-0.24395</v>
      </c>
      <c r="M20" s="8">
        <v>-4.5469999999999997</v>
      </c>
      <c r="N20" s="3">
        <f t="shared" si="0"/>
        <v>5.9511602500000003E-2</v>
      </c>
      <c r="O20" s="3">
        <v>9.6543500000000004E-2</v>
      </c>
      <c r="P20" s="25">
        <f t="shared" si="2"/>
        <v>7.7234800000000004E-3</v>
      </c>
      <c r="Q20" s="25">
        <f t="shared" si="3"/>
        <v>5.965214331040001E-5</v>
      </c>
      <c r="R20" s="3">
        <f t="shared" si="4"/>
        <v>3.5499946409615598E-6</v>
      </c>
      <c r="S20" s="3">
        <f t="shared" si="5"/>
        <v>1.1490916791917502E-6</v>
      </c>
      <c r="U20" s="3">
        <f t="shared" si="1"/>
        <v>4.2069112801969269E-10</v>
      </c>
      <c r="V20" s="3">
        <f t="shared" si="6"/>
        <v>3.819102895479095E-2</v>
      </c>
    </row>
    <row r="21" spans="3:22" x14ac:dyDescent="0.15">
      <c r="C21" s="10" t="s">
        <v>17</v>
      </c>
      <c r="D21" s="11">
        <v>0.2034</v>
      </c>
      <c r="G21" s="5" t="s">
        <v>16</v>
      </c>
      <c r="H21" s="7">
        <v>-7.6450000000000004E-2</v>
      </c>
      <c r="I21" s="7">
        <v>-1.923</v>
      </c>
      <c r="K21" s="5" t="s">
        <v>4</v>
      </c>
      <c r="L21" s="8">
        <v>-5.0139999999999997E-2</v>
      </c>
      <c r="M21" s="8">
        <v>-1.8560000000000001</v>
      </c>
      <c r="N21" s="3">
        <f t="shared" si="0"/>
        <v>2.5140195999999999E-3</v>
      </c>
      <c r="O21" s="3">
        <v>0.26987909999999998</v>
      </c>
      <c r="P21" s="25">
        <f t="shared" si="2"/>
        <v>2.1590327999999999E-2</v>
      </c>
      <c r="Q21" s="25">
        <f t="shared" si="3"/>
        <v>4.6614226314758397E-4</v>
      </c>
      <c r="R21" s="3">
        <f t="shared" si="4"/>
        <v>1.1718907859413838E-6</v>
      </c>
      <c r="S21" s="3">
        <f t="shared" si="5"/>
        <v>1.3569626940607198E-7</v>
      </c>
      <c r="U21" s="3">
        <f t="shared" si="1"/>
        <v>4.9816941369713061E-11</v>
      </c>
      <c r="V21" s="3">
        <f t="shared" si="6"/>
        <v>4.5099797063969686E-3</v>
      </c>
    </row>
    <row r="22" spans="3:22" x14ac:dyDescent="0.15">
      <c r="C22" s="10" t="s">
        <v>18</v>
      </c>
      <c r="D22" s="11">
        <v>0.2016</v>
      </c>
      <c r="R22" s="27">
        <f>SUMPRODUCT(N7:N21,R7:R21)</f>
        <v>1.4606337035667527E-2</v>
      </c>
      <c r="U22" s="26">
        <f>R22+U21</f>
        <v>1.4606337085484467E-2</v>
      </c>
    </row>
    <row r="23" spans="3:22" x14ac:dyDescent="0.15">
      <c r="C23" s="5" t="s">
        <v>19</v>
      </c>
      <c r="D23" s="12">
        <v>2.2E-16</v>
      </c>
      <c r="G23" s="10" t="s">
        <v>17</v>
      </c>
      <c r="H23" s="11">
        <v>0.63670000000000004</v>
      </c>
      <c r="K23" s="10" t="s">
        <v>17</v>
      </c>
      <c r="L23" s="11">
        <v>0.68979999999999997</v>
      </c>
    </row>
    <row r="24" spans="3:22" x14ac:dyDescent="0.15">
      <c r="C24" s="5" t="s">
        <v>20</v>
      </c>
      <c r="D24" s="8">
        <v>32.78</v>
      </c>
      <c r="G24" s="10" t="s">
        <v>18</v>
      </c>
      <c r="H24" s="11">
        <v>0.63580000000000003</v>
      </c>
      <c r="K24" s="10" t="s">
        <v>18</v>
      </c>
      <c r="L24" s="11">
        <v>0.68899999999999995</v>
      </c>
    </row>
    <row r="25" spans="3:22" x14ac:dyDescent="0.15">
      <c r="G25" s="5" t="s">
        <v>19</v>
      </c>
      <c r="H25" s="12">
        <v>2.2E-16</v>
      </c>
      <c r="K25" s="5" t="s">
        <v>19</v>
      </c>
      <c r="L25" s="12">
        <v>2.2E-16</v>
      </c>
    </row>
    <row r="26" spans="3:22" x14ac:dyDescent="0.15">
      <c r="G26" s="5" t="s">
        <v>20</v>
      </c>
      <c r="H26" s="8">
        <v>13.67</v>
      </c>
      <c r="K26" s="5" t="s">
        <v>20</v>
      </c>
      <c r="L26" s="8">
        <v>11.58</v>
      </c>
    </row>
    <row r="30" spans="3:22" x14ac:dyDescent="0.15">
      <c r="K30" s="5" t="s">
        <v>54</v>
      </c>
      <c r="L30" s="28" t="s">
        <v>55</v>
      </c>
      <c r="M30" s="21" t="s">
        <v>56</v>
      </c>
    </row>
    <row r="31" spans="3:22" x14ac:dyDescent="0.15">
      <c r="K31" s="15" t="s">
        <v>52</v>
      </c>
      <c r="L31" s="8">
        <v>0.1839528</v>
      </c>
      <c r="M31" s="33">
        <f>L31/2.291745</f>
        <v>8.0267569035822037E-2</v>
      </c>
    </row>
    <row r="32" spans="3:22" x14ac:dyDescent="0.15">
      <c r="K32" s="15" t="s">
        <v>53</v>
      </c>
      <c r="L32" s="8">
        <v>0.1113073</v>
      </c>
      <c r="M32" s="33">
        <f>L32/1.333617</f>
        <v>8.3462718306680256E-2</v>
      </c>
    </row>
    <row r="33" spans="4:18" x14ac:dyDescent="0.15">
      <c r="K33" s="15" t="s">
        <v>50</v>
      </c>
      <c r="L33" s="8">
        <v>9.0472750000000005E-2</v>
      </c>
      <c r="M33" s="33">
        <f>L33/3.058894</f>
        <v>2.9576948400304164E-2</v>
      </c>
    </row>
    <row r="34" spans="4:18" x14ac:dyDescent="0.15">
      <c r="D34" s="29" t="s">
        <v>39</v>
      </c>
      <c r="E34" s="29"/>
      <c r="F34" s="29"/>
      <c r="G34" s="29"/>
      <c r="J34" s="2"/>
      <c r="K34" s="2"/>
    </row>
    <row r="35" spans="4:18" x14ac:dyDescent="0.15">
      <c r="D35" s="8"/>
      <c r="E35" s="6" t="s">
        <v>34</v>
      </c>
      <c r="F35" s="6" t="s">
        <v>35</v>
      </c>
      <c r="G35" s="6" t="s">
        <v>36</v>
      </c>
    </row>
    <row r="36" spans="4:18" x14ac:dyDescent="0.15">
      <c r="D36" s="10" t="s">
        <v>38</v>
      </c>
      <c r="E36" s="16">
        <v>1.244669</v>
      </c>
      <c r="F36" s="16">
        <v>1.1098870000000001</v>
      </c>
      <c r="G36" s="16">
        <v>2.9069630000000002</v>
      </c>
      <c r="M36" s="3"/>
    </row>
    <row r="37" spans="4:18" x14ac:dyDescent="0.15">
      <c r="D37" s="10" t="s">
        <v>37</v>
      </c>
      <c r="E37" s="16">
        <v>0.87248320000000001</v>
      </c>
      <c r="F37" s="16">
        <v>0.66027499999999995</v>
      </c>
      <c r="G37" s="16">
        <v>2.1507070000000001</v>
      </c>
      <c r="M37" s="3"/>
    </row>
    <row r="38" spans="4:18" x14ac:dyDescent="0.15">
      <c r="D38" s="10" t="s">
        <v>40</v>
      </c>
      <c r="E38" s="16">
        <v>1.5613510000000001E-2</v>
      </c>
      <c r="F38" s="16">
        <v>-2.9618619999999998E-2</v>
      </c>
      <c r="G38" s="16">
        <v>-0.19389390000000001</v>
      </c>
      <c r="L38" s="29" t="s">
        <v>60</v>
      </c>
      <c r="M38" s="29"/>
      <c r="N38" s="29"/>
      <c r="O38" s="29"/>
    </row>
    <row r="39" spans="4:18" x14ac:dyDescent="0.15">
      <c r="K39" s="5" t="s">
        <v>57</v>
      </c>
      <c r="L39" s="28" t="s">
        <v>52</v>
      </c>
      <c r="M39" s="28" t="s">
        <v>53</v>
      </c>
      <c r="N39" s="5" t="s">
        <v>59</v>
      </c>
      <c r="O39" s="5" t="s">
        <v>58</v>
      </c>
    </row>
    <row r="40" spans="4:18" x14ac:dyDescent="0.15">
      <c r="K40" s="5" t="s">
        <v>31</v>
      </c>
      <c r="L40" s="16"/>
      <c r="M40" s="16">
        <v>2.788241E-2</v>
      </c>
      <c r="N40" s="16"/>
      <c r="O40" s="34">
        <f>(L40*$H$24+M40*$L$24+N40*$D$22)/($D$22+$H$24+$L$24)</f>
        <v>1.2585810069444443E-2</v>
      </c>
      <c r="P40" s="2"/>
      <c r="R40" s="2"/>
    </row>
    <row r="41" spans="4:18" x14ac:dyDescent="0.15">
      <c r="K41" s="5" t="s">
        <v>9</v>
      </c>
      <c r="L41" s="16"/>
      <c r="M41" s="16">
        <v>-4.7985609999999998E-2</v>
      </c>
      <c r="N41" s="16">
        <v>5.613926E-3</v>
      </c>
      <c r="O41" s="34">
        <f t="shared" ref="O41:O60" si="7">(L41*$H$24+M41*$L$24+N41*$D$22)/($D$22+$H$24+$L$24)</f>
        <v>-2.0918709256027249E-2</v>
      </c>
    </row>
    <row r="42" spans="4:18" x14ac:dyDescent="0.15">
      <c r="D42" s="30" t="s">
        <v>41</v>
      </c>
      <c r="E42" s="31"/>
      <c r="F42" s="31"/>
      <c r="G42" s="31"/>
      <c r="H42" s="32"/>
      <c r="K42" s="5" t="s">
        <v>10</v>
      </c>
      <c r="L42" s="16"/>
      <c r="M42" s="16">
        <v>-0.16766734</v>
      </c>
      <c r="N42" s="16">
        <v>1.7915230000000001E-2</v>
      </c>
      <c r="O42" s="34">
        <f t="shared" si="7"/>
        <v>-7.3317011852725364E-2</v>
      </c>
    </row>
    <row r="43" spans="4:18" x14ac:dyDescent="0.15">
      <c r="D43" s="10" t="s">
        <v>42</v>
      </c>
      <c r="E43" s="6" t="s">
        <v>46</v>
      </c>
      <c r="F43" s="6" t="s">
        <v>43</v>
      </c>
      <c r="G43" s="5" t="s">
        <v>44</v>
      </c>
      <c r="H43" s="21" t="s">
        <v>48</v>
      </c>
      <c r="K43" s="5" t="s">
        <v>7</v>
      </c>
      <c r="L43" s="16">
        <v>2.1617640000000001E-5</v>
      </c>
      <c r="M43" s="16"/>
      <c r="N43" s="16">
        <v>-5.9662990000000004E-3</v>
      </c>
      <c r="O43" s="34">
        <f t="shared" si="7"/>
        <v>-7.7899723721698122E-4</v>
      </c>
    </row>
    <row r="44" spans="4:18" x14ac:dyDescent="0.15">
      <c r="D44" s="5" t="s">
        <v>2</v>
      </c>
      <c r="E44" s="8">
        <f>-E45+F18</f>
        <v>127.55000000000001</v>
      </c>
      <c r="F44" s="7">
        <f>H17</f>
        <v>-0.25230000000000002</v>
      </c>
      <c r="G44" s="15">
        <f>F44*E44</f>
        <v>-32.180865000000004</v>
      </c>
      <c r="H44" s="22"/>
      <c r="I44" s="3"/>
      <c r="K44" s="5" t="s">
        <v>8</v>
      </c>
      <c r="L44" s="16">
        <v>1.9484559999999999E-11</v>
      </c>
      <c r="M44" s="16"/>
      <c r="N44" s="16">
        <v>-8.3580510000000002E-10</v>
      </c>
      <c r="O44" s="34">
        <f t="shared" si="7"/>
        <v>-1.0227333917190776E-10</v>
      </c>
    </row>
    <row r="45" spans="4:18" x14ac:dyDescent="0.15">
      <c r="D45" s="5" t="s">
        <v>15</v>
      </c>
      <c r="E45" s="8">
        <f>-567*0.05</f>
        <v>-28.35</v>
      </c>
      <c r="F45" s="7">
        <f>H20</f>
        <v>-0.17299999999999999</v>
      </c>
      <c r="G45" s="15">
        <f>F45*E45</f>
        <v>4.9045499999999995</v>
      </c>
      <c r="H45" s="23"/>
      <c r="I45" s="3"/>
      <c r="K45" s="5" t="s">
        <v>32</v>
      </c>
      <c r="L45" s="16"/>
      <c r="M45" s="16">
        <v>0.18096113</v>
      </c>
      <c r="N45" s="16"/>
      <c r="O45" s="34">
        <f t="shared" si="7"/>
        <v>8.1683843402777775E-2</v>
      </c>
    </row>
    <row r="46" spans="4:18" x14ac:dyDescent="0.15">
      <c r="D46" s="17" t="s">
        <v>45</v>
      </c>
      <c r="E46" s="13"/>
      <c r="F46" s="14"/>
      <c r="G46" s="19">
        <f>G45+G44</f>
        <v>-27.276315000000004</v>
      </c>
      <c r="H46" s="24">
        <f>G46/13720</f>
        <v>-1.9880696064139944E-3</v>
      </c>
      <c r="I46" s="3"/>
      <c r="K46" s="5" t="s">
        <v>51</v>
      </c>
      <c r="L46" s="16"/>
      <c r="M46" s="16">
        <v>8.1178230000000004E-2</v>
      </c>
      <c r="N46" s="16"/>
      <c r="O46" s="34">
        <f t="shared" si="7"/>
        <v>3.664295104166667E-2</v>
      </c>
    </row>
    <row r="47" spans="4:18" x14ac:dyDescent="0.15">
      <c r="D47" s="18" t="s">
        <v>12</v>
      </c>
      <c r="E47" s="8">
        <f>J9</f>
        <v>252.28085935711115</v>
      </c>
      <c r="F47" s="7">
        <f>H9</f>
        <v>0.2445</v>
      </c>
      <c r="G47" s="15">
        <f>F47*E47</f>
        <v>61.682670112813675</v>
      </c>
      <c r="H47" s="23"/>
      <c r="I47" s="3"/>
      <c r="K47" s="5" t="s">
        <v>11</v>
      </c>
      <c r="L47" s="16"/>
      <c r="M47" s="16"/>
      <c r="N47" s="16">
        <v>4.7690440000000001E-3</v>
      </c>
      <c r="O47" s="34">
        <f t="shared" si="7"/>
        <v>6.2987373584905669E-4</v>
      </c>
    </row>
    <row r="48" spans="4:18" x14ac:dyDescent="0.15">
      <c r="D48" s="5" t="s">
        <v>24</v>
      </c>
      <c r="E48" s="8">
        <f>E44</f>
        <v>127.55000000000001</v>
      </c>
      <c r="F48" s="7">
        <f>H16</f>
        <v>1.167</v>
      </c>
      <c r="G48" s="15">
        <f>F48*E48</f>
        <v>148.85085000000001</v>
      </c>
      <c r="H48" s="23"/>
      <c r="I48" s="3"/>
      <c r="K48" s="5" t="s">
        <v>12</v>
      </c>
      <c r="L48" s="16">
        <v>1.3191259999999999E-4</v>
      </c>
      <c r="M48" s="16"/>
      <c r="N48" s="16">
        <v>2.3070399999999998E-3</v>
      </c>
      <c r="O48" s="34">
        <f t="shared" si="7"/>
        <v>3.5964969541404614E-4</v>
      </c>
    </row>
    <row r="49" spans="4:15" x14ac:dyDescent="0.15">
      <c r="D49" s="17" t="s">
        <v>47</v>
      </c>
      <c r="E49" s="13"/>
      <c r="F49" s="14"/>
      <c r="G49" s="19">
        <f>G45+G47+G48</f>
        <v>215.43807011281368</v>
      </c>
      <c r="H49" s="24">
        <f>G49/13720</f>
        <v>1.5702483244374173E-2</v>
      </c>
      <c r="I49" s="3"/>
      <c r="K49" s="5" t="s">
        <v>22</v>
      </c>
      <c r="L49" s="16">
        <v>1.007179E-4</v>
      </c>
      <c r="M49" s="16">
        <v>1.0864479999999999E-2</v>
      </c>
      <c r="N49" s="16"/>
      <c r="O49" s="34">
        <f t="shared" si="7"/>
        <v>4.9460581504323893E-3</v>
      </c>
    </row>
    <row r="50" spans="4:15" x14ac:dyDescent="0.15">
      <c r="I50" s="3"/>
      <c r="K50" s="5" t="s">
        <v>13</v>
      </c>
      <c r="L50" s="16">
        <v>-3.9365789999999998E-4</v>
      </c>
      <c r="M50" s="16">
        <v>-9.9133840000000001E-2</v>
      </c>
      <c r="N50" s="16">
        <v>-7.0587480000000001E-3</v>
      </c>
      <c r="O50" s="34">
        <f t="shared" si="7"/>
        <v>-4.5844173905673476E-2</v>
      </c>
    </row>
    <row r="51" spans="4:15" x14ac:dyDescent="0.15">
      <c r="I51" s="3"/>
      <c r="K51" s="5" t="s">
        <v>1</v>
      </c>
      <c r="L51" s="16">
        <v>1.892375E-5</v>
      </c>
      <c r="M51" s="16">
        <v>9.6840620000000002E-2</v>
      </c>
      <c r="N51" s="16">
        <v>-3.2647760000000003E-4</v>
      </c>
      <c r="O51" s="34">
        <f t="shared" si="7"/>
        <v>4.3677542594398572E-2</v>
      </c>
    </row>
    <row r="52" spans="4:15" x14ac:dyDescent="0.15">
      <c r="D52" s="30" t="s">
        <v>49</v>
      </c>
      <c r="E52" s="31"/>
      <c r="F52" s="31"/>
      <c r="G52" s="31"/>
      <c r="H52" s="32"/>
      <c r="I52" s="3"/>
      <c r="K52" s="5" t="s">
        <v>27</v>
      </c>
      <c r="L52" s="16">
        <v>1.8290479999999999E-5</v>
      </c>
      <c r="M52" s="16">
        <v>6.5111230000000006E-2</v>
      </c>
      <c r="N52" s="16"/>
      <c r="O52" s="34">
        <f t="shared" si="7"/>
        <v>2.9398104400670862E-2</v>
      </c>
    </row>
    <row r="53" spans="4:15" x14ac:dyDescent="0.15">
      <c r="D53" s="10" t="s">
        <v>42</v>
      </c>
      <c r="E53" s="6" t="s">
        <v>46</v>
      </c>
      <c r="F53" s="6" t="s">
        <v>43</v>
      </c>
      <c r="G53" s="5" t="s">
        <v>44</v>
      </c>
      <c r="H53" s="21" t="s">
        <v>48</v>
      </c>
      <c r="I53" s="3"/>
      <c r="K53" s="5" t="s">
        <v>28</v>
      </c>
      <c r="L53" s="16">
        <v>-4.171873E-5</v>
      </c>
      <c r="M53" s="16"/>
      <c r="N53" s="16"/>
      <c r="O53" s="34">
        <f t="shared" si="7"/>
        <v>-1.7377337876048218E-5</v>
      </c>
    </row>
    <row r="54" spans="4:15" x14ac:dyDescent="0.15">
      <c r="D54" s="5" t="s">
        <v>2</v>
      </c>
      <c r="E54" s="8">
        <f>-E45+F18</f>
        <v>127.55000000000001</v>
      </c>
      <c r="F54" s="7">
        <f>L17</f>
        <v>1.3082199999999999</v>
      </c>
      <c r="G54" s="15">
        <f>F54*E54</f>
        <v>166.863461</v>
      </c>
      <c r="H54" s="22"/>
      <c r="I54" s="3"/>
      <c r="K54" s="5" t="s">
        <v>23</v>
      </c>
      <c r="L54" s="16">
        <v>-5.0411420000000002E-4</v>
      </c>
      <c r="M54" s="16"/>
      <c r="N54" s="16"/>
      <c r="O54" s="34">
        <f t="shared" si="7"/>
        <v>-2.0998153063417195E-4</v>
      </c>
    </row>
    <row r="55" spans="4:15" x14ac:dyDescent="0.15">
      <c r="D55" s="5" t="s">
        <v>15</v>
      </c>
      <c r="E55" s="8">
        <f>-567*0.05</f>
        <v>-28.35</v>
      </c>
      <c r="F55" s="7">
        <f>L20</f>
        <v>-0.24395</v>
      </c>
      <c r="G55" s="15">
        <f>F55*E55</f>
        <v>6.9159825000000001</v>
      </c>
      <c r="H55" s="23"/>
      <c r="I55" s="3"/>
      <c r="K55" s="5" t="s">
        <v>24</v>
      </c>
      <c r="L55" s="16">
        <v>8.5706580000000001E-4</v>
      </c>
      <c r="M55" s="16">
        <v>-4.1949170000000001E-2</v>
      </c>
      <c r="N55" s="16"/>
      <c r="O55" s="34">
        <f t="shared" si="7"/>
        <v>-1.8578390785089098E-2</v>
      </c>
    </row>
    <row r="56" spans="4:15" x14ac:dyDescent="0.15">
      <c r="D56" s="17" t="s">
        <v>45</v>
      </c>
      <c r="E56" s="13"/>
      <c r="F56" s="14"/>
      <c r="G56" s="19">
        <f>G55+G54</f>
        <v>173.77944350000001</v>
      </c>
      <c r="H56" s="24">
        <f>G56/13720</f>
        <v>1.2666140196793003E-2</v>
      </c>
      <c r="I56" s="3"/>
      <c r="K56" s="5" t="s">
        <v>2</v>
      </c>
      <c r="L56" s="16">
        <v>-2.2205900000000001E-4</v>
      </c>
      <c r="M56" s="16">
        <v>1.2911747499999999</v>
      </c>
      <c r="N56" s="16">
        <v>-1.480688E-2</v>
      </c>
      <c r="O56" s="34">
        <f t="shared" si="7"/>
        <v>0.58077381461595901</v>
      </c>
    </row>
    <row r="57" spans="4:15" x14ac:dyDescent="0.15">
      <c r="D57" s="5" t="s">
        <v>24</v>
      </c>
      <c r="E57" s="8">
        <f>E44</f>
        <v>127.55000000000001</v>
      </c>
      <c r="F57" s="7">
        <f>L16</f>
        <v>-0.22342000000000001</v>
      </c>
      <c r="G57" s="15">
        <f>F57*E57</f>
        <v>-28.497221000000003</v>
      </c>
      <c r="H57" s="23"/>
      <c r="I57" s="3"/>
      <c r="K57" s="5" t="s">
        <v>3</v>
      </c>
      <c r="L57" s="16">
        <v>1.506349E-4</v>
      </c>
      <c r="M57" s="16">
        <v>5.9289759999999997E-2</v>
      </c>
      <c r="N57" s="16">
        <v>2.3790760000000001E-2</v>
      </c>
      <c r="O57" s="34">
        <f t="shared" si="7"/>
        <v>2.9967659542334903E-2</v>
      </c>
    </row>
    <row r="58" spans="4:15" x14ac:dyDescent="0.15">
      <c r="D58" s="17" t="s">
        <v>47</v>
      </c>
      <c r="E58" s="13"/>
      <c r="F58" s="14"/>
      <c r="G58" s="19">
        <f>G55+G57</f>
        <v>-21.581238500000005</v>
      </c>
      <c r="H58" s="24">
        <f>G58/13720</f>
        <v>-1.572976567055394E-3</v>
      </c>
      <c r="I58" s="3"/>
      <c r="K58" s="5" t="s">
        <v>14</v>
      </c>
      <c r="L58" s="16">
        <v>1.7663250000000001E-4</v>
      </c>
      <c r="M58" s="16">
        <v>-1.8015730000000001E-2</v>
      </c>
      <c r="N58" s="16">
        <v>2.2829579999999999E-2</v>
      </c>
      <c r="O58" s="34">
        <f t="shared" si="7"/>
        <v>-5.0432990687237942E-3</v>
      </c>
    </row>
    <row r="59" spans="4:15" x14ac:dyDescent="0.15">
      <c r="K59" s="5" t="s">
        <v>15</v>
      </c>
      <c r="L59" s="16">
        <v>-9.6583920000000003E-6</v>
      </c>
      <c r="M59" s="16">
        <v>-1.091926E-2</v>
      </c>
      <c r="N59" s="16">
        <v>-1.268506E-3</v>
      </c>
      <c r="O59" s="34">
        <f t="shared" si="7"/>
        <v>-5.100394231678196E-3</v>
      </c>
    </row>
    <row r="60" spans="4:15" x14ac:dyDescent="0.15">
      <c r="K60" s="5" t="s">
        <v>16</v>
      </c>
      <c r="L60" s="16">
        <v>-3.2370250000000001E-6</v>
      </c>
      <c r="M60" s="16">
        <v>4.1628300000000002E-3</v>
      </c>
      <c r="N60" s="16">
        <v>-4.251417E-4</v>
      </c>
      <c r="O60" s="34">
        <f t="shared" si="7"/>
        <v>1.8215560814891247E-3</v>
      </c>
    </row>
    <row r="61" spans="4:15" x14ac:dyDescent="0.15">
      <c r="D61" s="30" t="s">
        <v>50</v>
      </c>
      <c r="E61" s="31"/>
      <c r="F61" s="31"/>
      <c r="G61" s="31"/>
      <c r="H61" s="32"/>
    </row>
    <row r="62" spans="4:15" x14ac:dyDescent="0.15">
      <c r="D62" s="10" t="s">
        <v>42</v>
      </c>
      <c r="E62" s="6" t="s">
        <v>46</v>
      </c>
      <c r="F62" s="6" t="s">
        <v>43</v>
      </c>
      <c r="G62" s="5" t="s">
        <v>44</v>
      </c>
      <c r="H62" s="21" t="s">
        <v>48</v>
      </c>
    </row>
    <row r="63" spans="4:15" x14ac:dyDescent="0.15">
      <c r="D63" s="5" t="s">
        <v>2</v>
      </c>
      <c r="E63" s="8">
        <f>-E64+F37</f>
        <v>29.010275</v>
      </c>
      <c r="F63" s="7">
        <f>D15</f>
        <v>0.86709999999999998</v>
      </c>
      <c r="G63" s="15">
        <f>F63*E63</f>
        <v>25.1548094525</v>
      </c>
      <c r="H63" s="22"/>
    </row>
    <row r="64" spans="4:15" x14ac:dyDescent="0.15">
      <c r="D64" s="5" t="s">
        <v>15</v>
      </c>
      <c r="E64" s="8">
        <f>-567*0.05</f>
        <v>-28.35</v>
      </c>
      <c r="F64" s="7">
        <f>D18</f>
        <v>1.1719999999999999</v>
      </c>
      <c r="G64" s="15">
        <f>F64*E64</f>
        <v>-33.226199999999999</v>
      </c>
      <c r="H64" s="23"/>
    </row>
    <row r="65" spans="4:8" x14ac:dyDescent="0.15">
      <c r="D65" s="17" t="s">
        <v>45</v>
      </c>
      <c r="E65" s="13"/>
      <c r="F65" s="14"/>
      <c r="G65" s="19">
        <f>G64+G63</f>
        <v>-8.0713905474999983</v>
      </c>
      <c r="H65" s="24">
        <f>G65/13720</f>
        <v>-5.8829377168367338E-4</v>
      </c>
    </row>
    <row r="66" spans="4:8" x14ac:dyDescent="0.15">
      <c r="D66" s="18" t="s">
        <v>12</v>
      </c>
      <c r="E66" s="8">
        <f>E47</f>
        <v>252.28085935711115</v>
      </c>
      <c r="F66" s="7">
        <f>D12</f>
        <v>-0.22040000000000001</v>
      </c>
      <c r="G66" s="15">
        <f>F66*E66</f>
        <v>-55.602701402307304</v>
      </c>
      <c r="H66" s="23"/>
    </row>
    <row r="67" spans="4:8" x14ac:dyDescent="0.15">
      <c r="D67" s="17" t="s">
        <v>47</v>
      </c>
      <c r="E67" s="13"/>
      <c r="F67" s="14"/>
      <c r="G67" s="19">
        <f>G64+G66</f>
        <v>-88.828901402307309</v>
      </c>
      <c r="H67" s="24">
        <f>G67/13720</f>
        <v>-6.4744097232002414E-3</v>
      </c>
    </row>
  </sheetData>
  <mergeCells count="5">
    <mergeCell ref="D34:G34"/>
    <mergeCell ref="D42:H42"/>
    <mergeCell ref="D52:H52"/>
    <mergeCell ref="D61:H61"/>
    <mergeCell ref="L38:O3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2021-05-06T23:35:01Z</dcterms:created>
  <dcterms:modified xsi:type="dcterms:W3CDTF">2021-05-16T22:31:06Z</dcterms:modified>
</cp:coreProperties>
</file>